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vt5\mandat 2019-2023\Заседания\50 заседание\"/>
    </mc:Choice>
  </mc:AlternateContent>
  <bookViews>
    <workbookView xWindow="0" yWindow="0" windowWidth="20490" windowHeight="7755"/>
  </bookViews>
  <sheets>
    <sheet name="ИП промяна декември 2022" sheetId="2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_xlfn_SUMIFS">NA()</definedName>
    <definedName name="__xlfn_SUMIFS">NA()</definedName>
    <definedName name="_xlnm._FilterDatabase" localSheetId="0" hidden="1">'ИП промяна декември 2022'!$A$1:$XBT$384</definedName>
    <definedName name="GRO">[1]list!$A$281:$A$304</definedName>
    <definedName name="GROUPS" localSheetId="0">[2]Groups!$A$1:$A$27</definedName>
    <definedName name="GROUPS">[1]Groups!$A$1:$A$27</definedName>
    <definedName name="GROUPS1">[1]Groups!$A$1:$A$27</definedName>
    <definedName name="GROUPS2" localSheetId="0">[2]Groups!$A$1:$B$27</definedName>
    <definedName name="GROUPS2">[1]Groups!$A$1:$B$27</definedName>
    <definedName name="ll">[3]list!$A$421:$B$709</definedName>
    <definedName name="mm">[3]Groups!$A$1:$B$27</definedName>
    <definedName name="oo">[3]list!$A$281:$B$304</definedName>
    <definedName name="OP_LIST" localSheetId="0">[2]list!$A$281:$A$304</definedName>
    <definedName name="OP_LIST">[1]list!$A$281:$A$304</definedName>
    <definedName name="OP_LIST2" localSheetId="0">[2]list!$A$281:$B$304</definedName>
    <definedName name="OP_LIST2">[1]list!$A$281:$B$304</definedName>
    <definedName name="PRBK" localSheetId="0">[2]list!$A$421:$B$709</definedName>
    <definedName name="PRBK">[1]list!$A$421:$B$709</definedName>
    <definedName name="ss">[3]list!$A$281:$B$304</definedName>
    <definedName name="аа">[1]list!$A$281:$B$304</definedName>
    <definedName name="в">[4]list!$A$281:$A$304</definedName>
    <definedName name="з">[5]list!$A$281:$A$304</definedName>
    <definedName name="_xlnm.Print_Titles" localSheetId="0">'ИП промяна декември 2022'!$6:$7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368" i="2" l="1"/>
  <c r="Y368" i="2"/>
  <c r="V368" i="2"/>
  <c r="S368" i="2"/>
  <c r="P368" i="2"/>
  <c r="M368" i="2"/>
  <c r="J368" i="2"/>
  <c r="F368" i="2"/>
  <c r="E368" i="2"/>
  <c r="B368" i="2" s="1"/>
  <c r="AA367" i="2"/>
  <c r="Z367" i="2"/>
  <c r="Z366" i="2" s="1"/>
  <c r="Z365" i="2" s="1"/>
  <c r="X367" i="2"/>
  <c r="X366" i="2" s="1"/>
  <c r="W367" i="2"/>
  <c r="U367" i="2"/>
  <c r="T367" i="2"/>
  <c r="T366" i="2" s="1"/>
  <c r="T365" i="2" s="1"/>
  <c r="R367" i="2"/>
  <c r="R366" i="2" s="1"/>
  <c r="Q367" i="2"/>
  <c r="Q366" i="2" s="1"/>
  <c r="Q365" i="2" s="1"/>
  <c r="O367" i="2"/>
  <c r="N367" i="2"/>
  <c r="N366" i="2" s="1"/>
  <c r="N365" i="2" s="1"/>
  <c r="L367" i="2"/>
  <c r="L366" i="2" s="1"/>
  <c r="K367" i="2"/>
  <c r="I367" i="2"/>
  <c r="H367" i="2"/>
  <c r="H366" i="2" s="1"/>
  <c r="H365" i="2" s="1"/>
  <c r="AB364" i="2"/>
  <c r="Y364" i="2"/>
  <c r="V364" i="2"/>
  <c r="S364" i="2"/>
  <c r="P364" i="2"/>
  <c r="L364" i="2"/>
  <c r="C364" i="2" s="1"/>
  <c r="K364" i="2"/>
  <c r="J364" i="2"/>
  <c r="G364" i="2"/>
  <c r="AB363" i="2"/>
  <c r="Y363" i="2"/>
  <c r="V363" i="2"/>
  <c r="S363" i="2"/>
  <c r="P363" i="2"/>
  <c r="M363" i="2"/>
  <c r="J363" i="2"/>
  <c r="G363" i="2"/>
  <c r="C363" i="2"/>
  <c r="B363" i="2"/>
  <c r="AA362" i="2"/>
  <c r="AA361" i="2" s="1"/>
  <c r="Z362" i="2"/>
  <c r="X362" i="2"/>
  <c r="W362" i="2"/>
  <c r="U362" i="2"/>
  <c r="U361" i="2" s="1"/>
  <c r="T362" i="2"/>
  <c r="R362" i="2"/>
  <c r="Q362" i="2"/>
  <c r="Q361" i="2" s="1"/>
  <c r="O362" i="2"/>
  <c r="N362" i="2"/>
  <c r="N361" i="2" s="1"/>
  <c r="L362" i="2"/>
  <c r="I362" i="2"/>
  <c r="I361" i="2" s="1"/>
  <c r="H362" i="2"/>
  <c r="F362" i="2"/>
  <c r="E362" i="2"/>
  <c r="E361" i="2" s="1"/>
  <c r="W361" i="2"/>
  <c r="AB360" i="2"/>
  <c r="Y360" i="2"/>
  <c r="V360" i="2"/>
  <c r="S360" i="2"/>
  <c r="P360" i="2"/>
  <c r="M360" i="2"/>
  <c r="J360" i="2"/>
  <c r="G360" i="2"/>
  <c r="C360" i="2"/>
  <c r="B360" i="2"/>
  <c r="AB359" i="2"/>
  <c r="Y359" i="2"/>
  <c r="V359" i="2"/>
  <c r="S359" i="2"/>
  <c r="P359" i="2"/>
  <c r="M359" i="2"/>
  <c r="J359" i="2"/>
  <c r="G359" i="2"/>
  <c r="C359" i="2"/>
  <c r="B359" i="2"/>
  <c r="AA358" i="2"/>
  <c r="Z358" i="2"/>
  <c r="Z357" i="2" s="1"/>
  <c r="X358" i="2"/>
  <c r="W358" i="2"/>
  <c r="W357" i="2" s="1"/>
  <c r="U358" i="2"/>
  <c r="U357" i="2" s="1"/>
  <c r="T358" i="2"/>
  <c r="R358" i="2"/>
  <c r="Q358" i="2"/>
  <c r="Q357" i="2" s="1"/>
  <c r="O358" i="2"/>
  <c r="O357" i="2" s="1"/>
  <c r="N358" i="2"/>
  <c r="N357" i="2" s="1"/>
  <c r="L358" i="2"/>
  <c r="K358" i="2"/>
  <c r="K357" i="2" s="1"/>
  <c r="I358" i="2"/>
  <c r="I357" i="2" s="1"/>
  <c r="H358" i="2"/>
  <c r="F358" i="2"/>
  <c r="E358" i="2"/>
  <c r="E357" i="2" s="1"/>
  <c r="AA357" i="2"/>
  <c r="AB356" i="2"/>
  <c r="Y356" i="2"/>
  <c r="V356" i="2"/>
  <c r="S356" i="2"/>
  <c r="P356" i="2"/>
  <c r="M356" i="2"/>
  <c r="J356" i="2"/>
  <c r="G356" i="2"/>
  <c r="C356" i="2"/>
  <c r="B356" i="2"/>
  <c r="AB355" i="2"/>
  <c r="Y355" i="2"/>
  <c r="V355" i="2"/>
  <c r="S355" i="2"/>
  <c r="R355" i="2"/>
  <c r="P355" i="2"/>
  <c r="M355" i="2"/>
  <c r="J355" i="2"/>
  <c r="G355" i="2"/>
  <c r="C355" i="2"/>
  <c r="B355" i="2"/>
  <c r="AA354" i="2"/>
  <c r="Z354" i="2"/>
  <c r="Z353" i="2" s="1"/>
  <c r="X354" i="2"/>
  <c r="X353" i="2" s="1"/>
  <c r="W354" i="2"/>
  <c r="W353" i="2" s="1"/>
  <c r="U354" i="2"/>
  <c r="T354" i="2"/>
  <c r="T353" i="2" s="1"/>
  <c r="R354" i="2"/>
  <c r="R353" i="2" s="1"/>
  <c r="Q354" i="2"/>
  <c r="O354" i="2"/>
  <c r="N354" i="2"/>
  <c r="N353" i="2" s="1"/>
  <c r="L354" i="2"/>
  <c r="K354" i="2"/>
  <c r="K353" i="2" s="1"/>
  <c r="I354" i="2"/>
  <c r="H354" i="2"/>
  <c r="H353" i="2" s="1"/>
  <c r="F354" i="2"/>
  <c r="F353" i="2" s="1"/>
  <c r="E354" i="2"/>
  <c r="AB352" i="2"/>
  <c r="Y352" i="2"/>
  <c r="V352" i="2"/>
  <c r="S352" i="2"/>
  <c r="P352" i="2"/>
  <c r="M352" i="2"/>
  <c r="J352" i="2"/>
  <c r="G352" i="2"/>
  <c r="C352" i="2"/>
  <c r="B352" i="2"/>
  <c r="AA351" i="2"/>
  <c r="Z351" i="2"/>
  <c r="X351" i="2"/>
  <c r="W351" i="2"/>
  <c r="W350" i="2" s="1"/>
  <c r="U351" i="2"/>
  <c r="U350" i="2" s="1"/>
  <c r="T351" i="2"/>
  <c r="T350" i="2" s="1"/>
  <c r="R351" i="2"/>
  <c r="Q351" i="2"/>
  <c r="Q350" i="2" s="1"/>
  <c r="O351" i="2"/>
  <c r="O350" i="2" s="1"/>
  <c r="N351" i="2"/>
  <c r="L351" i="2"/>
  <c r="K351" i="2"/>
  <c r="I351" i="2"/>
  <c r="I350" i="2" s="1"/>
  <c r="H351" i="2"/>
  <c r="H350" i="2" s="1"/>
  <c r="F351" i="2"/>
  <c r="E351" i="2"/>
  <c r="E350" i="2" s="1"/>
  <c r="AA350" i="2"/>
  <c r="K350" i="2"/>
  <c r="AB349" i="2"/>
  <c r="Y349" i="2"/>
  <c r="V349" i="2"/>
  <c r="S349" i="2"/>
  <c r="P349" i="2"/>
  <c r="M349" i="2"/>
  <c r="J349" i="2"/>
  <c r="G349" i="2"/>
  <c r="C349" i="2"/>
  <c r="B349" i="2"/>
  <c r="AA348" i="2"/>
  <c r="Z348" i="2"/>
  <c r="Z347" i="2" s="1"/>
  <c r="X348" i="2"/>
  <c r="X347" i="2" s="1"/>
  <c r="W348" i="2"/>
  <c r="U348" i="2"/>
  <c r="T348" i="2"/>
  <c r="T347" i="2" s="1"/>
  <c r="R348" i="2"/>
  <c r="R347" i="2" s="1"/>
  <c r="Q348" i="2"/>
  <c r="Q347" i="2" s="1"/>
  <c r="O348" i="2"/>
  <c r="N348" i="2"/>
  <c r="N347" i="2" s="1"/>
  <c r="L348" i="2"/>
  <c r="L347" i="2" s="1"/>
  <c r="K348" i="2"/>
  <c r="K347" i="2" s="1"/>
  <c r="I348" i="2"/>
  <c r="H348" i="2"/>
  <c r="H347" i="2" s="1"/>
  <c r="F348" i="2"/>
  <c r="E348" i="2"/>
  <c r="AB346" i="2"/>
  <c r="Y346" i="2"/>
  <c r="V346" i="2"/>
  <c r="S346" i="2"/>
  <c r="P346" i="2"/>
  <c r="M346" i="2"/>
  <c r="J346" i="2"/>
  <c r="G346" i="2"/>
  <c r="C346" i="2"/>
  <c r="B346" i="2"/>
  <c r="AB345" i="2"/>
  <c r="Y345" i="2"/>
  <c r="V345" i="2"/>
  <c r="S345" i="2"/>
  <c r="P345" i="2"/>
  <c r="L345" i="2"/>
  <c r="J345" i="2"/>
  <c r="G345" i="2"/>
  <c r="B345" i="2"/>
  <c r="AB344" i="2"/>
  <c r="Y344" i="2"/>
  <c r="V344" i="2"/>
  <c r="S344" i="2"/>
  <c r="P344" i="2"/>
  <c r="M344" i="2"/>
  <c r="J344" i="2"/>
  <c r="G344" i="2"/>
  <c r="C344" i="2"/>
  <c r="B344" i="2"/>
  <c r="AA343" i="2"/>
  <c r="AA342" i="2" s="1"/>
  <c r="Z343" i="2"/>
  <c r="Z342" i="2" s="1"/>
  <c r="X343" i="2"/>
  <c r="W343" i="2"/>
  <c r="U343" i="2"/>
  <c r="T343" i="2"/>
  <c r="T342" i="2" s="1"/>
  <c r="R343" i="2"/>
  <c r="R342" i="2" s="1"/>
  <c r="Q343" i="2"/>
  <c r="O343" i="2"/>
  <c r="O342" i="2" s="1"/>
  <c r="N343" i="2"/>
  <c r="N342" i="2" s="1"/>
  <c r="K343" i="2"/>
  <c r="K342" i="2" s="1"/>
  <c r="I343" i="2"/>
  <c r="H343" i="2"/>
  <c r="H342" i="2" s="1"/>
  <c r="F343" i="2"/>
  <c r="F342" i="2" s="1"/>
  <c r="E343" i="2"/>
  <c r="W342" i="2"/>
  <c r="AB340" i="2"/>
  <c r="Y340" i="2"/>
  <c r="V340" i="2"/>
  <c r="S340" i="2"/>
  <c r="P340" i="2"/>
  <c r="M340" i="2"/>
  <c r="J340" i="2"/>
  <c r="G340" i="2"/>
  <c r="C340" i="2"/>
  <c r="B340" i="2"/>
  <c r="AB339" i="2"/>
  <c r="Y339" i="2"/>
  <c r="V339" i="2"/>
  <c r="S339" i="2"/>
  <c r="P339" i="2"/>
  <c r="M339" i="2"/>
  <c r="J339" i="2"/>
  <c r="G339" i="2"/>
  <c r="C339" i="2"/>
  <c r="B339" i="2"/>
  <c r="AA338" i="2"/>
  <c r="Z338" i="2"/>
  <c r="X338" i="2"/>
  <c r="W338" i="2"/>
  <c r="U338" i="2"/>
  <c r="T338" i="2"/>
  <c r="R338" i="2"/>
  <c r="Q338" i="2"/>
  <c r="O338" i="2"/>
  <c r="N338" i="2"/>
  <c r="L338" i="2"/>
  <c r="K338" i="2"/>
  <c r="I338" i="2"/>
  <c r="H338" i="2"/>
  <c r="F338" i="2"/>
  <c r="E338" i="2"/>
  <c r="AB337" i="2"/>
  <c r="Y337" i="2"/>
  <c r="V337" i="2"/>
  <c r="S337" i="2"/>
  <c r="P337" i="2"/>
  <c r="M337" i="2"/>
  <c r="J337" i="2"/>
  <c r="G337" i="2"/>
  <c r="C337" i="2"/>
  <c r="B337" i="2"/>
  <c r="AB336" i="2"/>
  <c r="Y336" i="2"/>
  <c r="V336" i="2"/>
  <c r="S336" i="2"/>
  <c r="O336" i="2"/>
  <c r="N336" i="2"/>
  <c r="M336" i="2"/>
  <c r="J336" i="2"/>
  <c r="G336" i="2"/>
  <c r="AA335" i="2"/>
  <c r="Z335" i="2"/>
  <c r="X335" i="2"/>
  <c r="W335" i="2"/>
  <c r="U335" i="2"/>
  <c r="T335" i="2"/>
  <c r="R335" i="2"/>
  <c r="Q335" i="2"/>
  <c r="L335" i="2"/>
  <c r="K335" i="2"/>
  <c r="I335" i="2"/>
  <c r="H335" i="2"/>
  <c r="F335" i="2"/>
  <c r="E335" i="2"/>
  <c r="AB334" i="2"/>
  <c r="Y334" i="2"/>
  <c r="V334" i="2"/>
  <c r="S334" i="2"/>
  <c r="O334" i="2"/>
  <c r="N334" i="2"/>
  <c r="B334" i="2" s="1"/>
  <c r="M334" i="2"/>
  <c r="J334" i="2"/>
  <c r="G334" i="2"/>
  <c r="AA333" i="2"/>
  <c r="Z333" i="2"/>
  <c r="X333" i="2"/>
  <c r="W333" i="2"/>
  <c r="U333" i="2"/>
  <c r="T333" i="2"/>
  <c r="R333" i="2"/>
  <c r="Q333" i="2"/>
  <c r="N333" i="2"/>
  <c r="L333" i="2"/>
  <c r="K333" i="2"/>
  <c r="I333" i="2"/>
  <c r="H333" i="2"/>
  <c r="F333" i="2"/>
  <c r="E333" i="2"/>
  <c r="AB332" i="2"/>
  <c r="Y332" i="2"/>
  <c r="V332" i="2"/>
  <c r="S332" i="2"/>
  <c r="P332" i="2"/>
  <c r="M332" i="2"/>
  <c r="J332" i="2"/>
  <c r="G332" i="2"/>
  <c r="C332" i="2"/>
  <c r="B332" i="2"/>
  <c r="AA331" i="2"/>
  <c r="Z331" i="2"/>
  <c r="X331" i="2"/>
  <c r="W331" i="2"/>
  <c r="U331" i="2"/>
  <c r="T331" i="2"/>
  <c r="R331" i="2"/>
  <c r="Q331" i="2"/>
  <c r="O331" i="2"/>
  <c r="N331" i="2"/>
  <c r="L331" i="2"/>
  <c r="K331" i="2"/>
  <c r="I331" i="2"/>
  <c r="H331" i="2"/>
  <c r="F331" i="2"/>
  <c r="E331" i="2"/>
  <c r="AB329" i="2"/>
  <c r="Y329" i="2"/>
  <c r="V329" i="2"/>
  <c r="S329" i="2"/>
  <c r="P329" i="2"/>
  <c r="L329" i="2"/>
  <c r="C329" i="2" s="1"/>
  <c r="K329" i="2"/>
  <c r="J329" i="2"/>
  <c r="G329" i="2"/>
  <c r="B329" i="2"/>
  <c r="AB328" i="2"/>
  <c r="Y328" i="2"/>
  <c r="V328" i="2"/>
  <c r="S328" i="2"/>
  <c r="P328" i="2"/>
  <c r="L328" i="2"/>
  <c r="J328" i="2"/>
  <c r="G328" i="2"/>
  <c r="B328" i="2"/>
  <c r="AA327" i="2"/>
  <c r="Z327" i="2"/>
  <c r="X327" i="2"/>
  <c r="W327" i="2"/>
  <c r="U327" i="2"/>
  <c r="T327" i="2"/>
  <c r="R327" i="2"/>
  <c r="Q327" i="2"/>
  <c r="O327" i="2"/>
  <c r="N327" i="2"/>
  <c r="K327" i="2"/>
  <c r="I327" i="2"/>
  <c r="H327" i="2"/>
  <c r="F327" i="2"/>
  <c r="E327" i="2"/>
  <c r="AB326" i="2"/>
  <c r="Y326" i="2"/>
  <c r="U326" i="2"/>
  <c r="U324" i="2" s="1"/>
  <c r="T326" i="2"/>
  <c r="S326" i="2"/>
  <c r="P326" i="2"/>
  <c r="M326" i="2"/>
  <c r="J326" i="2"/>
  <c r="F326" i="2"/>
  <c r="E326" i="2"/>
  <c r="AB325" i="2"/>
  <c r="Y325" i="2"/>
  <c r="V325" i="2"/>
  <c r="S325" i="2"/>
  <c r="P325" i="2"/>
  <c r="L325" i="2"/>
  <c r="K325" i="2"/>
  <c r="J325" i="2"/>
  <c r="G325" i="2"/>
  <c r="B325" i="2"/>
  <c r="AA324" i="2"/>
  <c r="Z324" i="2"/>
  <c r="X324" i="2"/>
  <c r="W324" i="2"/>
  <c r="R324" i="2"/>
  <c r="Q324" i="2"/>
  <c r="O324" i="2"/>
  <c r="N324" i="2"/>
  <c r="K324" i="2"/>
  <c r="I324" i="2"/>
  <c r="H324" i="2"/>
  <c r="E324" i="2"/>
  <c r="AB323" i="2"/>
  <c r="Y323" i="2"/>
  <c r="V323" i="2"/>
  <c r="R323" i="2"/>
  <c r="P323" i="2"/>
  <c r="M323" i="2"/>
  <c r="J323" i="2"/>
  <c r="G323" i="2"/>
  <c r="B323" i="2"/>
  <c r="AB322" i="2"/>
  <c r="Y322" i="2"/>
  <c r="V322" i="2"/>
  <c r="S322" i="2"/>
  <c r="P322" i="2"/>
  <c r="M322" i="2"/>
  <c r="J322" i="2"/>
  <c r="G322" i="2"/>
  <c r="C322" i="2"/>
  <c r="B322" i="2"/>
  <c r="AB321" i="2"/>
  <c r="Y321" i="2"/>
  <c r="V321" i="2"/>
  <c r="S321" i="2"/>
  <c r="O321" i="2"/>
  <c r="O320" i="2" s="1"/>
  <c r="N321" i="2"/>
  <c r="B321" i="2" s="1"/>
  <c r="M321" i="2"/>
  <c r="J321" i="2"/>
  <c r="G321" i="2"/>
  <c r="AA320" i="2"/>
  <c r="Z320" i="2"/>
  <c r="X320" i="2"/>
  <c r="W320" i="2"/>
  <c r="U320" i="2"/>
  <c r="T320" i="2"/>
  <c r="Q320" i="2"/>
  <c r="N320" i="2"/>
  <c r="L320" i="2"/>
  <c r="K320" i="2"/>
  <c r="I320" i="2"/>
  <c r="H320" i="2"/>
  <c r="F320" i="2"/>
  <c r="E320" i="2"/>
  <c r="AB319" i="2"/>
  <c r="Y319" i="2"/>
  <c r="V319" i="2"/>
  <c r="S319" i="2"/>
  <c r="P319" i="2"/>
  <c r="L319" i="2"/>
  <c r="K319" i="2"/>
  <c r="J319" i="2"/>
  <c r="G319" i="2"/>
  <c r="C319" i="2"/>
  <c r="AB318" i="2"/>
  <c r="Y318" i="2"/>
  <c r="V318" i="2"/>
  <c r="S318" i="2"/>
  <c r="P318" i="2"/>
  <c r="M318" i="2"/>
  <c r="J318" i="2"/>
  <c r="G318" i="2"/>
  <c r="C318" i="2"/>
  <c r="B318" i="2"/>
  <c r="AB317" i="2"/>
  <c r="Y317" i="2"/>
  <c r="V317" i="2"/>
  <c r="S317" i="2"/>
  <c r="P317" i="2"/>
  <c r="M317" i="2"/>
  <c r="J317" i="2"/>
  <c r="G317" i="2"/>
  <c r="C317" i="2"/>
  <c r="B317" i="2"/>
  <c r="AB316" i="2"/>
  <c r="Y316" i="2"/>
  <c r="V316" i="2"/>
  <c r="S316" i="2"/>
  <c r="P316" i="2"/>
  <c r="M316" i="2"/>
  <c r="J316" i="2"/>
  <c r="G316" i="2"/>
  <c r="C316" i="2"/>
  <c r="B316" i="2"/>
  <c r="AB315" i="2"/>
  <c r="Y315" i="2"/>
  <c r="V315" i="2"/>
  <c r="S315" i="2"/>
  <c r="P315" i="2"/>
  <c r="M315" i="2"/>
  <c r="J315" i="2"/>
  <c r="G315" i="2"/>
  <c r="C315" i="2"/>
  <c r="B315" i="2"/>
  <c r="AB314" i="2"/>
  <c r="Y314" i="2"/>
  <c r="V314" i="2"/>
  <c r="S314" i="2"/>
  <c r="P314" i="2"/>
  <c r="M314" i="2"/>
  <c r="J314" i="2"/>
  <c r="G314" i="2"/>
  <c r="C314" i="2"/>
  <c r="B314" i="2"/>
  <c r="AB313" i="2"/>
  <c r="Y313" i="2"/>
  <c r="V313" i="2"/>
  <c r="S313" i="2"/>
  <c r="P313" i="2"/>
  <c r="L313" i="2"/>
  <c r="K313" i="2"/>
  <c r="B313" i="2" s="1"/>
  <c r="J313" i="2"/>
  <c r="G313" i="2"/>
  <c r="C313" i="2"/>
  <c r="AB312" i="2"/>
  <c r="Y312" i="2"/>
  <c r="V312" i="2"/>
  <c r="S312" i="2"/>
  <c r="P312" i="2"/>
  <c r="L312" i="2"/>
  <c r="K312" i="2"/>
  <c r="J312" i="2"/>
  <c r="F312" i="2"/>
  <c r="E312" i="2"/>
  <c r="AB311" i="2"/>
  <c r="Y311" i="2"/>
  <c r="V311" i="2"/>
  <c r="S311" i="2"/>
  <c r="P311" i="2"/>
  <c r="M311" i="2"/>
  <c r="J311" i="2"/>
  <c r="G311" i="2"/>
  <c r="C311" i="2"/>
  <c r="B311" i="2"/>
  <c r="AB310" i="2"/>
  <c r="Y310" i="2"/>
  <c r="V310" i="2"/>
  <c r="S310" i="2"/>
  <c r="P310" i="2"/>
  <c r="M310" i="2"/>
  <c r="J310" i="2"/>
  <c r="G310" i="2"/>
  <c r="C310" i="2"/>
  <c r="B310" i="2"/>
  <c r="AB309" i="2"/>
  <c r="Y309" i="2"/>
  <c r="V309" i="2"/>
  <c r="S309" i="2"/>
  <c r="P309" i="2"/>
  <c r="M309" i="2"/>
  <c r="J309" i="2"/>
  <c r="G309" i="2"/>
  <c r="C309" i="2"/>
  <c r="B309" i="2"/>
  <c r="AB308" i="2"/>
  <c r="Y308" i="2"/>
  <c r="V308" i="2"/>
  <c r="S308" i="2"/>
  <c r="P308" i="2"/>
  <c r="M308" i="2"/>
  <c r="J308" i="2"/>
  <c r="G308" i="2"/>
  <c r="C308" i="2"/>
  <c r="B308" i="2"/>
  <c r="AA307" i="2"/>
  <c r="Z307" i="2"/>
  <c r="X307" i="2"/>
  <c r="W307" i="2"/>
  <c r="U307" i="2"/>
  <c r="T307" i="2"/>
  <c r="R307" i="2"/>
  <c r="Q307" i="2"/>
  <c r="O307" i="2"/>
  <c r="N307" i="2"/>
  <c r="I307" i="2"/>
  <c r="H307" i="2"/>
  <c r="AB306" i="2"/>
  <c r="Y306" i="2"/>
  <c r="V306" i="2"/>
  <c r="R306" i="2"/>
  <c r="C306" i="2" s="1"/>
  <c r="P306" i="2"/>
  <c r="M306" i="2"/>
  <c r="J306" i="2"/>
  <c r="G306" i="2"/>
  <c r="B306" i="2"/>
  <c r="AB305" i="2"/>
  <c r="Y305" i="2"/>
  <c r="V305" i="2"/>
  <c r="S305" i="2"/>
  <c r="P305" i="2"/>
  <c r="L305" i="2"/>
  <c r="K305" i="2"/>
  <c r="B305" i="2" s="1"/>
  <c r="J305" i="2"/>
  <c r="G305" i="2"/>
  <c r="AB304" i="2"/>
  <c r="Y304" i="2"/>
  <c r="V304" i="2"/>
  <c r="S304" i="2"/>
  <c r="P304" i="2"/>
  <c r="M304" i="2"/>
  <c r="J304" i="2"/>
  <c r="G304" i="2"/>
  <c r="C304" i="2"/>
  <c r="B304" i="2"/>
  <c r="AB303" i="2"/>
  <c r="Y303" i="2"/>
  <c r="V303" i="2"/>
  <c r="S303" i="2"/>
  <c r="O303" i="2"/>
  <c r="N303" i="2"/>
  <c r="N302" i="2" s="1"/>
  <c r="M303" i="2"/>
  <c r="J303" i="2"/>
  <c r="F303" i="2"/>
  <c r="E303" i="2"/>
  <c r="AA302" i="2"/>
  <c r="Z302" i="2"/>
  <c r="X302" i="2"/>
  <c r="W302" i="2"/>
  <c r="U302" i="2"/>
  <c r="T302" i="2"/>
  <c r="Q302" i="2"/>
  <c r="O302" i="2"/>
  <c r="P302" i="2" s="1"/>
  <c r="K302" i="2"/>
  <c r="I302" i="2"/>
  <c r="H302" i="2"/>
  <c r="E302" i="2"/>
  <c r="AB300" i="2"/>
  <c r="Y300" i="2"/>
  <c r="V300" i="2"/>
  <c r="S300" i="2"/>
  <c r="P300" i="2"/>
  <c r="L300" i="2"/>
  <c r="M300" i="2" s="1"/>
  <c r="J300" i="2"/>
  <c r="G300" i="2"/>
  <c r="B300" i="2"/>
  <c r="AB299" i="2"/>
  <c r="Y299" i="2"/>
  <c r="V299" i="2"/>
  <c r="S299" i="2"/>
  <c r="P299" i="2"/>
  <c r="M299" i="2"/>
  <c r="J299" i="2"/>
  <c r="G299" i="2"/>
  <c r="C299" i="2"/>
  <c r="B299" i="2"/>
  <c r="AA298" i="2"/>
  <c r="Z298" i="2"/>
  <c r="X298" i="2"/>
  <c r="W298" i="2"/>
  <c r="U298" i="2"/>
  <c r="T298" i="2"/>
  <c r="R298" i="2"/>
  <c r="Q298" i="2"/>
  <c r="O298" i="2"/>
  <c r="N298" i="2"/>
  <c r="K298" i="2"/>
  <c r="I298" i="2"/>
  <c r="H298" i="2"/>
  <c r="F298" i="2"/>
  <c r="E298" i="2"/>
  <c r="AB297" i="2"/>
  <c r="Y297" i="2"/>
  <c r="V297" i="2"/>
  <c r="S297" i="2"/>
  <c r="P297" i="2"/>
  <c r="M297" i="2"/>
  <c r="J297" i="2"/>
  <c r="G297" i="2"/>
  <c r="C297" i="2"/>
  <c r="B297" i="2"/>
  <c r="AB296" i="2"/>
  <c r="Y296" i="2"/>
  <c r="V296" i="2"/>
  <c r="S296" i="2"/>
  <c r="P296" i="2"/>
  <c r="M296" i="2"/>
  <c r="J296" i="2"/>
  <c r="G296" i="2"/>
  <c r="C296" i="2"/>
  <c r="B296" i="2"/>
  <c r="AB295" i="2"/>
  <c r="Y295" i="2"/>
  <c r="V295" i="2"/>
  <c r="S295" i="2"/>
  <c r="P295" i="2"/>
  <c r="M295" i="2"/>
  <c r="J295" i="2"/>
  <c r="F295" i="2"/>
  <c r="E295" i="2"/>
  <c r="B295" i="2" s="1"/>
  <c r="AA294" i="2"/>
  <c r="Z294" i="2"/>
  <c r="Y294" i="2"/>
  <c r="V294" i="2"/>
  <c r="S294" i="2"/>
  <c r="P294" i="2"/>
  <c r="M294" i="2"/>
  <c r="J294" i="2"/>
  <c r="F294" i="2"/>
  <c r="G294" i="2" s="1"/>
  <c r="E294" i="2"/>
  <c r="AB293" i="2"/>
  <c r="Y293" i="2"/>
  <c r="V293" i="2"/>
  <c r="S293" i="2"/>
  <c r="P293" i="2"/>
  <c r="M293" i="2"/>
  <c r="J293" i="2"/>
  <c r="G293" i="2"/>
  <c r="C293" i="2"/>
  <c r="B293" i="2"/>
  <c r="AB292" i="2"/>
  <c r="Y292" i="2"/>
  <c r="U292" i="2"/>
  <c r="T292" i="2"/>
  <c r="B292" i="2" s="1"/>
  <c r="S292" i="2"/>
  <c r="P292" i="2"/>
  <c r="M292" i="2"/>
  <c r="J292" i="2"/>
  <c r="G292" i="2"/>
  <c r="AB291" i="2"/>
  <c r="Y291" i="2"/>
  <c r="V291" i="2"/>
  <c r="S291" i="2"/>
  <c r="P291" i="2"/>
  <c r="M291" i="2"/>
  <c r="J291" i="2"/>
  <c r="G291" i="2"/>
  <c r="C291" i="2"/>
  <c r="B291" i="2"/>
  <c r="AB290" i="2"/>
  <c r="Y290" i="2"/>
  <c r="V290" i="2"/>
  <c r="S290" i="2"/>
  <c r="P290" i="2"/>
  <c r="L290" i="2"/>
  <c r="K290" i="2"/>
  <c r="I290" i="2"/>
  <c r="H290" i="2"/>
  <c r="H275" i="2" s="1"/>
  <c r="G290" i="2"/>
  <c r="AB289" i="2"/>
  <c r="Y289" i="2"/>
  <c r="V289" i="2"/>
  <c r="S289" i="2"/>
  <c r="P289" i="2"/>
  <c r="M289" i="2"/>
  <c r="J289" i="2"/>
  <c r="G289" i="2"/>
  <c r="C289" i="2"/>
  <c r="B289" i="2"/>
  <c r="AB288" i="2"/>
  <c r="Y288" i="2"/>
  <c r="U288" i="2"/>
  <c r="T288" i="2"/>
  <c r="V288" i="2" s="1"/>
  <c r="S288" i="2"/>
  <c r="P288" i="2"/>
  <c r="M288" i="2"/>
  <c r="J288" i="2"/>
  <c r="F288" i="2"/>
  <c r="E288" i="2"/>
  <c r="AB287" i="2"/>
  <c r="Y287" i="2"/>
  <c r="V287" i="2"/>
  <c r="S287" i="2"/>
  <c r="P287" i="2"/>
  <c r="M287" i="2"/>
  <c r="J287" i="2"/>
  <c r="G287" i="2"/>
  <c r="C287" i="2"/>
  <c r="B287" i="2"/>
  <c r="AB286" i="2"/>
  <c r="X286" i="2"/>
  <c r="W286" i="2"/>
  <c r="U286" i="2"/>
  <c r="T286" i="2"/>
  <c r="S286" i="2"/>
  <c r="P286" i="2"/>
  <c r="M286" i="2"/>
  <c r="J286" i="2"/>
  <c r="G286" i="2"/>
  <c r="AB285" i="2"/>
  <c r="Y285" i="2"/>
  <c r="U285" i="2"/>
  <c r="C285" i="2" s="1"/>
  <c r="T285" i="2"/>
  <c r="S285" i="2"/>
  <c r="P285" i="2"/>
  <c r="M285" i="2"/>
  <c r="J285" i="2"/>
  <c r="G285" i="2"/>
  <c r="B285" i="2"/>
  <c r="AB284" i="2"/>
  <c r="Y284" i="2"/>
  <c r="U284" i="2"/>
  <c r="C284" i="2" s="1"/>
  <c r="T284" i="2"/>
  <c r="B284" i="2" s="1"/>
  <c r="S284" i="2"/>
  <c r="P284" i="2"/>
  <c r="M284" i="2"/>
  <c r="J284" i="2"/>
  <c r="G284" i="2"/>
  <c r="AB283" i="2"/>
  <c r="Y283" i="2"/>
  <c r="U283" i="2"/>
  <c r="C283" i="2" s="1"/>
  <c r="T283" i="2"/>
  <c r="V283" i="2" s="1"/>
  <c r="S283" i="2"/>
  <c r="P283" i="2"/>
  <c r="M283" i="2"/>
  <c r="J283" i="2"/>
  <c r="G283" i="2"/>
  <c r="AA282" i="2"/>
  <c r="AB282" i="2" s="1"/>
  <c r="X282" i="2"/>
  <c r="Y282" i="2" s="1"/>
  <c r="U282" i="2"/>
  <c r="T282" i="2"/>
  <c r="B282" i="2" s="1"/>
  <c r="S282" i="2"/>
  <c r="P282" i="2"/>
  <c r="M282" i="2"/>
  <c r="J282" i="2"/>
  <c r="G282" i="2"/>
  <c r="AB281" i="2"/>
  <c r="Y281" i="2"/>
  <c r="U281" i="2"/>
  <c r="T281" i="2"/>
  <c r="S281" i="2"/>
  <c r="P281" i="2"/>
  <c r="M281" i="2"/>
  <c r="J281" i="2"/>
  <c r="F281" i="2"/>
  <c r="E281" i="2"/>
  <c r="E275" i="2" s="1"/>
  <c r="AB280" i="2"/>
  <c r="Y280" i="2"/>
  <c r="V280" i="2"/>
  <c r="S280" i="2"/>
  <c r="P280" i="2"/>
  <c r="M280" i="2"/>
  <c r="J280" i="2"/>
  <c r="G280" i="2"/>
  <c r="C280" i="2"/>
  <c r="B280" i="2"/>
  <c r="AB279" i="2"/>
  <c r="Y279" i="2"/>
  <c r="V279" i="2"/>
  <c r="S279" i="2"/>
  <c r="P279" i="2"/>
  <c r="L279" i="2"/>
  <c r="J279" i="2"/>
  <c r="G279" i="2"/>
  <c r="B279" i="2"/>
  <c r="AB278" i="2"/>
  <c r="Y278" i="2"/>
  <c r="V278" i="2"/>
  <c r="S278" i="2"/>
  <c r="P278" i="2"/>
  <c r="M278" i="2"/>
  <c r="J278" i="2"/>
  <c r="G278" i="2"/>
  <c r="C278" i="2"/>
  <c r="B278" i="2"/>
  <c r="AB277" i="2"/>
  <c r="Y277" i="2"/>
  <c r="V277" i="2"/>
  <c r="S277" i="2"/>
  <c r="P277" i="2"/>
  <c r="M277" i="2"/>
  <c r="J277" i="2"/>
  <c r="G277" i="2"/>
  <c r="C277" i="2"/>
  <c r="B277" i="2"/>
  <c r="AB276" i="2"/>
  <c r="Y276" i="2"/>
  <c r="V276" i="2"/>
  <c r="S276" i="2"/>
  <c r="P276" i="2"/>
  <c r="M276" i="2"/>
  <c r="I276" i="2"/>
  <c r="C276" i="2" s="1"/>
  <c r="G276" i="2"/>
  <c r="B276" i="2"/>
  <c r="X275" i="2"/>
  <c r="R275" i="2"/>
  <c r="Q275" i="2"/>
  <c r="O275" i="2"/>
  <c r="N275" i="2"/>
  <c r="AB274" i="2"/>
  <c r="Y274" i="2"/>
  <c r="V274" i="2"/>
  <c r="S274" i="2"/>
  <c r="P274" i="2"/>
  <c r="M274" i="2"/>
  <c r="J274" i="2"/>
  <c r="G274" i="2"/>
  <c r="C274" i="2"/>
  <c r="B274" i="2"/>
  <c r="AB273" i="2"/>
  <c r="Y273" i="2"/>
  <c r="V273" i="2"/>
  <c r="S273" i="2"/>
  <c r="P273" i="2"/>
  <c r="M273" i="2"/>
  <c r="J273" i="2"/>
  <c r="G273" i="2"/>
  <c r="C273" i="2"/>
  <c r="B273" i="2"/>
  <c r="AB272" i="2"/>
  <c r="Y272" i="2"/>
  <c r="V272" i="2"/>
  <c r="S272" i="2"/>
  <c r="P272" i="2"/>
  <c r="M272" i="2"/>
  <c r="J272" i="2"/>
  <c r="G272" i="2"/>
  <c r="C272" i="2"/>
  <c r="B272" i="2"/>
  <c r="AB271" i="2"/>
  <c r="Y271" i="2"/>
  <c r="V271" i="2"/>
  <c r="S271" i="2"/>
  <c r="P271" i="2"/>
  <c r="M271" i="2"/>
  <c r="J271" i="2"/>
  <c r="G271" i="2"/>
  <c r="C271" i="2"/>
  <c r="B271" i="2"/>
  <c r="AB270" i="2"/>
  <c r="Y270" i="2"/>
  <c r="V270" i="2"/>
  <c r="S270" i="2"/>
  <c r="P270" i="2"/>
  <c r="M270" i="2"/>
  <c r="J270" i="2"/>
  <c r="G270" i="2"/>
  <c r="C270" i="2"/>
  <c r="B270" i="2"/>
  <c r="AB269" i="2"/>
  <c r="Y269" i="2"/>
  <c r="V269" i="2"/>
  <c r="S269" i="2"/>
  <c r="P269" i="2"/>
  <c r="L269" i="2"/>
  <c r="K269" i="2"/>
  <c r="J269" i="2"/>
  <c r="G269" i="2"/>
  <c r="C269" i="2"/>
  <c r="B269" i="2"/>
  <c r="AB268" i="2"/>
  <c r="Y268" i="2"/>
  <c r="V268" i="2"/>
  <c r="S268" i="2"/>
  <c r="P268" i="2"/>
  <c r="L268" i="2"/>
  <c r="K268" i="2"/>
  <c r="J268" i="2"/>
  <c r="G268" i="2"/>
  <c r="C268" i="2"/>
  <c r="AA267" i="2"/>
  <c r="Z267" i="2"/>
  <c r="X267" i="2"/>
  <c r="W267" i="2"/>
  <c r="U267" i="2"/>
  <c r="T267" i="2"/>
  <c r="R267" i="2"/>
  <c r="Q267" i="2"/>
  <c r="O267" i="2"/>
  <c r="N267" i="2"/>
  <c r="I267" i="2"/>
  <c r="H267" i="2"/>
  <c r="F267" i="2"/>
  <c r="E267" i="2"/>
  <c r="AB266" i="2"/>
  <c r="Y266" i="2"/>
  <c r="V266" i="2"/>
  <c r="S266" i="2"/>
  <c r="P266" i="2"/>
  <c r="M266" i="2"/>
  <c r="J266" i="2"/>
  <c r="G266" i="2"/>
  <c r="C266" i="2"/>
  <c r="B266" i="2"/>
  <c r="AB265" i="2"/>
  <c r="Y265" i="2"/>
  <c r="V265" i="2"/>
  <c r="S265" i="2"/>
  <c r="P265" i="2"/>
  <c r="M265" i="2"/>
  <c r="J265" i="2"/>
  <c r="G265" i="2"/>
  <c r="C265" i="2"/>
  <c r="B265" i="2"/>
  <c r="AB264" i="2"/>
  <c r="Y264" i="2"/>
  <c r="V264" i="2"/>
  <c r="S264" i="2"/>
  <c r="P264" i="2"/>
  <c r="M264" i="2"/>
  <c r="J264" i="2"/>
  <c r="G264" i="2"/>
  <c r="C264" i="2"/>
  <c r="B264" i="2"/>
  <c r="AA263" i="2"/>
  <c r="Z263" i="2"/>
  <c r="X263" i="2"/>
  <c r="W263" i="2"/>
  <c r="U263" i="2"/>
  <c r="T263" i="2"/>
  <c r="R263" i="2"/>
  <c r="Q263" i="2"/>
  <c r="O263" i="2"/>
  <c r="N263" i="2"/>
  <c r="L263" i="2"/>
  <c r="K263" i="2"/>
  <c r="I263" i="2"/>
  <c r="H263" i="2"/>
  <c r="F263" i="2"/>
  <c r="E263" i="2"/>
  <c r="AB262" i="2"/>
  <c r="Y262" i="2"/>
  <c r="V262" i="2"/>
  <c r="S262" i="2"/>
  <c r="P262" i="2"/>
  <c r="M262" i="2"/>
  <c r="J262" i="2"/>
  <c r="G262" i="2"/>
  <c r="C262" i="2"/>
  <c r="B262" i="2"/>
  <c r="AB261" i="2"/>
  <c r="Y261" i="2"/>
  <c r="V261" i="2"/>
  <c r="S261" i="2"/>
  <c r="P261" i="2"/>
  <c r="M261" i="2"/>
  <c r="J261" i="2"/>
  <c r="G261" i="2"/>
  <c r="C261" i="2"/>
  <c r="B261" i="2"/>
  <c r="AB260" i="2"/>
  <c r="Y260" i="2"/>
  <c r="V260" i="2"/>
  <c r="S260" i="2"/>
  <c r="P260" i="2"/>
  <c r="M260" i="2"/>
  <c r="J260" i="2"/>
  <c r="G260" i="2"/>
  <c r="C260" i="2"/>
  <c r="B260" i="2"/>
  <c r="AB259" i="2"/>
  <c r="Y259" i="2"/>
  <c r="V259" i="2"/>
  <c r="S259" i="2"/>
  <c r="P259" i="2"/>
  <c r="M259" i="2"/>
  <c r="J259" i="2"/>
  <c r="G259" i="2"/>
  <c r="C259" i="2"/>
  <c r="B259" i="2"/>
  <c r="AA258" i="2"/>
  <c r="Z258" i="2"/>
  <c r="X258" i="2"/>
  <c r="W258" i="2"/>
  <c r="U258" i="2"/>
  <c r="T258" i="2"/>
  <c r="R258" i="2"/>
  <c r="Q258" i="2"/>
  <c r="O258" i="2"/>
  <c r="N258" i="2"/>
  <c r="L258" i="2"/>
  <c r="K258" i="2"/>
  <c r="I258" i="2"/>
  <c r="H258" i="2"/>
  <c r="F258" i="2"/>
  <c r="E258" i="2"/>
  <c r="AB257" i="2"/>
  <c r="Y257" i="2"/>
  <c r="V257" i="2"/>
  <c r="S257" i="2"/>
  <c r="P257" i="2"/>
  <c r="M257" i="2"/>
  <c r="J257" i="2"/>
  <c r="G257" i="2"/>
  <c r="C257" i="2"/>
  <c r="B257" i="2"/>
  <c r="AB256" i="2"/>
  <c r="Y256" i="2"/>
  <c r="V256" i="2"/>
  <c r="S256" i="2"/>
  <c r="P256" i="2"/>
  <c r="M256" i="2"/>
  <c r="J256" i="2"/>
  <c r="G256" i="2"/>
  <c r="C256" i="2"/>
  <c r="B256" i="2"/>
  <c r="AA255" i="2"/>
  <c r="Z255" i="2"/>
  <c r="X255" i="2"/>
  <c r="W255" i="2"/>
  <c r="U255" i="2"/>
  <c r="T255" i="2"/>
  <c r="R255" i="2"/>
  <c r="Q255" i="2"/>
  <c r="O255" i="2"/>
  <c r="N255" i="2"/>
  <c r="L255" i="2"/>
  <c r="K255" i="2"/>
  <c r="I255" i="2"/>
  <c r="H255" i="2"/>
  <c r="F255" i="2"/>
  <c r="E255" i="2"/>
  <c r="AB253" i="2"/>
  <c r="Y253" i="2"/>
  <c r="V253" i="2"/>
  <c r="S253" i="2"/>
  <c r="P253" i="2"/>
  <c r="M253" i="2"/>
  <c r="J253" i="2"/>
  <c r="G253" i="2"/>
  <c r="C253" i="2"/>
  <c r="B253" i="2"/>
  <c r="AA252" i="2"/>
  <c r="Z252" i="2"/>
  <c r="X252" i="2"/>
  <c r="W252" i="2"/>
  <c r="U252" i="2"/>
  <c r="T252" i="2"/>
  <c r="R252" i="2"/>
  <c r="Q252" i="2"/>
  <c r="O252" i="2"/>
  <c r="N252" i="2"/>
  <c r="L252" i="2"/>
  <c r="K252" i="2"/>
  <c r="I252" i="2"/>
  <c r="H252" i="2"/>
  <c r="F252" i="2"/>
  <c r="E252" i="2"/>
  <c r="AB251" i="2"/>
  <c r="Y251" i="2"/>
  <c r="V251" i="2"/>
  <c r="S251" i="2"/>
  <c r="P251" i="2"/>
  <c r="M251" i="2"/>
  <c r="J251" i="2"/>
  <c r="G251" i="2"/>
  <c r="C251" i="2"/>
  <c r="B251" i="2"/>
  <c r="AB250" i="2"/>
  <c r="Y250" i="2"/>
  <c r="V250" i="2"/>
  <c r="S250" i="2"/>
  <c r="P250" i="2"/>
  <c r="M250" i="2"/>
  <c r="J250" i="2"/>
  <c r="G250" i="2"/>
  <c r="C250" i="2"/>
  <c r="B250" i="2"/>
  <c r="AB249" i="2"/>
  <c r="Y249" i="2"/>
  <c r="V249" i="2"/>
  <c r="S249" i="2"/>
  <c r="P249" i="2"/>
  <c r="M249" i="2"/>
  <c r="J249" i="2"/>
  <c r="G249" i="2"/>
  <c r="C249" i="2"/>
  <c r="B249" i="2"/>
  <c r="AB248" i="2"/>
  <c r="Y248" i="2"/>
  <c r="V248" i="2"/>
  <c r="R248" i="2"/>
  <c r="Q248" i="2"/>
  <c r="P248" i="2"/>
  <c r="L248" i="2"/>
  <c r="K248" i="2"/>
  <c r="J248" i="2"/>
  <c r="G248" i="2"/>
  <c r="AB247" i="2"/>
  <c r="Y247" i="2"/>
  <c r="V247" i="2"/>
  <c r="R247" i="2"/>
  <c r="Q247" i="2"/>
  <c r="P247" i="2"/>
  <c r="L247" i="2"/>
  <c r="K247" i="2"/>
  <c r="J247" i="2"/>
  <c r="G247" i="2"/>
  <c r="AB246" i="2"/>
  <c r="Y246" i="2"/>
  <c r="V246" i="2"/>
  <c r="S246" i="2"/>
  <c r="P246" i="2"/>
  <c r="M246" i="2"/>
  <c r="J246" i="2"/>
  <c r="G246" i="2"/>
  <c r="C246" i="2"/>
  <c r="B246" i="2"/>
  <c r="AB245" i="2"/>
  <c r="Y245" i="2"/>
  <c r="V245" i="2"/>
  <c r="R245" i="2"/>
  <c r="Q245" i="2"/>
  <c r="B245" i="2" s="1"/>
  <c r="P245" i="2"/>
  <c r="M245" i="2"/>
  <c r="J245" i="2"/>
  <c r="G245" i="2"/>
  <c r="AA244" i="2"/>
  <c r="Z244" i="2"/>
  <c r="X244" i="2"/>
  <c r="W244" i="2"/>
  <c r="U244" i="2"/>
  <c r="T244" i="2"/>
  <c r="O244" i="2"/>
  <c r="N244" i="2"/>
  <c r="I244" i="2"/>
  <c r="H244" i="2"/>
  <c r="F244" i="2"/>
  <c r="E244" i="2"/>
  <c r="AB243" i="2"/>
  <c r="Y243" i="2"/>
  <c r="V243" i="2"/>
  <c r="S243" i="2"/>
  <c r="O243" i="2"/>
  <c r="N243" i="2"/>
  <c r="N239" i="2" s="1"/>
  <c r="M243" i="2"/>
  <c r="J243" i="2"/>
  <c r="G243" i="2"/>
  <c r="C243" i="2"/>
  <c r="B243" i="2"/>
  <c r="AB242" i="2"/>
  <c r="Y242" i="2"/>
  <c r="V242" i="2"/>
  <c r="S242" i="2"/>
  <c r="P242" i="2"/>
  <c r="M242" i="2"/>
  <c r="J242" i="2"/>
  <c r="G242" i="2"/>
  <c r="C242" i="2"/>
  <c r="B242" i="2"/>
  <c r="AB241" i="2"/>
  <c r="Y241" i="2"/>
  <c r="V241" i="2"/>
  <c r="S241" i="2"/>
  <c r="P241" i="2"/>
  <c r="M241" i="2"/>
  <c r="J241" i="2"/>
  <c r="G241" i="2"/>
  <c r="C241" i="2"/>
  <c r="B241" i="2"/>
  <c r="AB240" i="2"/>
  <c r="Y240" i="2"/>
  <c r="V240" i="2"/>
  <c r="R240" i="2"/>
  <c r="Q240" i="2"/>
  <c r="P240" i="2"/>
  <c r="M240" i="2"/>
  <c r="J240" i="2"/>
  <c r="G240" i="2"/>
  <c r="AA239" i="2"/>
  <c r="Z239" i="2"/>
  <c r="X239" i="2"/>
  <c r="W239" i="2"/>
  <c r="U239" i="2"/>
  <c r="T239" i="2"/>
  <c r="O239" i="2"/>
  <c r="L239" i="2"/>
  <c r="K239" i="2"/>
  <c r="I239" i="2"/>
  <c r="H239" i="2"/>
  <c r="F239" i="2"/>
  <c r="E239" i="2"/>
  <c r="AA238" i="2"/>
  <c r="Z238" i="2"/>
  <c r="Y238" i="2"/>
  <c r="V238" i="2"/>
  <c r="R238" i="2"/>
  <c r="Q238" i="2"/>
  <c r="B238" i="2" s="1"/>
  <c r="P238" i="2"/>
  <c r="M238" i="2"/>
  <c r="J238" i="2"/>
  <c r="G238" i="2"/>
  <c r="AB237" i="2"/>
  <c r="Y237" i="2"/>
  <c r="V237" i="2"/>
  <c r="R237" i="2"/>
  <c r="Q237" i="2"/>
  <c r="P237" i="2"/>
  <c r="L237" i="2"/>
  <c r="K237" i="2"/>
  <c r="J237" i="2"/>
  <c r="G237" i="2"/>
  <c r="AB236" i="2"/>
  <c r="Y236" i="2"/>
  <c r="V236" i="2"/>
  <c r="R236" i="2"/>
  <c r="Q236" i="2"/>
  <c r="B236" i="2" s="1"/>
  <c r="P236" i="2"/>
  <c r="M236" i="2"/>
  <c r="J236" i="2"/>
  <c r="G236" i="2"/>
  <c r="AB235" i="2"/>
  <c r="Y235" i="2"/>
  <c r="V235" i="2"/>
  <c r="R235" i="2"/>
  <c r="C235" i="2" s="1"/>
  <c r="Q235" i="2"/>
  <c r="P235" i="2"/>
  <c r="L235" i="2"/>
  <c r="K235" i="2"/>
  <c r="J235" i="2"/>
  <c r="G235" i="2"/>
  <c r="AB234" i="2"/>
  <c r="Y234" i="2"/>
  <c r="V234" i="2"/>
  <c r="R234" i="2"/>
  <c r="Q234" i="2"/>
  <c r="B234" i="2" s="1"/>
  <c r="P234" i="2"/>
  <c r="M234" i="2"/>
  <c r="J234" i="2"/>
  <c r="G234" i="2"/>
  <c r="C234" i="2"/>
  <c r="AB233" i="2"/>
  <c r="Y233" i="2"/>
  <c r="V233" i="2"/>
  <c r="S233" i="2"/>
  <c r="P233" i="2"/>
  <c r="M233" i="2"/>
  <c r="J233" i="2"/>
  <c r="G233" i="2"/>
  <c r="C233" i="2"/>
  <c r="B233" i="2"/>
  <c r="AB232" i="2"/>
  <c r="Y232" i="2"/>
  <c r="V232" i="2"/>
  <c r="R232" i="2"/>
  <c r="C232" i="2" s="1"/>
  <c r="Q232" i="2"/>
  <c r="B232" i="2" s="1"/>
  <c r="P232" i="2"/>
  <c r="M232" i="2"/>
  <c r="J232" i="2"/>
  <c r="G232" i="2"/>
  <c r="AB231" i="2"/>
  <c r="Y231" i="2"/>
  <c r="V231" i="2"/>
  <c r="S231" i="2"/>
  <c r="P231" i="2"/>
  <c r="M231" i="2"/>
  <c r="J231" i="2"/>
  <c r="G231" i="2"/>
  <c r="C231" i="2"/>
  <c r="B231" i="2"/>
  <c r="AB230" i="2"/>
  <c r="Y230" i="2"/>
  <c r="V230" i="2"/>
  <c r="S230" i="2"/>
  <c r="P230" i="2"/>
  <c r="M230" i="2"/>
  <c r="J230" i="2"/>
  <c r="G230" i="2"/>
  <c r="C230" i="2"/>
  <c r="B230" i="2"/>
  <c r="AB229" i="2"/>
  <c r="Y229" i="2"/>
  <c r="V229" i="2"/>
  <c r="R229" i="2"/>
  <c r="Q229" i="2"/>
  <c r="P229" i="2"/>
  <c r="L229" i="2"/>
  <c r="K229" i="2"/>
  <c r="J229" i="2"/>
  <c r="G229" i="2"/>
  <c r="AB228" i="2"/>
  <c r="Y228" i="2"/>
  <c r="V228" i="2"/>
  <c r="S228" i="2"/>
  <c r="P228" i="2"/>
  <c r="M228" i="2"/>
  <c r="J228" i="2"/>
  <c r="G228" i="2"/>
  <c r="C228" i="2"/>
  <c r="B228" i="2"/>
  <c r="AB227" i="2"/>
  <c r="Y227" i="2"/>
  <c r="V227" i="2"/>
  <c r="R227" i="2"/>
  <c r="C227" i="2" s="1"/>
  <c r="Q227" i="2"/>
  <c r="P227" i="2"/>
  <c r="M227" i="2"/>
  <c r="J227" i="2"/>
  <c r="G227" i="2"/>
  <c r="AA226" i="2"/>
  <c r="AB226" i="2" s="1"/>
  <c r="Z226" i="2"/>
  <c r="Y226" i="2"/>
  <c r="V226" i="2"/>
  <c r="R226" i="2"/>
  <c r="C226" i="2" s="1"/>
  <c r="Q226" i="2"/>
  <c r="P226" i="2"/>
  <c r="M226" i="2"/>
  <c r="J226" i="2"/>
  <c r="G226" i="2"/>
  <c r="AB225" i="2"/>
  <c r="Y225" i="2"/>
  <c r="V225" i="2"/>
  <c r="S225" i="2"/>
  <c r="P225" i="2"/>
  <c r="M225" i="2"/>
  <c r="J225" i="2"/>
  <c r="G225" i="2"/>
  <c r="C225" i="2"/>
  <c r="B225" i="2"/>
  <c r="AB224" i="2"/>
  <c r="Y224" i="2"/>
  <c r="V224" i="2"/>
  <c r="S224" i="2"/>
  <c r="P224" i="2"/>
  <c r="M224" i="2"/>
  <c r="J224" i="2"/>
  <c r="G224" i="2"/>
  <c r="C224" i="2"/>
  <c r="B224" i="2"/>
  <c r="AB223" i="2"/>
  <c r="Y223" i="2"/>
  <c r="V223" i="2"/>
  <c r="S223" i="2"/>
  <c r="P223" i="2"/>
  <c r="M223" i="2"/>
  <c r="J223" i="2"/>
  <c r="G223" i="2"/>
  <c r="C223" i="2"/>
  <c r="B223" i="2"/>
  <c r="AB222" i="2"/>
  <c r="Y222" i="2"/>
  <c r="V222" i="2"/>
  <c r="S222" i="2"/>
  <c r="P222" i="2"/>
  <c r="M222" i="2"/>
  <c r="J222" i="2"/>
  <c r="G222" i="2"/>
  <c r="C222" i="2"/>
  <c r="B222" i="2"/>
  <c r="AB221" i="2"/>
  <c r="Y221" i="2"/>
  <c r="V221" i="2"/>
  <c r="S221" i="2"/>
  <c r="O221" i="2"/>
  <c r="N221" i="2"/>
  <c r="B221" i="2" s="1"/>
  <c r="M221" i="2"/>
  <c r="J221" i="2"/>
  <c r="G221" i="2"/>
  <c r="AB220" i="2"/>
  <c r="Y220" i="2"/>
  <c r="V220" i="2"/>
  <c r="S220" i="2"/>
  <c r="P220" i="2"/>
  <c r="M220" i="2"/>
  <c r="J220" i="2"/>
  <c r="G220" i="2"/>
  <c r="C220" i="2"/>
  <c r="B220" i="2"/>
  <c r="AB219" i="2"/>
  <c r="Y219" i="2"/>
  <c r="V219" i="2"/>
  <c r="S219" i="2"/>
  <c r="P219" i="2"/>
  <c r="M219" i="2"/>
  <c r="J219" i="2"/>
  <c r="G219" i="2"/>
  <c r="C219" i="2"/>
  <c r="B219" i="2"/>
  <c r="X218" i="2"/>
  <c r="W218" i="2"/>
  <c r="U218" i="2"/>
  <c r="T218" i="2"/>
  <c r="N218" i="2"/>
  <c r="I218" i="2"/>
  <c r="H218" i="2"/>
  <c r="F218" i="2"/>
  <c r="E218" i="2"/>
  <c r="AB217" i="2"/>
  <c r="Y217" i="2"/>
  <c r="V217" i="2"/>
  <c r="S217" i="2"/>
  <c r="P217" i="2"/>
  <c r="M217" i="2"/>
  <c r="J217" i="2"/>
  <c r="G217" i="2"/>
  <c r="C217" i="2"/>
  <c r="B217" i="2"/>
  <c r="AB216" i="2"/>
  <c r="Y216" i="2"/>
  <c r="V216" i="2"/>
  <c r="S216" i="2"/>
  <c r="P216" i="2"/>
  <c r="M216" i="2"/>
  <c r="J216" i="2"/>
  <c r="G216" i="2"/>
  <c r="C216" i="2"/>
  <c r="B216" i="2"/>
  <c r="AB215" i="2"/>
  <c r="Y215" i="2"/>
  <c r="V215" i="2"/>
  <c r="S215" i="2"/>
  <c r="P215" i="2"/>
  <c r="M215" i="2"/>
  <c r="J215" i="2"/>
  <c r="G215" i="2"/>
  <c r="C215" i="2"/>
  <c r="B215" i="2"/>
  <c r="AB214" i="2"/>
  <c r="Y214" i="2"/>
  <c r="V214" i="2"/>
  <c r="S214" i="2"/>
  <c r="P214" i="2"/>
  <c r="M214" i="2"/>
  <c r="J214" i="2"/>
  <c r="G214" i="2"/>
  <c r="C214" i="2"/>
  <c r="B214" i="2"/>
  <c r="AB213" i="2"/>
  <c r="Y213" i="2"/>
  <c r="V213" i="2"/>
  <c r="S213" i="2"/>
  <c r="P213" i="2"/>
  <c r="M213" i="2"/>
  <c r="J213" i="2"/>
  <c r="G213" i="2"/>
  <c r="C213" i="2"/>
  <c r="B213" i="2"/>
  <c r="AB212" i="2"/>
  <c r="Y212" i="2"/>
  <c r="V212" i="2"/>
  <c r="S212" i="2"/>
  <c r="P212" i="2"/>
  <c r="M212" i="2"/>
  <c r="J212" i="2"/>
  <c r="G212" i="2"/>
  <c r="C212" i="2"/>
  <c r="B212" i="2"/>
  <c r="AB211" i="2"/>
  <c r="Y211" i="2"/>
  <c r="V211" i="2"/>
  <c r="R211" i="2"/>
  <c r="C211" i="2" s="1"/>
  <c r="Q211" i="2"/>
  <c r="P211" i="2"/>
  <c r="M211" i="2"/>
  <c r="J211" i="2"/>
  <c r="G211" i="2"/>
  <c r="AB210" i="2"/>
  <c r="Y210" i="2"/>
  <c r="V210" i="2"/>
  <c r="S210" i="2"/>
  <c r="P210" i="2"/>
  <c r="M210" i="2"/>
  <c r="J210" i="2"/>
  <c r="G210" i="2"/>
  <c r="C210" i="2"/>
  <c r="B210" i="2"/>
  <c r="AB209" i="2"/>
  <c r="Y209" i="2"/>
  <c r="V209" i="2"/>
  <c r="R209" i="2"/>
  <c r="C209" i="2" s="1"/>
  <c r="Q209" i="2"/>
  <c r="P209" i="2"/>
  <c r="M209" i="2"/>
  <c r="J209" i="2"/>
  <c r="G209" i="2"/>
  <c r="AB208" i="2"/>
  <c r="Y208" i="2"/>
  <c r="V208" i="2"/>
  <c r="R208" i="2"/>
  <c r="Q208" i="2"/>
  <c r="B208" i="2" s="1"/>
  <c r="P208" i="2"/>
  <c r="M208" i="2"/>
  <c r="J208" i="2"/>
  <c r="G208" i="2"/>
  <c r="AB207" i="2"/>
  <c r="Y207" i="2"/>
  <c r="V207" i="2"/>
  <c r="S207" i="2"/>
  <c r="P207" i="2"/>
  <c r="L207" i="2"/>
  <c r="J207" i="2"/>
  <c r="G207" i="2"/>
  <c r="B207" i="2"/>
  <c r="AB206" i="2"/>
  <c r="Y206" i="2"/>
  <c r="V206" i="2"/>
  <c r="R206" i="2"/>
  <c r="C206" i="2" s="1"/>
  <c r="Q206" i="2"/>
  <c r="B206" i="2" s="1"/>
  <c r="P206" i="2"/>
  <c r="M206" i="2"/>
  <c r="J206" i="2"/>
  <c r="G206" i="2"/>
  <c r="AA205" i="2"/>
  <c r="Z205" i="2"/>
  <c r="X205" i="2"/>
  <c r="W205" i="2"/>
  <c r="U205" i="2"/>
  <c r="T205" i="2"/>
  <c r="O205" i="2"/>
  <c r="N205" i="2"/>
  <c r="K205" i="2"/>
  <c r="I205" i="2"/>
  <c r="H205" i="2"/>
  <c r="F205" i="2"/>
  <c r="E205" i="2"/>
  <c r="AB203" i="2"/>
  <c r="Y203" i="2"/>
  <c r="V203" i="2"/>
  <c r="R203" i="2"/>
  <c r="Q203" i="2"/>
  <c r="B203" i="2" s="1"/>
  <c r="P203" i="2"/>
  <c r="M203" i="2"/>
  <c r="J203" i="2"/>
  <c r="G203" i="2"/>
  <c r="AB202" i="2"/>
  <c r="Y202" i="2"/>
  <c r="V202" i="2"/>
  <c r="R202" i="2"/>
  <c r="Q202" i="2"/>
  <c r="S202" i="2" s="1"/>
  <c r="P202" i="2"/>
  <c r="L202" i="2"/>
  <c r="K202" i="2"/>
  <c r="B202" i="2" s="1"/>
  <c r="J202" i="2"/>
  <c r="G202" i="2"/>
  <c r="C202" i="2"/>
  <c r="AB201" i="2"/>
  <c r="Y201" i="2"/>
  <c r="V201" i="2"/>
  <c r="R201" i="2"/>
  <c r="Q201" i="2"/>
  <c r="P201" i="2"/>
  <c r="L201" i="2"/>
  <c r="K201" i="2"/>
  <c r="J201" i="2"/>
  <c r="G201" i="2"/>
  <c r="AB200" i="2"/>
  <c r="Y200" i="2"/>
  <c r="V200" i="2"/>
  <c r="R200" i="2"/>
  <c r="Q200" i="2"/>
  <c r="P200" i="2"/>
  <c r="L200" i="2"/>
  <c r="K200" i="2"/>
  <c r="J200" i="2"/>
  <c r="G200" i="2"/>
  <c r="AB199" i="2"/>
  <c r="Y199" i="2"/>
  <c r="V199" i="2"/>
  <c r="R199" i="2"/>
  <c r="Q199" i="2"/>
  <c r="P199" i="2"/>
  <c r="L199" i="2"/>
  <c r="K199" i="2"/>
  <c r="J199" i="2"/>
  <c r="G199" i="2"/>
  <c r="AB198" i="2"/>
  <c r="Y198" i="2"/>
  <c r="V198" i="2"/>
  <c r="R198" i="2"/>
  <c r="Q198" i="2"/>
  <c r="S198" i="2" s="1"/>
  <c r="P198" i="2"/>
  <c r="L198" i="2"/>
  <c r="K198" i="2"/>
  <c r="J198" i="2"/>
  <c r="G198" i="2"/>
  <c r="C198" i="2"/>
  <c r="AA197" i="2"/>
  <c r="Z197" i="2"/>
  <c r="X197" i="2"/>
  <c r="W197" i="2"/>
  <c r="U197" i="2"/>
  <c r="T197" i="2"/>
  <c r="O197" i="2"/>
  <c r="N197" i="2"/>
  <c r="I197" i="2"/>
  <c r="H197" i="2"/>
  <c r="F197" i="2"/>
  <c r="E197" i="2"/>
  <c r="AB196" i="2"/>
  <c r="Y196" i="2"/>
  <c r="V196" i="2"/>
  <c r="S196" i="2"/>
  <c r="P196" i="2"/>
  <c r="M196" i="2"/>
  <c r="J196" i="2"/>
  <c r="G196" i="2"/>
  <c r="C196" i="2"/>
  <c r="B196" i="2"/>
  <c r="AB195" i="2"/>
  <c r="Y195" i="2"/>
  <c r="V195" i="2"/>
  <c r="S195" i="2"/>
  <c r="P195" i="2"/>
  <c r="M195" i="2"/>
  <c r="J195" i="2"/>
  <c r="G195" i="2"/>
  <c r="C195" i="2"/>
  <c r="B195" i="2"/>
  <c r="AB194" i="2"/>
  <c r="Y194" i="2"/>
  <c r="V194" i="2"/>
  <c r="S194" i="2"/>
  <c r="P194" i="2"/>
  <c r="M194" i="2"/>
  <c r="J194" i="2"/>
  <c r="G194" i="2"/>
  <c r="C194" i="2"/>
  <c r="B194" i="2"/>
  <c r="AB193" i="2"/>
  <c r="Y193" i="2"/>
  <c r="V193" i="2"/>
  <c r="R193" i="2"/>
  <c r="Q193" i="2"/>
  <c r="P193" i="2"/>
  <c r="L193" i="2"/>
  <c r="K193" i="2"/>
  <c r="K192" i="2" s="1"/>
  <c r="J193" i="2"/>
  <c r="G193" i="2"/>
  <c r="AA192" i="2"/>
  <c r="Z192" i="2"/>
  <c r="X192" i="2"/>
  <c r="W192" i="2"/>
  <c r="U192" i="2"/>
  <c r="T192" i="2"/>
  <c r="O192" i="2"/>
  <c r="N192" i="2"/>
  <c r="I192" i="2"/>
  <c r="H192" i="2"/>
  <c r="F192" i="2"/>
  <c r="E192" i="2"/>
  <c r="AB191" i="2"/>
  <c r="Y191" i="2"/>
  <c r="V191" i="2"/>
  <c r="S191" i="2"/>
  <c r="P191" i="2"/>
  <c r="M191" i="2"/>
  <c r="J191" i="2"/>
  <c r="G191" i="2"/>
  <c r="C191" i="2"/>
  <c r="B191" i="2"/>
  <c r="AA190" i="2"/>
  <c r="Z190" i="2"/>
  <c r="X190" i="2"/>
  <c r="W190" i="2"/>
  <c r="U190" i="2"/>
  <c r="T190" i="2"/>
  <c r="R190" i="2"/>
  <c r="Q190" i="2"/>
  <c r="O190" i="2"/>
  <c r="N190" i="2"/>
  <c r="L190" i="2"/>
  <c r="K190" i="2"/>
  <c r="I190" i="2"/>
  <c r="H190" i="2"/>
  <c r="F190" i="2"/>
  <c r="E190" i="2"/>
  <c r="AB189" i="2"/>
  <c r="Y189" i="2"/>
  <c r="V189" i="2"/>
  <c r="R189" i="2"/>
  <c r="Q189" i="2"/>
  <c r="B189" i="2" s="1"/>
  <c r="P189" i="2"/>
  <c r="M189" i="2"/>
  <c r="J189" i="2"/>
  <c r="G189" i="2"/>
  <c r="AB188" i="2"/>
  <c r="Y188" i="2"/>
  <c r="V188" i="2"/>
  <c r="S188" i="2"/>
  <c r="P188" i="2"/>
  <c r="M188" i="2"/>
  <c r="J188" i="2"/>
  <c r="G188" i="2"/>
  <c r="C188" i="2"/>
  <c r="B188" i="2"/>
  <c r="AB187" i="2"/>
  <c r="Y187" i="2"/>
  <c r="V187" i="2"/>
  <c r="R187" i="2"/>
  <c r="Q187" i="2"/>
  <c r="B187" i="2" s="1"/>
  <c r="P187" i="2"/>
  <c r="M187" i="2"/>
  <c r="J187" i="2"/>
  <c r="G187" i="2"/>
  <c r="AA186" i="2"/>
  <c r="Z186" i="2"/>
  <c r="X186" i="2"/>
  <c r="W186" i="2"/>
  <c r="U186" i="2"/>
  <c r="T186" i="2"/>
  <c r="O186" i="2"/>
  <c r="N186" i="2"/>
  <c r="L186" i="2"/>
  <c r="K186" i="2"/>
  <c r="I186" i="2"/>
  <c r="H186" i="2"/>
  <c r="F186" i="2"/>
  <c r="E186" i="2"/>
  <c r="AB184" i="2"/>
  <c r="Y184" i="2"/>
  <c r="V184" i="2"/>
  <c r="S184" i="2"/>
  <c r="P184" i="2"/>
  <c r="L184" i="2"/>
  <c r="K184" i="2"/>
  <c r="K183" i="2" s="1"/>
  <c r="J184" i="2"/>
  <c r="G184" i="2"/>
  <c r="AA183" i="2"/>
  <c r="Z183" i="2"/>
  <c r="X183" i="2"/>
  <c r="W183" i="2"/>
  <c r="U183" i="2"/>
  <c r="T183" i="2"/>
  <c r="R183" i="2"/>
  <c r="Q183" i="2"/>
  <c r="O183" i="2"/>
  <c r="N183" i="2"/>
  <c r="I183" i="2"/>
  <c r="H183" i="2"/>
  <c r="F183" i="2"/>
  <c r="E183" i="2"/>
  <c r="AB182" i="2"/>
  <c r="Y182" i="2"/>
  <c r="V182" i="2"/>
  <c r="R182" i="2"/>
  <c r="S182" i="2" s="1"/>
  <c r="P182" i="2"/>
  <c r="M182" i="2"/>
  <c r="J182" i="2"/>
  <c r="G182" i="2"/>
  <c r="C182" i="2"/>
  <c r="B182" i="2"/>
  <c r="AB181" i="2"/>
  <c r="Y181" i="2"/>
  <c r="V181" i="2"/>
  <c r="S181" i="2"/>
  <c r="P181" i="2"/>
  <c r="M181" i="2"/>
  <c r="J181" i="2"/>
  <c r="G181" i="2"/>
  <c r="C181" i="2"/>
  <c r="B181" i="2"/>
  <c r="AB180" i="2"/>
  <c r="Y180" i="2"/>
  <c r="V180" i="2"/>
  <c r="S180" i="2"/>
  <c r="P180" i="2"/>
  <c r="M180" i="2"/>
  <c r="J180" i="2"/>
  <c r="G180" i="2"/>
  <c r="C180" i="2"/>
  <c r="B180" i="2"/>
  <c r="AB179" i="2"/>
  <c r="Y179" i="2"/>
  <c r="V179" i="2"/>
  <c r="S179" i="2"/>
  <c r="P179" i="2"/>
  <c r="M179" i="2"/>
  <c r="J179" i="2"/>
  <c r="G179" i="2"/>
  <c r="C179" i="2"/>
  <c r="B179" i="2"/>
  <c r="AB178" i="2"/>
  <c r="Y178" i="2"/>
  <c r="V178" i="2"/>
  <c r="S178" i="2"/>
  <c r="P178" i="2"/>
  <c r="M178" i="2"/>
  <c r="J178" i="2"/>
  <c r="G178" i="2"/>
  <c r="C178" i="2"/>
  <c r="B178" i="2"/>
  <c r="AB177" i="2"/>
  <c r="Y177" i="2"/>
  <c r="V177" i="2"/>
  <c r="S177" i="2"/>
  <c r="P177" i="2"/>
  <c r="M177" i="2"/>
  <c r="J177" i="2"/>
  <c r="G177" i="2"/>
  <c r="C177" i="2"/>
  <c r="B177" i="2"/>
  <c r="AB176" i="2"/>
  <c r="Y176" i="2"/>
  <c r="V176" i="2"/>
  <c r="S176" i="2"/>
  <c r="P176" i="2"/>
  <c r="M176" i="2"/>
  <c r="J176" i="2"/>
  <c r="G176" i="2"/>
  <c r="C176" i="2"/>
  <c r="B176" i="2"/>
  <c r="AB175" i="2"/>
  <c r="Y175" i="2"/>
  <c r="V175" i="2"/>
  <c r="S175" i="2"/>
  <c r="P175" i="2"/>
  <c r="M175" i="2"/>
  <c r="J175" i="2"/>
  <c r="G175" i="2"/>
  <c r="C175" i="2"/>
  <c r="B175" i="2"/>
  <c r="AB174" i="2"/>
  <c r="Y174" i="2"/>
  <c r="V174" i="2"/>
  <c r="S174" i="2"/>
  <c r="P174" i="2"/>
  <c r="M174" i="2"/>
  <c r="J174" i="2"/>
  <c r="G174" i="2"/>
  <c r="C174" i="2"/>
  <c r="B174" i="2"/>
  <c r="AB173" i="2"/>
  <c r="Y173" i="2"/>
  <c r="V173" i="2"/>
  <c r="S173" i="2"/>
  <c r="P173" i="2"/>
  <c r="M173" i="2"/>
  <c r="J173" i="2"/>
  <c r="G173" i="2"/>
  <c r="C173" i="2"/>
  <c r="B173" i="2"/>
  <c r="AB172" i="2"/>
  <c r="Y172" i="2"/>
  <c r="V172" i="2"/>
  <c r="S172" i="2"/>
  <c r="P172" i="2"/>
  <c r="M172" i="2"/>
  <c r="J172" i="2"/>
  <c r="G172" i="2"/>
  <c r="C172" i="2"/>
  <c r="B172" i="2"/>
  <c r="AB171" i="2"/>
  <c r="Y171" i="2"/>
  <c r="V171" i="2"/>
  <c r="R171" i="2"/>
  <c r="P171" i="2"/>
  <c r="M171" i="2"/>
  <c r="J171" i="2"/>
  <c r="G171" i="2"/>
  <c r="B171" i="2"/>
  <c r="AA170" i="2"/>
  <c r="Z170" i="2"/>
  <c r="X170" i="2"/>
  <c r="W170" i="2"/>
  <c r="U170" i="2"/>
  <c r="T170" i="2"/>
  <c r="Q170" i="2"/>
  <c r="O170" i="2"/>
  <c r="N170" i="2"/>
  <c r="L170" i="2"/>
  <c r="K170" i="2"/>
  <c r="I170" i="2"/>
  <c r="H170" i="2"/>
  <c r="F170" i="2"/>
  <c r="E170" i="2"/>
  <c r="AB169" i="2"/>
  <c r="Y169" i="2"/>
  <c r="V169" i="2"/>
  <c r="S169" i="2"/>
  <c r="P169" i="2"/>
  <c r="M169" i="2"/>
  <c r="J169" i="2"/>
  <c r="G169" i="2"/>
  <c r="C169" i="2"/>
  <c r="B169" i="2"/>
  <c r="AB168" i="2"/>
  <c r="Y168" i="2"/>
  <c r="V168" i="2"/>
  <c r="S168" i="2"/>
  <c r="M168" i="2"/>
  <c r="J168" i="2"/>
  <c r="G168" i="2"/>
  <c r="C168" i="2"/>
  <c r="B168" i="2"/>
  <c r="AB167" i="2"/>
  <c r="Y167" i="2"/>
  <c r="V167" i="2"/>
  <c r="S167" i="2"/>
  <c r="M167" i="2"/>
  <c r="J167" i="2"/>
  <c r="G167" i="2"/>
  <c r="C167" i="2"/>
  <c r="B167" i="2"/>
  <c r="AB166" i="2"/>
  <c r="Y166" i="2"/>
  <c r="V166" i="2"/>
  <c r="R166" i="2"/>
  <c r="Q166" i="2"/>
  <c r="P166" i="2"/>
  <c r="M166" i="2"/>
  <c r="J166" i="2"/>
  <c r="G166" i="2"/>
  <c r="AB165" i="2"/>
  <c r="Y165" i="2"/>
  <c r="V165" i="2"/>
  <c r="S165" i="2"/>
  <c r="P165" i="2"/>
  <c r="M165" i="2"/>
  <c r="J165" i="2"/>
  <c r="G165" i="2"/>
  <c r="C165" i="2"/>
  <c r="B165" i="2"/>
  <c r="AB164" i="2"/>
  <c r="Y164" i="2"/>
  <c r="V164" i="2"/>
  <c r="S164" i="2"/>
  <c r="P164" i="2"/>
  <c r="M164" i="2"/>
  <c r="J164" i="2"/>
  <c r="G164" i="2"/>
  <c r="C164" i="2"/>
  <c r="B164" i="2"/>
  <c r="AB163" i="2"/>
  <c r="X163" i="2"/>
  <c r="W163" i="2"/>
  <c r="V163" i="2"/>
  <c r="S163" i="2"/>
  <c r="P163" i="2"/>
  <c r="M163" i="2"/>
  <c r="J163" i="2"/>
  <c r="G163" i="2"/>
  <c r="C163" i="2"/>
  <c r="AB162" i="2"/>
  <c r="Y162" i="2"/>
  <c r="V162" i="2"/>
  <c r="S162" i="2"/>
  <c r="P162" i="2"/>
  <c r="M162" i="2"/>
  <c r="J162" i="2"/>
  <c r="G162" i="2"/>
  <c r="C162" i="2"/>
  <c r="B162" i="2"/>
  <c r="AB161" i="2"/>
  <c r="X161" i="2"/>
  <c r="X147" i="2" s="1"/>
  <c r="W161" i="2"/>
  <c r="W147" i="2" s="1"/>
  <c r="V161" i="2"/>
  <c r="S161" i="2"/>
  <c r="P161" i="2"/>
  <c r="M161" i="2"/>
  <c r="J161" i="2"/>
  <c r="G161" i="2"/>
  <c r="C161" i="2"/>
  <c r="AB160" i="2"/>
  <c r="Y160" i="2"/>
  <c r="V160" i="2"/>
  <c r="R160" i="2"/>
  <c r="Q160" i="2"/>
  <c r="B160" i="2" s="1"/>
  <c r="P160" i="2"/>
  <c r="M160" i="2"/>
  <c r="J160" i="2"/>
  <c r="G160" i="2"/>
  <c r="AB159" i="2"/>
  <c r="Y159" i="2"/>
  <c r="V159" i="2"/>
  <c r="S159" i="2"/>
  <c r="P159" i="2"/>
  <c r="M159" i="2"/>
  <c r="J159" i="2"/>
  <c r="G159" i="2"/>
  <c r="C159" i="2"/>
  <c r="B159" i="2"/>
  <c r="AB158" i="2"/>
  <c r="Y158" i="2"/>
  <c r="V158" i="2"/>
  <c r="S158" i="2"/>
  <c r="P158" i="2"/>
  <c r="L158" i="2"/>
  <c r="M158" i="2" s="1"/>
  <c r="J158" i="2"/>
  <c r="G158" i="2"/>
  <c r="B158" i="2"/>
  <c r="AB157" i="2"/>
  <c r="Y157" i="2"/>
  <c r="V157" i="2"/>
  <c r="S157" i="2"/>
  <c r="P157" i="2"/>
  <c r="M157" i="2"/>
  <c r="J157" i="2"/>
  <c r="G157" i="2"/>
  <c r="C157" i="2"/>
  <c r="B157" i="2"/>
  <c r="AB156" i="2"/>
  <c r="Y156" i="2"/>
  <c r="V156" i="2"/>
  <c r="S156" i="2"/>
  <c r="P156" i="2"/>
  <c r="L156" i="2"/>
  <c r="K156" i="2"/>
  <c r="K147" i="2" s="1"/>
  <c r="J156" i="2"/>
  <c r="G156" i="2"/>
  <c r="C156" i="2"/>
  <c r="AB155" i="2"/>
  <c r="Y155" i="2"/>
  <c r="V155" i="2"/>
  <c r="S155" i="2"/>
  <c r="P155" i="2"/>
  <c r="M155" i="2"/>
  <c r="J155" i="2"/>
  <c r="G155" i="2"/>
  <c r="C155" i="2"/>
  <c r="B155" i="2"/>
  <c r="AB154" i="2"/>
  <c r="Y154" i="2"/>
  <c r="V154" i="2"/>
  <c r="S154" i="2"/>
  <c r="P154" i="2"/>
  <c r="M154" i="2"/>
  <c r="J154" i="2"/>
  <c r="G154" i="2"/>
  <c r="C154" i="2"/>
  <c r="B154" i="2"/>
  <c r="AB153" i="2"/>
  <c r="Y153" i="2"/>
  <c r="V153" i="2"/>
  <c r="S153" i="2"/>
  <c r="P153" i="2"/>
  <c r="M153" i="2"/>
  <c r="J153" i="2"/>
  <c r="G153" i="2"/>
  <c r="C153" i="2"/>
  <c r="B153" i="2"/>
  <c r="AB152" i="2"/>
  <c r="Y152" i="2"/>
  <c r="V152" i="2"/>
  <c r="S152" i="2"/>
  <c r="P152" i="2"/>
  <c r="M152" i="2"/>
  <c r="J152" i="2"/>
  <c r="G152" i="2"/>
  <c r="C152" i="2"/>
  <c r="B152" i="2"/>
  <c r="AB151" i="2"/>
  <c r="Y151" i="2"/>
  <c r="V151" i="2"/>
  <c r="S151" i="2"/>
  <c r="P151" i="2"/>
  <c r="M151" i="2"/>
  <c r="J151" i="2"/>
  <c r="G151" i="2"/>
  <c r="C151" i="2"/>
  <c r="B151" i="2"/>
  <c r="AB150" i="2"/>
  <c r="Y150" i="2"/>
  <c r="V150" i="2"/>
  <c r="S150" i="2"/>
  <c r="P150" i="2"/>
  <c r="M150" i="2"/>
  <c r="J150" i="2"/>
  <c r="G150" i="2"/>
  <c r="C150" i="2"/>
  <c r="B150" i="2"/>
  <c r="AB149" i="2"/>
  <c r="Y149" i="2"/>
  <c r="V149" i="2"/>
  <c r="S149" i="2"/>
  <c r="P149" i="2"/>
  <c r="M149" i="2"/>
  <c r="J149" i="2"/>
  <c r="G149" i="2"/>
  <c r="C149" i="2"/>
  <c r="B149" i="2"/>
  <c r="AB148" i="2"/>
  <c r="Y148" i="2"/>
  <c r="V148" i="2"/>
  <c r="S148" i="2"/>
  <c r="P148" i="2"/>
  <c r="M148" i="2"/>
  <c r="J148" i="2"/>
  <c r="G148" i="2"/>
  <c r="C148" i="2"/>
  <c r="B148" i="2"/>
  <c r="AA147" i="2"/>
  <c r="Z147" i="2"/>
  <c r="U147" i="2"/>
  <c r="T147" i="2"/>
  <c r="O147" i="2"/>
  <c r="N147" i="2"/>
  <c r="I147" i="2"/>
  <c r="H147" i="2"/>
  <c r="G147" i="2"/>
  <c r="AB146" i="2"/>
  <c r="Y146" i="2"/>
  <c r="V146" i="2"/>
  <c r="S146" i="2"/>
  <c r="P146" i="2"/>
  <c r="M146" i="2"/>
  <c r="J146" i="2"/>
  <c r="G146" i="2"/>
  <c r="C146" i="2"/>
  <c r="B146" i="2"/>
  <c r="AA145" i="2"/>
  <c r="Z145" i="2"/>
  <c r="Z144" i="2" s="1"/>
  <c r="X145" i="2"/>
  <c r="W145" i="2"/>
  <c r="V145" i="2"/>
  <c r="S145" i="2"/>
  <c r="P145" i="2"/>
  <c r="M145" i="2"/>
  <c r="J145" i="2"/>
  <c r="G145" i="2"/>
  <c r="U144" i="2"/>
  <c r="T144" i="2"/>
  <c r="R144" i="2"/>
  <c r="Q144" i="2"/>
  <c r="O144" i="2"/>
  <c r="N144" i="2"/>
  <c r="L144" i="2"/>
  <c r="K144" i="2"/>
  <c r="I144" i="2"/>
  <c r="H144" i="2"/>
  <c r="F144" i="2"/>
  <c r="E144" i="2"/>
  <c r="AB143" i="2"/>
  <c r="Y143" i="2"/>
  <c r="V143" i="2"/>
  <c r="R143" i="2"/>
  <c r="Q143" i="2"/>
  <c r="B143" i="2" s="1"/>
  <c r="P143" i="2"/>
  <c r="M143" i="2"/>
  <c r="J143" i="2"/>
  <c r="G143" i="2"/>
  <c r="AB142" i="2"/>
  <c r="Y142" i="2"/>
  <c r="V142" i="2"/>
  <c r="S142" i="2"/>
  <c r="P142" i="2"/>
  <c r="M142" i="2"/>
  <c r="J142" i="2"/>
  <c r="G142" i="2"/>
  <c r="C142" i="2"/>
  <c r="B142" i="2"/>
  <c r="AB141" i="2"/>
  <c r="Y141" i="2"/>
  <c r="V141" i="2"/>
  <c r="S141" i="2"/>
  <c r="P141" i="2"/>
  <c r="M141" i="2"/>
  <c r="J141" i="2"/>
  <c r="G141" i="2"/>
  <c r="C141" i="2"/>
  <c r="B141" i="2"/>
  <c r="AB140" i="2"/>
  <c r="Y140" i="2"/>
  <c r="V140" i="2"/>
  <c r="S140" i="2"/>
  <c r="P140" i="2"/>
  <c r="M140" i="2"/>
  <c r="J140" i="2"/>
  <c r="G140" i="2"/>
  <c r="C140" i="2"/>
  <c r="B140" i="2"/>
  <c r="AB139" i="2"/>
  <c r="Y139" i="2"/>
  <c r="V139" i="2"/>
  <c r="S139" i="2"/>
  <c r="P139" i="2"/>
  <c r="M139" i="2"/>
  <c r="J139" i="2"/>
  <c r="G139" i="2"/>
  <c r="C139" i="2"/>
  <c r="B139" i="2"/>
  <c r="AB138" i="2"/>
  <c r="Y138" i="2"/>
  <c r="V138" i="2"/>
  <c r="S138" i="2"/>
  <c r="P138" i="2"/>
  <c r="M138" i="2"/>
  <c r="J138" i="2"/>
  <c r="G138" i="2"/>
  <c r="C138" i="2"/>
  <c r="B138" i="2"/>
  <c r="AB137" i="2"/>
  <c r="Y137" i="2"/>
  <c r="V137" i="2"/>
  <c r="S137" i="2"/>
  <c r="P137" i="2"/>
  <c r="M137" i="2"/>
  <c r="J137" i="2"/>
  <c r="G137" i="2"/>
  <c r="C137" i="2"/>
  <c r="B137" i="2"/>
  <c r="AB136" i="2"/>
  <c r="Y136" i="2"/>
  <c r="V136" i="2"/>
  <c r="S136" i="2"/>
  <c r="P136" i="2"/>
  <c r="M136" i="2"/>
  <c r="J136" i="2"/>
  <c r="G136" i="2"/>
  <c r="C136" i="2"/>
  <c r="B136" i="2"/>
  <c r="AB135" i="2"/>
  <c r="Y135" i="2"/>
  <c r="V135" i="2"/>
  <c r="S135" i="2"/>
  <c r="P135" i="2"/>
  <c r="L135" i="2"/>
  <c r="K135" i="2"/>
  <c r="J135" i="2"/>
  <c r="G135" i="2"/>
  <c r="C135" i="2"/>
  <c r="B135" i="2"/>
  <c r="AB134" i="2"/>
  <c r="Y134" i="2"/>
  <c r="V134" i="2"/>
  <c r="S134" i="2"/>
  <c r="P134" i="2"/>
  <c r="M134" i="2"/>
  <c r="J134" i="2"/>
  <c r="G134" i="2"/>
  <c r="C134" i="2"/>
  <c r="B134" i="2"/>
  <c r="AB133" i="2"/>
  <c r="Y133" i="2"/>
  <c r="V133" i="2"/>
  <c r="S133" i="2"/>
  <c r="P133" i="2"/>
  <c r="M133" i="2"/>
  <c r="J133" i="2"/>
  <c r="G133" i="2"/>
  <c r="C133" i="2"/>
  <c r="B133" i="2"/>
  <c r="AB132" i="2"/>
  <c r="Y132" i="2"/>
  <c r="V132" i="2"/>
  <c r="S132" i="2"/>
  <c r="P132" i="2"/>
  <c r="L132" i="2"/>
  <c r="C132" i="2" s="1"/>
  <c r="J132" i="2"/>
  <c r="G132" i="2"/>
  <c r="B132" i="2"/>
  <c r="AB131" i="2"/>
  <c r="Y131" i="2"/>
  <c r="V131" i="2"/>
  <c r="S131" i="2"/>
  <c r="P131" i="2"/>
  <c r="M131" i="2"/>
  <c r="J131" i="2"/>
  <c r="G131" i="2"/>
  <c r="C131" i="2"/>
  <c r="B131" i="2"/>
  <c r="AB130" i="2"/>
  <c r="Y130" i="2"/>
  <c r="V130" i="2"/>
  <c r="S130" i="2"/>
  <c r="P130" i="2"/>
  <c r="M130" i="2"/>
  <c r="J130" i="2"/>
  <c r="G130" i="2"/>
  <c r="C130" i="2"/>
  <c r="B130" i="2"/>
  <c r="AB129" i="2"/>
  <c r="Y129" i="2"/>
  <c r="V129" i="2"/>
  <c r="S129" i="2"/>
  <c r="P129" i="2"/>
  <c r="M129" i="2"/>
  <c r="J129" i="2"/>
  <c r="G129" i="2"/>
  <c r="C129" i="2"/>
  <c r="B129" i="2"/>
  <c r="AB128" i="2"/>
  <c r="Y128" i="2"/>
  <c r="V128" i="2"/>
  <c r="S128" i="2"/>
  <c r="P128" i="2"/>
  <c r="M128" i="2"/>
  <c r="J128" i="2"/>
  <c r="G128" i="2"/>
  <c r="C128" i="2"/>
  <c r="B128" i="2"/>
  <c r="AB127" i="2"/>
  <c r="Y127" i="2"/>
  <c r="V127" i="2"/>
  <c r="S127" i="2"/>
  <c r="P127" i="2"/>
  <c r="M127" i="2"/>
  <c r="J127" i="2"/>
  <c r="G127" i="2"/>
  <c r="C127" i="2"/>
  <c r="B127" i="2"/>
  <c r="AB126" i="2"/>
  <c r="Y126" i="2"/>
  <c r="V126" i="2"/>
  <c r="S126" i="2"/>
  <c r="P126" i="2"/>
  <c r="M126" i="2"/>
  <c r="J126" i="2"/>
  <c r="G126" i="2"/>
  <c r="C126" i="2"/>
  <c r="B126" i="2"/>
  <c r="AB125" i="2"/>
  <c r="Y125" i="2"/>
  <c r="V125" i="2"/>
  <c r="S125" i="2"/>
  <c r="P125" i="2"/>
  <c r="M125" i="2"/>
  <c r="J125" i="2"/>
  <c r="G125" i="2"/>
  <c r="C125" i="2"/>
  <c r="B125" i="2"/>
  <c r="AB124" i="2"/>
  <c r="Y124" i="2"/>
  <c r="V124" i="2"/>
  <c r="S124" i="2"/>
  <c r="P124" i="2"/>
  <c r="M124" i="2"/>
  <c r="J124" i="2"/>
  <c r="G124" i="2"/>
  <c r="C124" i="2"/>
  <c r="B124" i="2"/>
  <c r="AB123" i="2"/>
  <c r="X123" i="2"/>
  <c r="V123" i="2"/>
  <c r="S123" i="2"/>
  <c r="P123" i="2"/>
  <c r="M123" i="2"/>
  <c r="J123" i="2"/>
  <c r="G123" i="2"/>
  <c r="C123" i="2"/>
  <c r="B123" i="2"/>
  <c r="AB122" i="2"/>
  <c r="Y122" i="2"/>
  <c r="V122" i="2"/>
  <c r="S122" i="2"/>
  <c r="P122" i="2"/>
  <c r="M122" i="2"/>
  <c r="J122" i="2"/>
  <c r="G122" i="2"/>
  <c r="C122" i="2"/>
  <c r="B122" i="2"/>
  <c r="AA121" i="2"/>
  <c r="Z121" i="2"/>
  <c r="W121" i="2"/>
  <c r="U121" i="2"/>
  <c r="T121" i="2"/>
  <c r="O121" i="2"/>
  <c r="N121" i="2"/>
  <c r="I121" i="2"/>
  <c r="H121" i="2"/>
  <c r="F121" i="2"/>
  <c r="E121" i="2"/>
  <c r="AB119" i="2"/>
  <c r="Y119" i="2"/>
  <c r="U119" i="2"/>
  <c r="T119" i="2"/>
  <c r="T116" i="2" s="1"/>
  <c r="S119" i="2"/>
  <c r="P119" i="2"/>
  <c r="M119" i="2"/>
  <c r="J119" i="2"/>
  <c r="G119" i="2"/>
  <c r="AB118" i="2"/>
  <c r="Y118" i="2"/>
  <c r="V118" i="2"/>
  <c r="S118" i="2"/>
  <c r="P118" i="2"/>
  <c r="M118" i="2"/>
  <c r="J118" i="2"/>
  <c r="G118" i="2"/>
  <c r="C118" i="2"/>
  <c r="B118" i="2"/>
  <c r="AB117" i="2"/>
  <c r="Y117" i="2"/>
  <c r="V117" i="2"/>
  <c r="S117" i="2"/>
  <c r="P117" i="2"/>
  <c r="M117" i="2"/>
  <c r="J117" i="2"/>
  <c r="G117" i="2"/>
  <c r="C117" i="2"/>
  <c r="B117" i="2"/>
  <c r="AA116" i="2"/>
  <c r="Z116" i="2"/>
  <c r="X116" i="2"/>
  <c r="W116" i="2"/>
  <c r="R116" i="2"/>
  <c r="Q116" i="2"/>
  <c r="O116" i="2"/>
  <c r="N116" i="2"/>
  <c r="L116" i="2"/>
  <c r="K116" i="2"/>
  <c r="I116" i="2"/>
  <c r="H116" i="2"/>
  <c r="F116" i="2"/>
  <c r="E116" i="2"/>
  <c r="AB115" i="2"/>
  <c r="Y115" i="2"/>
  <c r="V115" i="2"/>
  <c r="S115" i="2"/>
  <c r="P115" i="2"/>
  <c r="M115" i="2"/>
  <c r="I115" i="2"/>
  <c r="I110" i="2" s="1"/>
  <c r="G115" i="2"/>
  <c r="B115" i="2"/>
  <c r="AB114" i="2"/>
  <c r="Y114" i="2"/>
  <c r="V114" i="2"/>
  <c r="S114" i="2"/>
  <c r="P114" i="2"/>
  <c r="L114" i="2"/>
  <c r="L110" i="2" s="1"/>
  <c r="K114" i="2"/>
  <c r="J114" i="2"/>
  <c r="G114" i="2"/>
  <c r="C114" i="2"/>
  <c r="AB113" i="2"/>
  <c r="Y113" i="2"/>
  <c r="V113" i="2"/>
  <c r="S113" i="2"/>
  <c r="P113" i="2"/>
  <c r="M113" i="2"/>
  <c r="J113" i="2"/>
  <c r="G113" i="2"/>
  <c r="C113" i="2"/>
  <c r="B113" i="2"/>
  <c r="AB112" i="2"/>
  <c r="Y112" i="2"/>
  <c r="V112" i="2"/>
  <c r="S112" i="2"/>
  <c r="P112" i="2"/>
  <c r="M112" i="2"/>
  <c r="J112" i="2"/>
  <c r="G112" i="2"/>
  <c r="C112" i="2"/>
  <c r="B112" i="2"/>
  <c r="AB111" i="2"/>
  <c r="Y111" i="2"/>
  <c r="V111" i="2"/>
  <c r="R111" i="2"/>
  <c r="Q111" i="2"/>
  <c r="B111" i="2" s="1"/>
  <c r="P111" i="2"/>
  <c r="M111" i="2"/>
  <c r="J111" i="2"/>
  <c r="G111" i="2"/>
  <c r="AA110" i="2"/>
  <c r="Z110" i="2"/>
  <c r="X110" i="2"/>
  <c r="W110" i="2"/>
  <c r="U110" i="2"/>
  <c r="T110" i="2"/>
  <c r="Q110" i="2"/>
  <c r="O110" i="2"/>
  <c r="N110" i="2"/>
  <c r="H110" i="2"/>
  <c r="F110" i="2"/>
  <c r="E110" i="2"/>
  <c r="AB109" i="2"/>
  <c r="Y109" i="2"/>
  <c r="V109" i="2"/>
  <c r="R109" i="2"/>
  <c r="Q109" i="2"/>
  <c r="P109" i="2"/>
  <c r="L109" i="2"/>
  <c r="K109" i="2"/>
  <c r="B109" i="2" s="1"/>
  <c r="J109" i="2"/>
  <c r="G109" i="2"/>
  <c r="AA108" i="2"/>
  <c r="Z108" i="2"/>
  <c r="X108" i="2"/>
  <c r="W108" i="2"/>
  <c r="U108" i="2"/>
  <c r="T108" i="2"/>
  <c r="Q108" i="2"/>
  <c r="O108" i="2"/>
  <c r="N108" i="2"/>
  <c r="I108" i="2"/>
  <c r="H108" i="2"/>
  <c r="F108" i="2"/>
  <c r="E108" i="2"/>
  <c r="AB106" i="2"/>
  <c r="Y106" i="2"/>
  <c r="V106" i="2"/>
  <c r="S106" i="2"/>
  <c r="P106" i="2"/>
  <c r="M106" i="2"/>
  <c r="J106" i="2"/>
  <c r="G106" i="2"/>
  <c r="C106" i="2"/>
  <c r="B106" i="2"/>
  <c r="AA105" i="2"/>
  <c r="Z105" i="2"/>
  <c r="X105" i="2"/>
  <c r="W105" i="2"/>
  <c r="U105" i="2"/>
  <c r="T105" i="2"/>
  <c r="R105" i="2"/>
  <c r="Q105" i="2"/>
  <c r="O105" i="2"/>
  <c r="N105" i="2"/>
  <c r="L105" i="2"/>
  <c r="K105" i="2"/>
  <c r="I105" i="2"/>
  <c r="H105" i="2"/>
  <c r="F105" i="2"/>
  <c r="E105" i="2"/>
  <c r="AB104" i="2"/>
  <c r="Y104" i="2"/>
  <c r="V104" i="2"/>
  <c r="S104" i="2"/>
  <c r="P104" i="2"/>
  <c r="L104" i="2"/>
  <c r="K104" i="2"/>
  <c r="J104" i="2"/>
  <c r="G104" i="2"/>
  <c r="C104" i="2"/>
  <c r="B104" i="2"/>
  <c r="AB103" i="2"/>
  <c r="Y103" i="2"/>
  <c r="V103" i="2"/>
  <c r="S103" i="2"/>
  <c r="P103" i="2"/>
  <c r="M103" i="2"/>
  <c r="I103" i="2"/>
  <c r="H103" i="2"/>
  <c r="G103" i="2"/>
  <c r="B103" i="2"/>
  <c r="AB102" i="2"/>
  <c r="Y102" i="2"/>
  <c r="V102" i="2"/>
  <c r="S102" i="2"/>
  <c r="P102" i="2"/>
  <c r="M102" i="2"/>
  <c r="J102" i="2"/>
  <c r="G102" i="2"/>
  <c r="C102" i="2"/>
  <c r="B102" i="2"/>
  <c r="AB101" i="2"/>
  <c r="Y101" i="2"/>
  <c r="V101" i="2"/>
  <c r="S101" i="2"/>
  <c r="P101" i="2"/>
  <c r="M101" i="2"/>
  <c r="J101" i="2"/>
  <c r="G101" i="2"/>
  <c r="C101" i="2"/>
  <c r="B101" i="2"/>
  <c r="AB100" i="2"/>
  <c r="Y100" i="2"/>
  <c r="V100" i="2"/>
  <c r="S100" i="2"/>
  <c r="P100" i="2"/>
  <c r="M100" i="2"/>
  <c r="I100" i="2"/>
  <c r="H100" i="2"/>
  <c r="H99" i="2" s="1"/>
  <c r="F100" i="2"/>
  <c r="F99" i="2" s="1"/>
  <c r="E100" i="2"/>
  <c r="E99" i="2" s="1"/>
  <c r="AA99" i="2"/>
  <c r="Z99" i="2"/>
  <c r="X99" i="2"/>
  <c r="W99" i="2"/>
  <c r="U99" i="2"/>
  <c r="T99" i="2"/>
  <c r="R99" i="2"/>
  <c r="Q99" i="2"/>
  <c r="O99" i="2"/>
  <c r="N99" i="2"/>
  <c r="K99" i="2"/>
  <c r="AB98" i="2"/>
  <c r="Y98" i="2"/>
  <c r="V98" i="2"/>
  <c r="S98" i="2"/>
  <c r="P98" i="2"/>
  <c r="M98" i="2"/>
  <c r="J98" i="2"/>
  <c r="G98" i="2"/>
  <c r="C98" i="2"/>
  <c r="B98" i="2"/>
  <c r="AA97" i="2"/>
  <c r="Z97" i="2"/>
  <c r="X97" i="2"/>
  <c r="W97" i="2"/>
  <c r="U97" i="2"/>
  <c r="T97" i="2"/>
  <c r="R97" i="2"/>
  <c r="Q97" i="2"/>
  <c r="O97" i="2"/>
  <c r="N97" i="2"/>
  <c r="L97" i="2"/>
  <c r="K97" i="2"/>
  <c r="I97" i="2"/>
  <c r="H97" i="2"/>
  <c r="F97" i="2"/>
  <c r="E97" i="2"/>
  <c r="AB96" i="2"/>
  <c r="Y96" i="2"/>
  <c r="V96" i="2"/>
  <c r="S96" i="2"/>
  <c r="P96" i="2"/>
  <c r="M96" i="2"/>
  <c r="L96" i="2"/>
  <c r="J96" i="2"/>
  <c r="G96" i="2"/>
  <c r="C96" i="2"/>
  <c r="B96" i="2"/>
  <c r="AB95" i="2"/>
  <c r="Y95" i="2"/>
  <c r="V95" i="2"/>
  <c r="S95" i="2"/>
  <c r="P95" i="2"/>
  <c r="L95" i="2"/>
  <c r="M95" i="2" s="1"/>
  <c r="J95" i="2"/>
  <c r="G95" i="2"/>
  <c r="B95" i="2"/>
  <c r="AB94" i="2"/>
  <c r="Y94" i="2"/>
  <c r="V94" i="2"/>
  <c r="S94" i="2"/>
  <c r="P94" i="2"/>
  <c r="L94" i="2"/>
  <c r="K94" i="2"/>
  <c r="M94" i="2" s="1"/>
  <c r="J94" i="2"/>
  <c r="G94" i="2"/>
  <c r="C94" i="2"/>
  <c r="B94" i="2"/>
  <c r="AB93" i="2"/>
  <c r="Y93" i="2"/>
  <c r="V93" i="2"/>
  <c r="S93" i="2"/>
  <c r="P93" i="2"/>
  <c r="L93" i="2"/>
  <c r="J93" i="2"/>
  <c r="G93" i="2"/>
  <c r="B93" i="2"/>
  <c r="AA92" i="2"/>
  <c r="Z92" i="2"/>
  <c r="X92" i="2"/>
  <c r="W92" i="2"/>
  <c r="U92" i="2"/>
  <c r="T92" i="2"/>
  <c r="R92" i="2"/>
  <c r="Q92" i="2"/>
  <c r="O92" i="2"/>
  <c r="N92" i="2"/>
  <c r="K92" i="2"/>
  <c r="I92" i="2"/>
  <c r="H92" i="2"/>
  <c r="F92" i="2"/>
  <c r="E92" i="2"/>
  <c r="AA89" i="2"/>
  <c r="AA87" i="2" s="1"/>
  <c r="Z89" i="2"/>
  <c r="Y89" i="2"/>
  <c r="V89" i="2"/>
  <c r="S89" i="2"/>
  <c r="O89" i="2"/>
  <c r="N89" i="2"/>
  <c r="M89" i="2"/>
  <c r="J89" i="2"/>
  <c r="F89" i="2"/>
  <c r="E89" i="2"/>
  <c r="AB88" i="2"/>
  <c r="Y88" i="2"/>
  <c r="V88" i="2"/>
  <c r="S88" i="2"/>
  <c r="P88" i="2"/>
  <c r="M88" i="2"/>
  <c r="J88" i="2"/>
  <c r="F88" i="2"/>
  <c r="C88" i="2" s="1"/>
  <c r="E88" i="2"/>
  <c r="X87" i="2"/>
  <c r="W87" i="2"/>
  <c r="W86" i="2" s="1"/>
  <c r="U87" i="2"/>
  <c r="U86" i="2" s="1"/>
  <c r="T87" i="2"/>
  <c r="R87" i="2"/>
  <c r="Q87" i="2"/>
  <c r="Q86" i="2" s="1"/>
  <c r="N87" i="2"/>
  <c r="N86" i="2" s="1"/>
  <c r="L87" i="2"/>
  <c r="K87" i="2"/>
  <c r="K86" i="2" s="1"/>
  <c r="I87" i="2"/>
  <c r="I86" i="2" s="1"/>
  <c r="H87" i="2"/>
  <c r="F87" i="2"/>
  <c r="F86" i="2" s="1"/>
  <c r="R86" i="2"/>
  <c r="AB85" i="2"/>
  <c r="Y85" i="2"/>
  <c r="V85" i="2"/>
  <c r="S85" i="2"/>
  <c r="P85" i="2"/>
  <c r="L85" i="2"/>
  <c r="J85" i="2"/>
  <c r="G85" i="2"/>
  <c r="B85" i="2"/>
  <c r="AB84" i="2"/>
  <c r="Y84" i="2"/>
  <c r="V84" i="2"/>
  <c r="S84" i="2"/>
  <c r="P84" i="2"/>
  <c r="M84" i="2"/>
  <c r="J84" i="2"/>
  <c r="G84" i="2"/>
  <c r="C84" i="2"/>
  <c r="B84" i="2"/>
  <c r="AB83" i="2"/>
  <c r="Y83" i="2"/>
  <c r="V83" i="2"/>
  <c r="S83" i="2"/>
  <c r="O83" i="2"/>
  <c r="N83" i="2"/>
  <c r="M83" i="2"/>
  <c r="J83" i="2"/>
  <c r="F83" i="2"/>
  <c r="E83" i="2"/>
  <c r="B83" i="2" s="1"/>
  <c r="AB82" i="2"/>
  <c r="Y82" i="2"/>
  <c r="V82" i="2"/>
  <c r="S82" i="2"/>
  <c r="P82" i="2"/>
  <c r="M82" i="2"/>
  <c r="J82" i="2"/>
  <c r="F82" i="2"/>
  <c r="E82" i="2"/>
  <c r="B82" i="2" s="1"/>
  <c r="AB81" i="2"/>
  <c r="Y81" i="2"/>
  <c r="V81" i="2"/>
  <c r="S81" i="2"/>
  <c r="P81" i="2"/>
  <c r="L81" i="2"/>
  <c r="M81" i="2" s="1"/>
  <c r="J81" i="2"/>
  <c r="F81" i="2"/>
  <c r="E81" i="2"/>
  <c r="B81" i="2" s="1"/>
  <c r="AB80" i="2"/>
  <c r="Y80" i="2"/>
  <c r="V80" i="2"/>
  <c r="S80" i="2"/>
  <c r="P80" i="2"/>
  <c r="M80" i="2"/>
  <c r="J80" i="2"/>
  <c r="G80" i="2"/>
  <c r="C80" i="2"/>
  <c r="B80" i="2"/>
  <c r="AB79" i="2"/>
  <c r="Y79" i="2"/>
  <c r="V79" i="2"/>
  <c r="S79" i="2"/>
  <c r="P79" i="2"/>
  <c r="M79" i="2"/>
  <c r="J79" i="2"/>
  <c r="G79" i="2"/>
  <c r="C79" i="2"/>
  <c r="B79" i="2"/>
  <c r="H76" i="2"/>
  <c r="H75" i="2" s="1"/>
  <c r="AB78" i="2"/>
  <c r="Y78" i="2"/>
  <c r="V78" i="2"/>
  <c r="S78" i="2"/>
  <c r="P78" i="2"/>
  <c r="L78" i="2"/>
  <c r="J78" i="2"/>
  <c r="G78" i="2"/>
  <c r="B78" i="2"/>
  <c r="AB77" i="2"/>
  <c r="Y77" i="2"/>
  <c r="V77" i="2"/>
  <c r="S77" i="2"/>
  <c r="P77" i="2"/>
  <c r="M77" i="2"/>
  <c r="J77" i="2"/>
  <c r="G77" i="2"/>
  <c r="C77" i="2"/>
  <c r="B77" i="2"/>
  <c r="AA76" i="2"/>
  <c r="AA75" i="2" s="1"/>
  <c r="Z76" i="2"/>
  <c r="X76" i="2"/>
  <c r="W76" i="2"/>
  <c r="U76" i="2"/>
  <c r="T76" i="2"/>
  <c r="T75" i="2" s="1"/>
  <c r="R76" i="2"/>
  <c r="Q76" i="2"/>
  <c r="Q75" i="2" s="1"/>
  <c r="N76" i="2"/>
  <c r="I76" i="2"/>
  <c r="W75" i="2"/>
  <c r="AB74" i="2"/>
  <c r="Y74" i="2"/>
  <c r="V74" i="2"/>
  <c r="S74" i="2"/>
  <c r="P74" i="2"/>
  <c r="L74" i="2"/>
  <c r="K74" i="2"/>
  <c r="J74" i="2"/>
  <c r="F74" i="2"/>
  <c r="C74" i="2" s="1"/>
  <c r="E74" i="2"/>
  <c r="B74" i="2" s="1"/>
  <c r="AB73" i="2"/>
  <c r="Y73" i="2"/>
  <c r="V73" i="2"/>
  <c r="S73" i="2"/>
  <c r="P73" i="2"/>
  <c r="L73" i="2"/>
  <c r="K73" i="2"/>
  <c r="I73" i="2"/>
  <c r="H73" i="2"/>
  <c r="G73" i="2"/>
  <c r="AB72" i="2"/>
  <c r="Y72" i="2"/>
  <c r="V72" i="2"/>
  <c r="S72" i="2"/>
  <c r="P72" i="2"/>
  <c r="M72" i="2"/>
  <c r="J72" i="2"/>
  <c r="F72" i="2"/>
  <c r="C72" i="2" s="1"/>
  <c r="E72" i="2"/>
  <c r="B72" i="2" s="1"/>
  <c r="AB71" i="2"/>
  <c r="Y71" i="2"/>
  <c r="U71" i="2"/>
  <c r="V71" i="2" s="1"/>
  <c r="T71" i="2"/>
  <c r="S71" i="2"/>
  <c r="P71" i="2"/>
  <c r="M71" i="2"/>
  <c r="J71" i="2"/>
  <c r="F71" i="2"/>
  <c r="E71" i="2"/>
  <c r="AB70" i="2"/>
  <c r="Y70" i="2"/>
  <c r="V70" i="2"/>
  <c r="S70" i="2"/>
  <c r="P70" i="2"/>
  <c r="M70" i="2"/>
  <c r="J70" i="2"/>
  <c r="G70" i="2"/>
  <c r="C70" i="2"/>
  <c r="B70" i="2"/>
  <c r="AA69" i="2"/>
  <c r="AB69" i="2" s="1"/>
  <c r="X69" i="2"/>
  <c r="U69" i="2"/>
  <c r="T69" i="2"/>
  <c r="B69" i="2" s="1"/>
  <c r="S69" i="2"/>
  <c r="P69" i="2"/>
  <c r="M69" i="2"/>
  <c r="J69" i="2"/>
  <c r="G69" i="2"/>
  <c r="AB68" i="2"/>
  <c r="Y68" i="2"/>
  <c r="U68" i="2"/>
  <c r="T68" i="2"/>
  <c r="S68" i="2"/>
  <c r="P68" i="2"/>
  <c r="M68" i="2"/>
  <c r="J68" i="2"/>
  <c r="F68" i="2"/>
  <c r="C68" i="2" s="1"/>
  <c r="E68" i="2"/>
  <c r="AB67" i="2"/>
  <c r="Y67" i="2"/>
  <c r="V67" i="2"/>
  <c r="S67" i="2"/>
  <c r="P67" i="2"/>
  <c r="M67" i="2"/>
  <c r="J67" i="2"/>
  <c r="G67" i="2"/>
  <c r="C67" i="2"/>
  <c r="B67" i="2"/>
  <c r="AA66" i="2"/>
  <c r="AA62" i="2" s="1"/>
  <c r="Z66" i="2"/>
  <c r="Z62" i="2" s="1"/>
  <c r="Z61" i="2" s="1"/>
  <c r="Y66" i="2"/>
  <c r="V66" i="2"/>
  <c r="S66" i="2"/>
  <c r="P66" i="2"/>
  <c r="M66" i="2"/>
  <c r="J66" i="2"/>
  <c r="F66" i="2"/>
  <c r="E66" i="2"/>
  <c r="B66" i="2" s="1"/>
  <c r="AB65" i="2"/>
  <c r="Y65" i="2"/>
  <c r="V65" i="2"/>
  <c r="S65" i="2"/>
  <c r="P65" i="2"/>
  <c r="L65" i="2"/>
  <c r="K65" i="2"/>
  <c r="B65" i="2" s="1"/>
  <c r="J65" i="2"/>
  <c r="G65" i="2"/>
  <c r="C65" i="2"/>
  <c r="AB64" i="2"/>
  <c r="Y64" i="2"/>
  <c r="V64" i="2"/>
  <c r="S64" i="2"/>
  <c r="P64" i="2"/>
  <c r="L64" i="2"/>
  <c r="C64" i="2" s="1"/>
  <c r="J64" i="2"/>
  <c r="G64" i="2"/>
  <c r="B64" i="2"/>
  <c r="AB63" i="2"/>
  <c r="Y63" i="2"/>
  <c r="V63" i="2"/>
  <c r="S63" i="2"/>
  <c r="P63" i="2"/>
  <c r="M63" i="2"/>
  <c r="I63" i="2"/>
  <c r="I62" i="2" s="1"/>
  <c r="I61" i="2" s="1"/>
  <c r="H63" i="2"/>
  <c r="B63" i="2" s="1"/>
  <c r="G63" i="2"/>
  <c r="W62" i="2"/>
  <c r="W61" i="2" s="1"/>
  <c r="R62" i="2"/>
  <c r="R61" i="2" s="1"/>
  <c r="Q62" i="2"/>
  <c r="Q61" i="2" s="1"/>
  <c r="O62" i="2"/>
  <c r="N62" i="2"/>
  <c r="N61" i="2" s="1"/>
  <c r="AA60" i="2"/>
  <c r="AB60" i="2" s="1"/>
  <c r="Z60" i="2"/>
  <c r="Z55" i="2" s="1"/>
  <c r="Z54" i="2" s="1"/>
  <c r="Y60" i="2"/>
  <c r="V60" i="2"/>
  <c r="S60" i="2"/>
  <c r="O60" i="2"/>
  <c r="O55" i="2" s="1"/>
  <c r="N60" i="2"/>
  <c r="N55" i="2" s="1"/>
  <c r="N54" i="2" s="1"/>
  <c r="M60" i="2"/>
  <c r="J60" i="2"/>
  <c r="G60" i="2"/>
  <c r="AB59" i="2"/>
  <c r="Y59" i="2"/>
  <c r="V59" i="2"/>
  <c r="R59" i="2"/>
  <c r="Q59" i="2"/>
  <c r="Q55" i="2" s="1"/>
  <c r="Q54" i="2" s="1"/>
  <c r="P59" i="2"/>
  <c r="L59" i="2"/>
  <c r="K59" i="2"/>
  <c r="J59" i="2"/>
  <c r="G59" i="2"/>
  <c r="AB58" i="2"/>
  <c r="Y58" i="2"/>
  <c r="V58" i="2"/>
  <c r="S58" i="2"/>
  <c r="P58" i="2"/>
  <c r="L58" i="2"/>
  <c r="M58" i="2" s="1"/>
  <c r="J58" i="2"/>
  <c r="G58" i="2"/>
  <c r="C58" i="2"/>
  <c r="B58" i="2"/>
  <c r="AB57" i="2"/>
  <c r="Y57" i="2"/>
  <c r="V57" i="2"/>
  <c r="S57" i="2"/>
  <c r="P57" i="2"/>
  <c r="M57" i="2"/>
  <c r="J57" i="2"/>
  <c r="G57" i="2"/>
  <c r="C57" i="2"/>
  <c r="B57" i="2"/>
  <c r="AB56" i="2"/>
  <c r="Y56" i="2"/>
  <c r="V56" i="2"/>
  <c r="R56" i="2"/>
  <c r="C56" i="2" s="1"/>
  <c r="P56" i="2"/>
  <c r="M56" i="2"/>
  <c r="J56" i="2"/>
  <c r="G56" i="2"/>
  <c r="B56" i="2"/>
  <c r="X55" i="2"/>
  <c r="X54" i="2" s="1"/>
  <c r="W55" i="2"/>
  <c r="U55" i="2"/>
  <c r="U54" i="2" s="1"/>
  <c r="T55" i="2"/>
  <c r="T54" i="2" s="1"/>
  <c r="I55" i="2"/>
  <c r="I54" i="2" s="1"/>
  <c r="H55" i="2"/>
  <c r="H54" i="2" s="1"/>
  <c r="F55" i="2"/>
  <c r="F54" i="2" s="1"/>
  <c r="E55" i="2"/>
  <c r="E54" i="2" s="1"/>
  <c r="AB53" i="2"/>
  <c r="Y53" i="2"/>
  <c r="V53" i="2"/>
  <c r="R53" i="2"/>
  <c r="C53" i="2" s="1"/>
  <c r="Q53" i="2"/>
  <c r="B53" i="2" s="1"/>
  <c r="P53" i="2"/>
  <c r="M53" i="2"/>
  <c r="J53" i="2"/>
  <c r="G53" i="2"/>
  <c r="AB52" i="2"/>
  <c r="Y52" i="2"/>
  <c r="V52" i="2"/>
  <c r="S52" i="2"/>
  <c r="P52" i="2"/>
  <c r="M52" i="2"/>
  <c r="J52" i="2"/>
  <c r="G52" i="2"/>
  <c r="C52" i="2"/>
  <c r="B52" i="2"/>
  <c r="AA51" i="2"/>
  <c r="AA50" i="2" s="1"/>
  <c r="AA49" i="2" s="1"/>
  <c r="Z51" i="2"/>
  <c r="Y51" i="2"/>
  <c r="V51" i="2"/>
  <c r="R51" i="2"/>
  <c r="Q51" i="2"/>
  <c r="B51" i="2" s="1"/>
  <c r="P51" i="2"/>
  <c r="M51" i="2"/>
  <c r="J51" i="2"/>
  <c r="G51" i="2"/>
  <c r="X50" i="2"/>
  <c r="W50" i="2"/>
  <c r="W49" i="2" s="1"/>
  <c r="U50" i="2"/>
  <c r="T50" i="2"/>
  <c r="T49" i="2" s="1"/>
  <c r="O50" i="2"/>
  <c r="O49" i="2" s="1"/>
  <c r="N50" i="2"/>
  <c r="N49" i="2" s="1"/>
  <c r="L50" i="2"/>
  <c r="K50" i="2"/>
  <c r="K49" i="2" s="1"/>
  <c r="I50" i="2"/>
  <c r="H50" i="2"/>
  <c r="H49" i="2" s="1"/>
  <c r="F50" i="2"/>
  <c r="F49" i="2" s="1"/>
  <c r="E50" i="2"/>
  <c r="AB48" i="2"/>
  <c r="Y48" i="2"/>
  <c r="V48" i="2"/>
  <c r="S48" i="2"/>
  <c r="P48" i="2"/>
  <c r="M48" i="2"/>
  <c r="J48" i="2"/>
  <c r="G48" i="2"/>
  <c r="C48" i="2"/>
  <c r="B48" i="2"/>
  <c r="AB47" i="2"/>
  <c r="Y47" i="2"/>
  <c r="V47" i="2"/>
  <c r="S47" i="2"/>
  <c r="P47" i="2"/>
  <c r="M47" i="2"/>
  <c r="J47" i="2"/>
  <c r="G47" i="2"/>
  <c r="C47" i="2"/>
  <c r="B47" i="2"/>
  <c r="AB46" i="2"/>
  <c r="Y46" i="2"/>
  <c r="V46" i="2"/>
  <c r="S46" i="2"/>
  <c r="P46" i="2"/>
  <c r="L46" i="2"/>
  <c r="C46" i="2" s="1"/>
  <c r="K46" i="2"/>
  <c r="J46" i="2"/>
  <c r="G46" i="2"/>
  <c r="B46" i="2"/>
  <c r="AB45" i="2"/>
  <c r="Y45" i="2"/>
  <c r="U45" i="2"/>
  <c r="U37" i="2" s="1"/>
  <c r="T45" i="2"/>
  <c r="T37" i="2" s="1"/>
  <c r="T36" i="2" s="1"/>
  <c r="S45" i="2"/>
  <c r="P45" i="2"/>
  <c r="M45" i="2"/>
  <c r="J45" i="2"/>
  <c r="F45" i="2"/>
  <c r="E45" i="2"/>
  <c r="E37" i="2" s="1"/>
  <c r="AB44" i="2"/>
  <c r="Y44" i="2"/>
  <c r="V44" i="2"/>
  <c r="S44" i="2"/>
  <c r="P44" i="2"/>
  <c r="M44" i="2"/>
  <c r="J44" i="2"/>
  <c r="G44" i="2"/>
  <c r="C44" i="2"/>
  <c r="B44" i="2"/>
  <c r="AB43" i="2"/>
  <c r="Y43" i="2"/>
  <c r="V43" i="2"/>
  <c r="S43" i="2"/>
  <c r="P43" i="2"/>
  <c r="M43" i="2"/>
  <c r="J43" i="2"/>
  <c r="G43" i="2"/>
  <c r="C43" i="2"/>
  <c r="B43" i="2"/>
  <c r="AB42" i="2"/>
  <c r="Y42" i="2"/>
  <c r="V42" i="2"/>
  <c r="S42" i="2"/>
  <c r="P42" i="2"/>
  <c r="M42" i="2"/>
  <c r="J42" i="2"/>
  <c r="G42" i="2"/>
  <c r="C42" i="2"/>
  <c r="B42" i="2"/>
  <c r="AB41" i="2"/>
  <c r="Y41" i="2"/>
  <c r="V41" i="2"/>
  <c r="S41" i="2"/>
  <c r="P41" i="2"/>
  <c r="L41" i="2"/>
  <c r="M41" i="2" s="1"/>
  <c r="J41" i="2"/>
  <c r="G41" i="2"/>
  <c r="B41" i="2"/>
  <c r="AB40" i="2"/>
  <c r="Y40" i="2"/>
  <c r="V40" i="2"/>
  <c r="S40" i="2"/>
  <c r="P40" i="2"/>
  <c r="M40" i="2"/>
  <c r="J40" i="2"/>
  <c r="G40" i="2"/>
  <c r="C40" i="2"/>
  <c r="B40" i="2"/>
  <c r="AB39" i="2"/>
  <c r="Y39" i="2"/>
  <c r="V39" i="2"/>
  <c r="S39" i="2"/>
  <c r="P39" i="2"/>
  <c r="M39" i="2"/>
  <c r="J39" i="2"/>
  <c r="G39" i="2"/>
  <c r="C39" i="2"/>
  <c r="B39" i="2"/>
  <c r="AA38" i="2"/>
  <c r="Z38" i="2"/>
  <c r="Z37" i="2" s="1"/>
  <c r="Z36" i="2" s="1"/>
  <c r="X38" i="2"/>
  <c r="W38" i="2"/>
  <c r="V38" i="2"/>
  <c r="S38" i="2"/>
  <c r="P38" i="2"/>
  <c r="M38" i="2"/>
  <c r="J38" i="2"/>
  <c r="G38" i="2"/>
  <c r="R37" i="2"/>
  <c r="Q37" i="2"/>
  <c r="Q36" i="2" s="1"/>
  <c r="O37" i="2"/>
  <c r="N37" i="2"/>
  <c r="N36" i="2" s="1"/>
  <c r="K37" i="2"/>
  <c r="K36" i="2" s="1"/>
  <c r="I37" i="2"/>
  <c r="I36" i="2" s="1"/>
  <c r="H37" i="2"/>
  <c r="F37" i="2"/>
  <c r="AA35" i="2"/>
  <c r="AB35" i="2" s="1"/>
  <c r="Z35" i="2"/>
  <c r="X35" i="2"/>
  <c r="X22" i="2" s="1"/>
  <c r="W35" i="2"/>
  <c r="W22" i="2" s="1"/>
  <c r="W21" i="2" s="1"/>
  <c r="U35" i="2"/>
  <c r="V35" i="2" s="1"/>
  <c r="T35" i="2"/>
  <c r="S35" i="2"/>
  <c r="P35" i="2"/>
  <c r="M35" i="2"/>
  <c r="J35" i="2"/>
  <c r="G35" i="2"/>
  <c r="B35" i="2"/>
  <c r="AB34" i="2"/>
  <c r="Y34" i="2"/>
  <c r="U34" i="2"/>
  <c r="T34" i="2"/>
  <c r="S34" i="2"/>
  <c r="P34" i="2"/>
  <c r="M34" i="2"/>
  <c r="J34" i="2"/>
  <c r="F34" i="2"/>
  <c r="G34" i="2" s="1"/>
  <c r="E34" i="2"/>
  <c r="AB33" i="2"/>
  <c r="Y33" i="2"/>
  <c r="U33" i="2"/>
  <c r="V33" i="2" s="1"/>
  <c r="T33" i="2"/>
  <c r="S33" i="2"/>
  <c r="P33" i="2"/>
  <c r="M33" i="2"/>
  <c r="J33" i="2"/>
  <c r="G33" i="2"/>
  <c r="B33" i="2"/>
  <c r="AB32" i="2"/>
  <c r="Y32" i="2"/>
  <c r="V32" i="2"/>
  <c r="S32" i="2"/>
  <c r="P32" i="2"/>
  <c r="M32" i="2"/>
  <c r="J32" i="2"/>
  <c r="G32" i="2"/>
  <c r="C32" i="2"/>
  <c r="B32" i="2"/>
  <c r="AB31" i="2"/>
  <c r="Y31" i="2"/>
  <c r="V31" i="2"/>
  <c r="S31" i="2"/>
  <c r="P31" i="2"/>
  <c r="M31" i="2"/>
  <c r="J31" i="2"/>
  <c r="G31" i="2"/>
  <c r="C31" i="2"/>
  <c r="B31" i="2"/>
  <c r="AB30" i="2"/>
  <c r="Y30" i="2"/>
  <c r="V30" i="2"/>
  <c r="S30" i="2"/>
  <c r="P30" i="2"/>
  <c r="M30" i="2"/>
  <c r="J30" i="2"/>
  <c r="G30" i="2"/>
  <c r="C30" i="2"/>
  <c r="B30" i="2"/>
  <c r="AB29" i="2"/>
  <c r="Y29" i="2"/>
  <c r="V29" i="2"/>
  <c r="S29" i="2"/>
  <c r="P29" i="2"/>
  <c r="M29" i="2"/>
  <c r="J29" i="2"/>
  <c r="G29" i="2"/>
  <c r="C29" i="2"/>
  <c r="B29" i="2"/>
  <c r="AB28" i="2"/>
  <c r="Y28" i="2"/>
  <c r="V28" i="2"/>
  <c r="R28" i="2"/>
  <c r="Q28" i="2"/>
  <c r="B28" i="2" s="1"/>
  <c r="P28" i="2"/>
  <c r="M28" i="2"/>
  <c r="J28" i="2"/>
  <c r="G28" i="2"/>
  <c r="AB27" i="2"/>
  <c r="Y27" i="2"/>
  <c r="V27" i="2"/>
  <c r="S27" i="2"/>
  <c r="P27" i="2"/>
  <c r="M27" i="2"/>
  <c r="J27" i="2"/>
  <c r="F27" i="2"/>
  <c r="F22" i="2" s="1"/>
  <c r="E27" i="2"/>
  <c r="AB26" i="2"/>
  <c r="Y26" i="2"/>
  <c r="V26" i="2"/>
  <c r="R26" i="2"/>
  <c r="Q26" i="2"/>
  <c r="B26" i="2" s="1"/>
  <c r="P26" i="2"/>
  <c r="M26" i="2"/>
  <c r="J26" i="2"/>
  <c r="G26" i="2"/>
  <c r="AB25" i="2"/>
  <c r="Y25" i="2"/>
  <c r="V25" i="2"/>
  <c r="R25" i="2"/>
  <c r="Q25" i="2"/>
  <c r="B25" i="2" s="1"/>
  <c r="P25" i="2"/>
  <c r="M25" i="2"/>
  <c r="J25" i="2"/>
  <c r="G25" i="2"/>
  <c r="AA24" i="2"/>
  <c r="Z24" i="2"/>
  <c r="Y24" i="2"/>
  <c r="V24" i="2"/>
  <c r="R24" i="2"/>
  <c r="Q24" i="2"/>
  <c r="B24" i="2" s="1"/>
  <c r="P24" i="2"/>
  <c r="M24" i="2"/>
  <c r="J24" i="2"/>
  <c r="G24" i="2"/>
  <c r="AA23" i="2"/>
  <c r="C23" i="2" s="1"/>
  <c r="Z23" i="2"/>
  <c r="B23" i="2" s="1"/>
  <c r="Y23" i="2"/>
  <c r="V23" i="2"/>
  <c r="S23" i="2"/>
  <c r="P23" i="2"/>
  <c r="M23" i="2"/>
  <c r="J23" i="2"/>
  <c r="G23" i="2"/>
  <c r="O22" i="2"/>
  <c r="O21" i="2" s="1"/>
  <c r="N22" i="2"/>
  <c r="L22" i="2"/>
  <c r="K22" i="2"/>
  <c r="K21" i="2" s="1"/>
  <c r="I22" i="2"/>
  <c r="H22" i="2"/>
  <c r="H21" i="2" s="1"/>
  <c r="AB20" i="2"/>
  <c r="Y20" i="2"/>
  <c r="V20" i="2"/>
  <c r="S20" i="2"/>
  <c r="P20" i="2"/>
  <c r="M20" i="2"/>
  <c r="I20" i="2"/>
  <c r="C20" i="2" s="1"/>
  <c r="H20" i="2"/>
  <c r="G20" i="2"/>
  <c r="B20" i="2"/>
  <c r="AB19" i="2"/>
  <c r="Y19" i="2"/>
  <c r="V19" i="2"/>
  <c r="S19" i="2"/>
  <c r="P19" i="2"/>
  <c r="M19" i="2"/>
  <c r="J19" i="2"/>
  <c r="F19" i="2"/>
  <c r="G19" i="2" s="1"/>
  <c r="E19" i="2"/>
  <c r="E11" i="2" s="1"/>
  <c r="E10" i="2" s="1"/>
  <c r="AB18" i="2"/>
  <c r="Y18" i="2"/>
  <c r="V18" i="2"/>
  <c r="S18" i="2"/>
  <c r="P18" i="2"/>
  <c r="M18" i="2"/>
  <c r="J18" i="2"/>
  <c r="G18" i="2"/>
  <c r="C18" i="2"/>
  <c r="B18" i="2"/>
  <c r="AB17" i="2"/>
  <c r="Y17" i="2"/>
  <c r="V17" i="2"/>
  <c r="S17" i="2"/>
  <c r="P17" i="2"/>
  <c r="L17" i="2"/>
  <c r="K17" i="2"/>
  <c r="B17" i="2" s="1"/>
  <c r="J17" i="2"/>
  <c r="G17" i="2"/>
  <c r="C17" i="2"/>
  <c r="AB16" i="2"/>
  <c r="Y16" i="2"/>
  <c r="V16" i="2"/>
  <c r="S16" i="2"/>
  <c r="P16" i="2"/>
  <c r="M16" i="2"/>
  <c r="J16" i="2"/>
  <c r="G16" i="2"/>
  <c r="C16" i="2"/>
  <c r="B16" i="2"/>
  <c r="AB15" i="2"/>
  <c r="Y15" i="2"/>
  <c r="V15" i="2"/>
  <c r="S15" i="2"/>
  <c r="P15" i="2"/>
  <c r="M15" i="2"/>
  <c r="J15" i="2"/>
  <c r="G15" i="2"/>
  <c r="C15" i="2"/>
  <c r="B15" i="2"/>
  <c r="AB14" i="2"/>
  <c r="Y14" i="2"/>
  <c r="V14" i="2"/>
  <c r="S14" i="2"/>
  <c r="P14" i="2"/>
  <c r="M14" i="2"/>
  <c r="J14" i="2"/>
  <c r="G14" i="2"/>
  <c r="C14" i="2"/>
  <c r="B14" i="2"/>
  <c r="AB13" i="2"/>
  <c r="Y13" i="2"/>
  <c r="V13" i="2"/>
  <c r="S13" i="2"/>
  <c r="P13" i="2"/>
  <c r="M13" i="2"/>
  <c r="J13" i="2"/>
  <c r="G13" i="2"/>
  <c r="C13" i="2"/>
  <c r="B13" i="2"/>
  <c r="AB12" i="2"/>
  <c r="Y12" i="2"/>
  <c r="V12" i="2"/>
  <c r="S12" i="2"/>
  <c r="P12" i="2"/>
  <c r="L12" i="2"/>
  <c r="L11" i="2" s="1"/>
  <c r="J12" i="2"/>
  <c r="G12" i="2"/>
  <c r="B12" i="2"/>
  <c r="AA11" i="2"/>
  <c r="Z11" i="2"/>
  <c r="Z10" i="2" s="1"/>
  <c r="X11" i="2"/>
  <c r="W11" i="2"/>
  <c r="U11" i="2"/>
  <c r="U10" i="2" s="1"/>
  <c r="T11" i="2"/>
  <c r="T10" i="2" s="1"/>
  <c r="R11" i="2"/>
  <c r="Q11" i="2"/>
  <c r="Q10" i="2" s="1"/>
  <c r="O11" i="2"/>
  <c r="N11" i="2"/>
  <c r="N10" i="2" s="1"/>
  <c r="X10" i="2"/>
  <c r="S25" i="2" l="1"/>
  <c r="S28" i="2"/>
  <c r="C95" i="2"/>
  <c r="B229" i="2"/>
  <c r="L275" i="2"/>
  <c r="B283" i="2"/>
  <c r="V286" i="2"/>
  <c r="E367" i="2"/>
  <c r="E366" i="2" s="1"/>
  <c r="G368" i="2"/>
  <c r="Q22" i="2"/>
  <c r="Q21" i="2" s="1"/>
  <c r="S24" i="2"/>
  <c r="S26" i="2"/>
  <c r="D26" i="2" s="1"/>
  <c r="C27" i="2"/>
  <c r="AB38" i="2"/>
  <c r="AB51" i="2"/>
  <c r="S53" i="2"/>
  <c r="D53" i="2" s="1"/>
  <c r="B59" i="2"/>
  <c r="S59" i="2"/>
  <c r="G68" i="2"/>
  <c r="V69" i="2"/>
  <c r="M74" i="2"/>
  <c r="G89" i="2"/>
  <c r="G281" i="2"/>
  <c r="B312" i="2"/>
  <c r="U22" i="2"/>
  <c r="G27" i="2"/>
  <c r="B38" i="2"/>
  <c r="E62" i="2"/>
  <c r="E61" i="2" s="1"/>
  <c r="G74" i="2"/>
  <c r="L147" i="2"/>
  <c r="B199" i="2"/>
  <c r="B201" i="2"/>
  <c r="S206" i="2"/>
  <c r="Z218" i="2"/>
  <c r="C248" i="2"/>
  <c r="B281" i="2"/>
  <c r="B288" i="2"/>
  <c r="B294" i="2"/>
  <c r="N185" i="2"/>
  <c r="J116" i="2"/>
  <c r="C33" i="2"/>
  <c r="B184" i="2"/>
  <c r="AB238" i="2"/>
  <c r="L267" i="2"/>
  <c r="C267" i="2" s="1"/>
  <c r="F275" i="2"/>
  <c r="F254" i="2" s="1"/>
  <c r="Z275" i="2"/>
  <c r="Z254" i="2" s="1"/>
  <c r="M290" i="2"/>
  <c r="V292" i="2"/>
  <c r="D292" i="2" s="1"/>
  <c r="AB294" i="2"/>
  <c r="AA55" i="2"/>
  <c r="AB55" i="2" s="1"/>
  <c r="S56" i="2"/>
  <c r="D56" i="2" s="1"/>
  <c r="M116" i="2"/>
  <c r="S143" i="2"/>
  <c r="S160" i="2"/>
  <c r="D160" i="2" s="1"/>
  <c r="C19" i="2"/>
  <c r="AB23" i="2"/>
  <c r="D23" i="2" s="1"/>
  <c r="C28" i="2"/>
  <c r="G37" i="2"/>
  <c r="C41" i="2"/>
  <c r="G45" i="2"/>
  <c r="B71" i="2"/>
  <c r="F76" i="2"/>
  <c r="F75" i="2" s="1"/>
  <c r="P89" i="2"/>
  <c r="B119" i="2"/>
  <c r="Q121" i="2"/>
  <c r="C145" i="2"/>
  <c r="M199" i="2"/>
  <c r="S237" i="2"/>
  <c r="K244" i="2"/>
  <c r="M248" i="2"/>
  <c r="M258" i="2"/>
  <c r="J276" i="2"/>
  <c r="D276" i="2" s="1"/>
  <c r="C279" i="2"/>
  <c r="M279" i="2"/>
  <c r="D279" i="2" s="1"/>
  <c r="V281" i="2"/>
  <c r="C286" i="2"/>
  <c r="C292" i="2"/>
  <c r="K307" i="2"/>
  <c r="K301" i="2" s="1"/>
  <c r="C12" i="2"/>
  <c r="J73" i="2"/>
  <c r="F107" i="2"/>
  <c r="S116" i="2"/>
  <c r="E22" i="2"/>
  <c r="G22" i="2" s="1"/>
  <c r="J37" i="2"/>
  <c r="M46" i="2"/>
  <c r="C71" i="2"/>
  <c r="G83" i="2"/>
  <c r="P83" i="2"/>
  <c r="C143" i="2"/>
  <c r="C200" i="2"/>
  <c r="M202" i="2"/>
  <c r="S235" i="2"/>
  <c r="C237" i="2"/>
  <c r="M239" i="2"/>
  <c r="M269" i="2"/>
  <c r="B286" i="2"/>
  <c r="M313" i="2"/>
  <c r="D313" i="2" s="1"/>
  <c r="G326" i="2"/>
  <c r="S358" i="2"/>
  <c r="Y358" i="2"/>
  <c r="P186" i="2"/>
  <c r="V267" i="2"/>
  <c r="J320" i="2"/>
  <c r="Y320" i="2"/>
  <c r="P327" i="2"/>
  <c r="V327" i="2"/>
  <c r="AB327" i="2"/>
  <c r="AB333" i="2"/>
  <c r="J338" i="2"/>
  <c r="V338" i="2"/>
  <c r="G192" i="2"/>
  <c r="T204" i="2"/>
  <c r="P97" i="2"/>
  <c r="P183" i="2"/>
  <c r="I204" i="2"/>
  <c r="Y239" i="2"/>
  <c r="V244" i="2"/>
  <c r="AB244" i="2"/>
  <c r="D249" i="2"/>
  <c r="M263" i="2"/>
  <c r="S263" i="2"/>
  <c r="J267" i="2"/>
  <c r="J331" i="2"/>
  <c r="V335" i="2"/>
  <c r="M354" i="2"/>
  <c r="Y353" i="2"/>
  <c r="S362" i="2"/>
  <c r="Y362" i="2"/>
  <c r="AB186" i="2"/>
  <c r="AB190" i="2"/>
  <c r="V252" i="2"/>
  <c r="V350" i="2"/>
  <c r="W91" i="2"/>
  <c r="D179" i="2"/>
  <c r="Y183" i="2"/>
  <c r="V197" i="2"/>
  <c r="AB197" i="2"/>
  <c r="J263" i="2"/>
  <c r="S275" i="2"/>
  <c r="Y298" i="2"/>
  <c r="AB335" i="2"/>
  <c r="Y343" i="2"/>
  <c r="L353" i="2"/>
  <c r="M353" i="2" s="1"/>
  <c r="M50" i="2"/>
  <c r="V50" i="2"/>
  <c r="M87" i="2"/>
  <c r="Y192" i="2"/>
  <c r="J205" i="2"/>
  <c r="V218" i="2"/>
  <c r="E330" i="2"/>
  <c r="K91" i="2"/>
  <c r="AB298" i="2"/>
  <c r="Y302" i="2"/>
  <c r="D304" i="2"/>
  <c r="S307" i="2"/>
  <c r="J324" i="2"/>
  <c r="V358" i="2"/>
  <c r="V362" i="2"/>
  <c r="AB170" i="2"/>
  <c r="U204" i="2"/>
  <c r="Y205" i="2"/>
  <c r="D228" i="2"/>
  <c r="D251" i="2"/>
  <c r="M252" i="2"/>
  <c r="Y252" i="2"/>
  <c r="J255" i="2"/>
  <c r="V255" i="2"/>
  <c r="Y267" i="2"/>
  <c r="M320" i="2"/>
  <c r="V320" i="2"/>
  <c r="S324" i="2"/>
  <c r="G348" i="2"/>
  <c r="M348" i="2"/>
  <c r="S347" i="2"/>
  <c r="S11" i="2"/>
  <c r="Y76" i="2"/>
  <c r="D79" i="2"/>
  <c r="D84" i="2"/>
  <c r="G105" i="2"/>
  <c r="D118" i="2"/>
  <c r="H120" i="2"/>
  <c r="D152" i="2"/>
  <c r="J55" i="2"/>
  <c r="AB76" i="2"/>
  <c r="S87" i="2"/>
  <c r="Y87" i="2"/>
  <c r="D96" i="2"/>
  <c r="AB97" i="2"/>
  <c r="Y99" i="2"/>
  <c r="AB121" i="2"/>
  <c r="D129" i="2"/>
  <c r="D140" i="2"/>
  <c r="T120" i="2"/>
  <c r="D191" i="2"/>
  <c r="D202" i="2"/>
  <c r="E204" i="2"/>
  <c r="D216" i="2"/>
  <c r="G244" i="2"/>
  <c r="D273" i="2"/>
  <c r="D277" i="2"/>
  <c r="D316" i="2"/>
  <c r="H301" i="2"/>
  <c r="J367" i="2"/>
  <c r="P367" i="2"/>
  <c r="V54" i="2"/>
  <c r="D39" i="2"/>
  <c r="S76" i="2"/>
  <c r="M105" i="2"/>
  <c r="D31" i="2"/>
  <c r="H36" i="2"/>
  <c r="J36" i="2" s="1"/>
  <c r="V55" i="2"/>
  <c r="O91" i="2"/>
  <c r="V99" i="2"/>
  <c r="AB105" i="2"/>
  <c r="N120" i="2"/>
  <c r="D125" i="2"/>
  <c r="D128" i="2"/>
  <c r="V144" i="2"/>
  <c r="H185" i="2"/>
  <c r="S190" i="2"/>
  <c r="V205" i="2"/>
  <c r="D220" i="2"/>
  <c r="V302" i="2"/>
  <c r="AB302" i="2"/>
  <c r="D310" i="2"/>
  <c r="D340" i="2"/>
  <c r="F347" i="2"/>
  <c r="M190" i="2"/>
  <c r="Z185" i="2"/>
  <c r="D212" i="2"/>
  <c r="D257" i="2"/>
  <c r="P258" i="2"/>
  <c r="V258" i="2"/>
  <c r="D261" i="2"/>
  <c r="V263" i="2"/>
  <c r="D271" i="2"/>
  <c r="G275" i="2"/>
  <c r="D278" i="2"/>
  <c r="D283" i="2"/>
  <c r="D289" i="2"/>
  <c r="D294" i="2"/>
  <c r="J302" i="2"/>
  <c r="B320" i="2"/>
  <c r="Y331" i="2"/>
  <c r="Q330" i="2"/>
  <c r="W330" i="2"/>
  <c r="X342" i="2"/>
  <c r="Y342" i="2" s="1"/>
  <c r="C348" i="2"/>
  <c r="J362" i="2"/>
  <c r="S367" i="2"/>
  <c r="D368" i="2"/>
  <c r="S183" i="2"/>
  <c r="M186" i="2"/>
  <c r="Y218" i="2"/>
  <c r="D253" i="2"/>
  <c r="Y255" i="2"/>
  <c r="D260" i="2"/>
  <c r="Y263" i="2"/>
  <c r="AB267" i="2"/>
  <c r="D280" i="2"/>
  <c r="D293" i="2"/>
  <c r="D296" i="2"/>
  <c r="D314" i="2"/>
  <c r="I330" i="2"/>
  <c r="T330" i="2"/>
  <c r="D332" i="2"/>
  <c r="K330" i="2"/>
  <c r="S333" i="2"/>
  <c r="Y333" i="2"/>
  <c r="Y338" i="2"/>
  <c r="M351" i="2"/>
  <c r="Y354" i="2"/>
  <c r="D360" i="2"/>
  <c r="D136" i="2"/>
  <c r="D138" i="2"/>
  <c r="D148" i="2"/>
  <c r="D150" i="2"/>
  <c r="P170" i="2"/>
  <c r="V11" i="2"/>
  <c r="D14" i="2"/>
  <c r="S37" i="2"/>
  <c r="D44" i="2"/>
  <c r="D52" i="2"/>
  <c r="S86" i="2"/>
  <c r="S97" i="2"/>
  <c r="Y97" i="2"/>
  <c r="V108" i="2"/>
  <c r="Y110" i="2"/>
  <c r="M147" i="2"/>
  <c r="Y170" i="2"/>
  <c r="D175" i="2"/>
  <c r="G183" i="2"/>
  <c r="D222" i="2"/>
  <c r="M22" i="2"/>
  <c r="P49" i="2"/>
  <c r="D74" i="2"/>
  <c r="P92" i="2"/>
  <c r="D95" i="2"/>
  <c r="N91" i="2"/>
  <c r="D102" i="2"/>
  <c r="J105" i="2"/>
  <c r="P105" i="2"/>
  <c r="J108" i="2"/>
  <c r="D112" i="2"/>
  <c r="Y116" i="2"/>
  <c r="J144" i="2"/>
  <c r="J147" i="2"/>
  <c r="D168" i="2"/>
  <c r="D15" i="2"/>
  <c r="D19" i="2"/>
  <c r="D29" i="2"/>
  <c r="D30" i="2"/>
  <c r="D48" i="2"/>
  <c r="J54" i="2"/>
  <c r="S92" i="2"/>
  <c r="D98" i="2"/>
  <c r="D101" i="2"/>
  <c r="W107" i="2"/>
  <c r="D134" i="2"/>
  <c r="D146" i="2"/>
  <c r="D155" i="2"/>
  <c r="D157" i="2"/>
  <c r="D158" i="2"/>
  <c r="G170" i="2"/>
  <c r="M170" i="2"/>
  <c r="D173" i="2"/>
  <c r="Y190" i="2"/>
  <c r="P192" i="2"/>
  <c r="G197" i="2"/>
  <c r="P197" i="2"/>
  <c r="J218" i="2"/>
  <c r="P252" i="2"/>
  <c r="D266" i="2"/>
  <c r="E254" i="2"/>
  <c r="G298" i="2"/>
  <c r="Z301" i="2"/>
  <c r="G335" i="2"/>
  <c r="M335" i="2"/>
  <c r="AA330" i="2"/>
  <c r="G343" i="2"/>
  <c r="AB342" i="2"/>
  <c r="V351" i="2"/>
  <c r="AB354" i="2"/>
  <c r="P358" i="2"/>
  <c r="G362" i="2"/>
  <c r="P11" i="2"/>
  <c r="D13" i="2"/>
  <c r="V34" i="2"/>
  <c r="D34" i="2" s="1"/>
  <c r="F11" i="2"/>
  <c r="G11" i="2" s="1"/>
  <c r="AB11" i="2"/>
  <c r="D16" i="2"/>
  <c r="M17" i="2"/>
  <c r="D17" i="2" s="1"/>
  <c r="D18" i="2"/>
  <c r="B19" i="2"/>
  <c r="J22" i="2"/>
  <c r="P22" i="2"/>
  <c r="Z22" i="2"/>
  <c r="Z21" i="2" s="1"/>
  <c r="D25" i="2"/>
  <c r="D28" i="2"/>
  <c r="T22" i="2"/>
  <c r="T21" i="2" s="1"/>
  <c r="B34" i="2"/>
  <c r="P37" i="2"/>
  <c r="C38" i="2"/>
  <c r="Y38" i="2"/>
  <c r="D38" i="2" s="1"/>
  <c r="D40" i="2"/>
  <c r="D42" i="2"/>
  <c r="D43" i="2"/>
  <c r="D47" i="2"/>
  <c r="G50" i="2"/>
  <c r="P50" i="2"/>
  <c r="Y50" i="2"/>
  <c r="C63" i="2"/>
  <c r="M65" i="2"/>
  <c r="D65" i="2" s="1"/>
  <c r="F62" i="2"/>
  <c r="F61" i="2" s="1"/>
  <c r="AB66" i="2"/>
  <c r="G72" i="2"/>
  <c r="D72" i="2" s="1"/>
  <c r="O76" i="2"/>
  <c r="O75" i="2" s="1"/>
  <c r="D77" i="2"/>
  <c r="L76" i="2"/>
  <c r="L75" i="2" s="1"/>
  <c r="G81" i="2"/>
  <c r="D81" i="2" s="1"/>
  <c r="J100" i="2"/>
  <c r="C100" i="2"/>
  <c r="G108" i="2"/>
  <c r="Q107" i="2"/>
  <c r="B116" i="2"/>
  <c r="Q147" i="2"/>
  <c r="B166" i="2"/>
  <c r="H204" i="2"/>
  <c r="D210" i="2"/>
  <c r="V10" i="2"/>
  <c r="I11" i="2"/>
  <c r="I10" i="2" s="1"/>
  <c r="Y11" i="2"/>
  <c r="J20" i="2"/>
  <c r="D20" i="2" s="1"/>
  <c r="AB24" i="2"/>
  <c r="D24" i="2" s="1"/>
  <c r="D32" i="2"/>
  <c r="D46" i="2"/>
  <c r="R55" i="2"/>
  <c r="D57" i="2"/>
  <c r="D58" i="2"/>
  <c r="B60" i="2"/>
  <c r="H62" i="2"/>
  <c r="B73" i="2"/>
  <c r="E76" i="2"/>
  <c r="M78" i="2"/>
  <c r="D78" i="2" s="1"/>
  <c r="C78" i="2"/>
  <c r="D80" i="2"/>
  <c r="C83" i="2"/>
  <c r="M85" i="2"/>
  <c r="D85" i="2" s="1"/>
  <c r="C85" i="2"/>
  <c r="B100" i="2"/>
  <c r="G100" i="2"/>
  <c r="V119" i="2"/>
  <c r="D119" i="2" s="1"/>
  <c r="C119" i="2"/>
  <c r="U116" i="2"/>
  <c r="V116" i="2" s="1"/>
  <c r="M135" i="2"/>
  <c r="D135" i="2" s="1"/>
  <c r="K121" i="2"/>
  <c r="K120" i="2" s="1"/>
  <c r="S238" i="2"/>
  <c r="D238" i="2" s="1"/>
  <c r="C238" i="2"/>
  <c r="AA91" i="2"/>
  <c r="AB92" i="2"/>
  <c r="M93" i="2"/>
  <c r="D93" i="2" s="1"/>
  <c r="C93" i="2"/>
  <c r="L92" i="2"/>
  <c r="I99" i="2"/>
  <c r="J99" i="2" s="1"/>
  <c r="C103" i="2"/>
  <c r="L99" i="2"/>
  <c r="M99" i="2" s="1"/>
  <c r="M104" i="2"/>
  <c r="D104" i="2" s="1"/>
  <c r="Y147" i="2"/>
  <c r="B198" i="2"/>
  <c r="M198" i="2"/>
  <c r="D198" i="2" s="1"/>
  <c r="L205" i="2"/>
  <c r="M205" i="2" s="1"/>
  <c r="M207" i="2"/>
  <c r="D207" i="2" s="1"/>
  <c r="C207" i="2"/>
  <c r="L21" i="2"/>
  <c r="M21" i="2" s="1"/>
  <c r="AA22" i="2"/>
  <c r="AA21" i="2" s="1"/>
  <c r="D27" i="2"/>
  <c r="S51" i="2"/>
  <c r="D51" i="2" s="1"/>
  <c r="G55" i="2"/>
  <c r="K55" i="2"/>
  <c r="K54" i="2" s="1"/>
  <c r="M59" i="2"/>
  <c r="D59" i="2" s="1"/>
  <c r="K62" i="2"/>
  <c r="K61" i="2" s="1"/>
  <c r="S61" i="2"/>
  <c r="T62" i="2"/>
  <c r="T61" i="2" s="1"/>
  <c r="X75" i="2"/>
  <c r="Y75" i="2" s="1"/>
  <c r="C81" i="2"/>
  <c r="B89" i="2"/>
  <c r="R147" i="2"/>
  <c r="C147" i="2" s="1"/>
  <c r="F185" i="2"/>
  <c r="W185" i="2"/>
  <c r="Y186" i="2"/>
  <c r="Q192" i="2"/>
  <c r="B192" i="2" s="1"/>
  <c r="B193" i="2"/>
  <c r="C288" i="2"/>
  <c r="G288" i="2"/>
  <c r="D288" i="2" s="1"/>
  <c r="P298" i="2"/>
  <c r="O254" i="2"/>
  <c r="V331" i="2"/>
  <c r="U330" i="2"/>
  <c r="P362" i="2"/>
  <c r="O361" i="2"/>
  <c r="P361" i="2" s="1"/>
  <c r="J87" i="2"/>
  <c r="V87" i="2"/>
  <c r="G92" i="2"/>
  <c r="Q91" i="2"/>
  <c r="G97" i="2"/>
  <c r="M97" i="2"/>
  <c r="Z91" i="2"/>
  <c r="S105" i="2"/>
  <c r="Y105" i="2"/>
  <c r="K108" i="2"/>
  <c r="B108" i="2" s="1"/>
  <c r="T107" i="2"/>
  <c r="N107" i="2"/>
  <c r="Z107" i="2"/>
  <c r="R121" i="2"/>
  <c r="D127" i="2"/>
  <c r="D137" i="2"/>
  <c r="D142" i="2"/>
  <c r="M144" i="2"/>
  <c r="S144" i="2"/>
  <c r="D149" i="2"/>
  <c r="D154" i="2"/>
  <c r="D162" i="2"/>
  <c r="D164" i="2"/>
  <c r="S166" i="2"/>
  <c r="D166" i="2" s="1"/>
  <c r="D172" i="2"/>
  <c r="D177" i="2"/>
  <c r="Q186" i="2"/>
  <c r="B186" i="2" s="1"/>
  <c r="D188" i="2"/>
  <c r="V192" i="2"/>
  <c r="AB192" i="2"/>
  <c r="S199" i="2"/>
  <c r="D199" i="2" s="1"/>
  <c r="R205" i="2"/>
  <c r="D213" i="2"/>
  <c r="D215" i="2"/>
  <c r="R218" i="2"/>
  <c r="S229" i="2"/>
  <c r="B240" i="2"/>
  <c r="Q239" i="2"/>
  <c r="B239" i="2" s="1"/>
  <c r="Q244" i="2"/>
  <c r="B244" i="2" s="1"/>
  <c r="B248" i="2"/>
  <c r="S248" i="2"/>
  <c r="B263" i="2"/>
  <c r="D265" i="2"/>
  <c r="E307" i="2"/>
  <c r="E301" i="2" s="1"/>
  <c r="S323" i="2"/>
  <c r="D323" i="2" s="1"/>
  <c r="C323" i="2"/>
  <c r="R320" i="2"/>
  <c r="S320" i="2" s="1"/>
  <c r="N301" i="2"/>
  <c r="X301" i="2"/>
  <c r="Y327" i="2"/>
  <c r="M345" i="2"/>
  <c r="D345" i="2" s="1"/>
  <c r="L343" i="2"/>
  <c r="C343" i="2" s="1"/>
  <c r="D349" i="2"/>
  <c r="K362" i="2"/>
  <c r="K361" i="2" s="1"/>
  <c r="B364" i="2"/>
  <c r="D94" i="2"/>
  <c r="D122" i="2"/>
  <c r="D126" i="2"/>
  <c r="D131" i="2"/>
  <c r="D141" i="2"/>
  <c r="D153" i="2"/>
  <c r="D176" i="2"/>
  <c r="D178" i="2"/>
  <c r="D181" i="2"/>
  <c r="D195" i="2"/>
  <c r="D217" i="2"/>
  <c r="C229" i="2"/>
  <c r="M229" i="2"/>
  <c r="L218" i="2"/>
  <c r="S245" i="2"/>
  <c r="D245" i="2" s="1"/>
  <c r="C245" i="2"/>
  <c r="H254" i="2"/>
  <c r="X254" i="2"/>
  <c r="Y258" i="2"/>
  <c r="I275" i="2"/>
  <c r="J290" i="2"/>
  <c r="G295" i="2"/>
  <c r="D295" i="2" s="1"/>
  <c r="C295" i="2"/>
  <c r="D297" i="2"/>
  <c r="B336" i="2"/>
  <c r="N335" i="2"/>
  <c r="B335" i="2" s="1"/>
  <c r="B68" i="2"/>
  <c r="V68" i="2"/>
  <c r="D68" i="2" s="1"/>
  <c r="U62" i="2"/>
  <c r="G88" i="2"/>
  <c r="D88" i="2" s="1"/>
  <c r="AB89" i="2"/>
  <c r="D89" i="2" s="1"/>
  <c r="J92" i="2"/>
  <c r="T91" i="2"/>
  <c r="B99" i="2"/>
  <c r="B105" i="2"/>
  <c r="V105" i="2"/>
  <c r="D106" i="2"/>
  <c r="H107" i="2"/>
  <c r="P110" i="2"/>
  <c r="AB110" i="2"/>
  <c r="D113" i="2"/>
  <c r="D117" i="2"/>
  <c r="P121" i="2"/>
  <c r="D124" i="2"/>
  <c r="D130" i="2"/>
  <c r="D133" i="2"/>
  <c r="D139" i="2"/>
  <c r="D143" i="2"/>
  <c r="V147" i="2"/>
  <c r="D151" i="2"/>
  <c r="D167" i="2"/>
  <c r="V170" i="2"/>
  <c r="D180" i="2"/>
  <c r="D182" i="2"/>
  <c r="B183" i="2"/>
  <c r="J183" i="2"/>
  <c r="V183" i="2"/>
  <c r="AB183" i="2"/>
  <c r="P190" i="2"/>
  <c r="V190" i="2"/>
  <c r="J192" i="2"/>
  <c r="D194" i="2"/>
  <c r="D196" i="2"/>
  <c r="S200" i="2"/>
  <c r="X204" i="2"/>
  <c r="S226" i="2"/>
  <c r="D226" i="2" s="1"/>
  <c r="B226" i="2"/>
  <c r="S232" i="2"/>
  <c r="D232" i="2" s="1"/>
  <c r="V282" i="2"/>
  <c r="D282" i="2" s="1"/>
  <c r="C282" i="2"/>
  <c r="C294" i="2"/>
  <c r="M328" i="2"/>
  <c r="D328" i="2" s="1"/>
  <c r="C328" i="2"/>
  <c r="B331" i="2"/>
  <c r="AB343" i="2"/>
  <c r="J351" i="2"/>
  <c r="AB357" i="2"/>
  <c r="AB358" i="2"/>
  <c r="Z361" i="2"/>
  <c r="AB362" i="2"/>
  <c r="D223" i="2"/>
  <c r="D225" i="2"/>
  <c r="D231" i="2"/>
  <c r="V239" i="2"/>
  <c r="D242" i="2"/>
  <c r="P244" i="2"/>
  <c r="M255" i="2"/>
  <c r="S255" i="2"/>
  <c r="D262" i="2"/>
  <c r="G267" i="2"/>
  <c r="S267" i="2"/>
  <c r="K267" i="2"/>
  <c r="B267" i="2" s="1"/>
  <c r="V284" i="2"/>
  <c r="D284" i="2" s="1"/>
  <c r="Y286" i="2"/>
  <c r="D286" i="2" s="1"/>
  <c r="D287" i="2"/>
  <c r="J298" i="2"/>
  <c r="V298" i="2"/>
  <c r="D300" i="2"/>
  <c r="D308" i="2"/>
  <c r="P324" i="2"/>
  <c r="AB324" i="2"/>
  <c r="G333" i="2"/>
  <c r="M333" i="2"/>
  <c r="V333" i="2"/>
  <c r="S335" i="2"/>
  <c r="Y335" i="2"/>
  <c r="M338" i="2"/>
  <c r="S338" i="2"/>
  <c r="P343" i="2"/>
  <c r="D344" i="2"/>
  <c r="Y351" i="2"/>
  <c r="D359" i="2"/>
  <c r="AB361" i="2"/>
  <c r="D363" i="2"/>
  <c r="M367" i="2"/>
  <c r="V367" i="2"/>
  <c r="AB367" i="2"/>
  <c r="AA218" i="2"/>
  <c r="AB218" i="2" s="1"/>
  <c r="S236" i="2"/>
  <c r="D236" i="2" s="1"/>
  <c r="P239" i="2"/>
  <c r="AB239" i="2"/>
  <c r="J244" i="2"/>
  <c r="B247" i="2"/>
  <c r="D269" i="2"/>
  <c r="D270" i="2"/>
  <c r="D272" i="2"/>
  <c r="P275" i="2"/>
  <c r="D281" i="2"/>
  <c r="B290" i="2"/>
  <c r="B298" i="2"/>
  <c r="D299" i="2"/>
  <c r="D318" i="2"/>
  <c r="C321" i="2"/>
  <c r="Y324" i="2"/>
  <c r="M331" i="2"/>
  <c r="P338" i="2"/>
  <c r="B351" i="2"/>
  <c r="P354" i="2"/>
  <c r="D356" i="2"/>
  <c r="G358" i="2"/>
  <c r="M358" i="2"/>
  <c r="Y367" i="2"/>
  <c r="D224" i="2"/>
  <c r="D230" i="2"/>
  <c r="S234" i="2"/>
  <c r="D234" i="2" s="1"/>
  <c r="C236" i="2"/>
  <c r="D241" i="2"/>
  <c r="P243" i="2"/>
  <c r="D243" i="2" s="1"/>
  <c r="S252" i="2"/>
  <c r="AB252" i="2"/>
  <c r="P255" i="2"/>
  <c r="B255" i="2"/>
  <c r="D256" i="2"/>
  <c r="Q254" i="2"/>
  <c r="AB258" i="2"/>
  <c r="G263" i="2"/>
  <c r="D264" i="2"/>
  <c r="P267" i="2"/>
  <c r="D274" i="2"/>
  <c r="V285" i="2"/>
  <c r="D285" i="2" s="1"/>
  <c r="D291" i="2"/>
  <c r="S298" i="2"/>
  <c r="C300" i="2"/>
  <c r="D317" i="2"/>
  <c r="AB320" i="2"/>
  <c r="D322" i="2"/>
  <c r="S327" i="2"/>
  <c r="D337" i="2"/>
  <c r="AB338" i="2"/>
  <c r="D339" i="2"/>
  <c r="D355" i="2"/>
  <c r="J358" i="2"/>
  <c r="D33" i="2"/>
  <c r="Y22" i="2"/>
  <c r="X21" i="2"/>
  <c r="V37" i="2"/>
  <c r="U36" i="2"/>
  <c r="V36" i="2" s="1"/>
  <c r="L10" i="2"/>
  <c r="E36" i="2"/>
  <c r="D41" i="2"/>
  <c r="G54" i="2"/>
  <c r="P55" i="2"/>
  <c r="O54" i="2"/>
  <c r="P54" i="2" s="1"/>
  <c r="R10" i="2"/>
  <c r="K11" i="2"/>
  <c r="K10" i="2" s="1"/>
  <c r="M12" i="2"/>
  <c r="D12" i="2" s="1"/>
  <c r="E21" i="2"/>
  <c r="I21" i="2"/>
  <c r="J21" i="2" s="1"/>
  <c r="U21" i="2"/>
  <c r="R22" i="2"/>
  <c r="C25" i="2"/>
  <c r="C35" i="2"/>
  <c r="Y35" i="2"/>
  <c r="D35" i="2" s="1"/>
  <c r="F36" i="2"/>
  <c r="R36" i="2"/>
  <c r="S36" i="2" s="1"/>
  <c r="W37" i="2"/>
  <c r="W36" i="2" s="1"/>
  <c r="AA37" i="2"/>
  <c r="B45" i="2"/>
  <c r="V45" i="2"/>
  <c r="D45" i="2" s="1"/>
  <c r="L49" i="2"/>
  <c r="M49" i="2" s="1"/>
  <c r="X49" i="2"/>
  <c r="Y49" i="2" s="1"/>
  <c r="Q50" i="2"/>
  <c r="Q49" i="2" s="1"/>
  <c r="Q9" i="2" s="1"/>
  <c r="J63" i="2"/>
  <c r="D63" i="2" s="1"/>
  <c r="C69" i="2"/>
  <c r="Y69" i="2"/>
  <c r="D69" i="2" s="1"/>
  <c r="X62" i="2"/>
  <c r="V76" i="2"/>
  <c r="U75" i="2"/>
  <c r="V75" i="2" s="1"/>
  <c r="O87" i="2"/>
  <c r="AA86" i="2"/>
  <c r="C89" i="2"/>
  <c r="B92" i="2"/>
  <c r="V92" i="2"/>
  <c r="J97" i="2"/>
  <c r="P99" i="2"/>
  <c r="Y108" i="2"/>
  <c r="M109" i="2"/>
  <c r="L108" i="2"/>
  <c r="C109" i="2"/>
  <c r="G110" i="2"/>
  <c r="V110" i="2"/>
  <c r="S111" i="2"/>
  <c r="D111" i="2" s="1"/>
  <c r="C111" i="2"/>
  <c r="R110" i="2"/>
  <c r="S110" i="2" s="1"/>
  <c r="J115" i="2"/>
  <c r="D115" i="2" s="1"/>
  <c r="C115" i="2"/>
  <c r="P116" i="2"/>
  <c r="AB116" i="2"/>
  <c r="B121" i="2"/>
  <c r="E120" i="2"/>
  <c r="Y145" i="2"/>
  <c r="P147" i="2"/>
  <c r="O120" i="2"/>
  <c r="O10" i="2"/>
  <c r="W10" i="2"/>
  <c r="AA10" i="2"/>
  <c r="H11" i="2"/>
  <c r="F21" i="2"/>
  <c r="N21" i="2"/>
  <c r="P21" i="2" s="1"/>
  <c r="C24" i="2"/>
  <c r="C26" i="2"/>
  <c r="B27" i="2"/>
  <c r="C34" i="2"/>
  <c r="O36" i="2"/>
  <c r="P36" i="2" s="1"/>
  <c r="L37" i="2"/>
  <c r="X37" i="2"/>
  <c r="C45" i="2"/>
  <c r="E49" i="2"/>
  <c r="I49" i="2"/>
  <c r="U49" i="2"/>
  <c r="V49" i="2" s="1"/>
  <c r="J50" i="2"/>
  <c r="R50" i="2"/>
  <c r="Z50" i="2"/>
  <c r="C51" i="2"/>
  <c r="S62" i="2"/>
  <c r="AB62" i="2"/>
  <c r="AA61" i="2"/>
  <c r="AB61" i="2" s="1"/>
  <c r="D70" i="2"/>
  <c r="G71" i="2"/>
  <c r="D71" i="2" s="1"/>
  <c r="M73" i="2"/>
  <c r="D73" i="2" s="1"/>
  <c r="C73" i="2"/>
  <c r="J76" i="2"/>
  <c r="I75" i="2"/>
  <c r="J75" i="2" s="1"/>
  <c r="G82" i="2"/>
  <c r="D82" i="2" s="1"/>
  <c r="B97" i="2"/>
  <c r="V97" i="2"/>
  <c r="AB99" i="2"/>
  <c r="G116" i="2"/>
  <c r="G121" i="2"/>
  <c r="P144" i="2"/>
  <c r="AB147" i="2"/>
  <c r="B161" i="2"/>
  <c r="Y161" i="2"/>
  <c r="D161" i="2" s="1"/>
  <c r="B163" i="2"/>
  <c r="Y163" i="2"/>
  <c r="D163" i="2" s="1"/>
  <c r="G218" i="2"/>
  <c r="Q218" i="2"/>
  <c r="S227" i="2"/>
  <c r="D227" i="2" s="1"/>
  <c r="B227" i="2"/>
  <c r="C59" i="2"/>
  <c r="P62" i="2"/>
  <c r="O61" i="2"/>
  <c r="P61" i="2" s="1"/>
  <c r="G66" i="2"/>
  <c r="C66" i="2"/>
  <c r="D67" i="2"/>
  <c r="H91" i="2"/>
  <c r="Y92" i="2"/>
  <c r="X91" i="2"/>
  <c r="S99" i="2"/>
  <c r="R91" i="2"/>
  <c r="P108" i="2"/>
  <c r="O107" i="2"/>
  <c r="AB108" i="2"/>
  <c r="AA107" i="2"/>
  <c r="J110" i="2"/>
  <c r="I107" i="2"/>
  <c r="Z120" i="2"/>
  <c r="Y123" i="2"/>
  <c r="D123" i="2" s="1"/>
  <c r="X121" i="2"/>
  <c r="M132" i="2"/>
  <c r="D132" i="2" s="1"/>
  <c r="L121" i="2"/>
  <c r="G144" i="2"/>
  <c r="AB145" i="2"/>
  <c r="AA144" i="2"/>
  <c r="AB144" i="2" s="1"/>
  <c r="C190" i="2"/>
  <c r="J190" i="2"/>
  <c r="Y197" i="2"/>
  <c r="X185" i="2"/>
  <c r="C201" i="2"/>
  <c r="M201" i="2"/>
  <c r="L197" i="2"/>
  <c r="Y55" i="2"/>
  <c r="W54" i="2"/>
  <c r="Y54" i="2" s="1"/>
  <c r="L55" i="2"/>
  <c r="C60" i="2"/>
  <c r="P60" i="2"/>
  <c r="D60" i="2" s="1"/>
  <c r="M64" i="2"/>
  <c r="D64" i="2" s="1"/>
  <c r="L62" i="2"/>
  <c r="K76" i="2"/>
  <c r="K75" i="2" s="1"/>
  <c r="G99" i="2"/>
  <c r="F91" i="2"/>
  <c r="S109" i="2"/>
  <c r="R108" i="2"/>
  <c r="E107" i="2"/>
  <c r="B114" i="2"/>
  <c r="K110" i="2"/>
  <c r="M110" i="2" s="1"/>
  <c r="J121" i="2"/>
  <c r="I120" i="2"/>
  <c r="V121" i="2"/>
  <c r="U120" i="2"/>
  <c r="W144" i="2"/>
  <c r="B144" i="2" s="1"/>
  <c r="B145" i="2"/>
  <c r="C184" i="2"/>
  <c r="M184" i="2"/>
  <c r="D184" i="2" s="1"/>
  <c r="L183" i="2"/>
  <c r="N75" i="2"/>
  <c r="R75" i="2"/>
  <c r="S75" i="2" s="1"/>
  <c r="Z75" i="2"/>
  <c r="AB75" i="2" s="1"/>
  <c r="C82" i="2"/>
  <c r="H86" i="2"/>
  <c r="J86" i="2" s="1"/>
  <c r="L86" i="2"/>
  <c r="M86" i="2" s="1"/>
  <c r="T86" i="2"/>
  <c r="V86" i="2" s="1"/>
  <c r="X86" i="2"/>
  <c r="Y86" i="2" s="1"/>
  <c r="E87" i="2"/>
  <c r="B88" i="2"/>
  <c r="E91" i="2"/>
  <c r="U91" i="2"/>
  <c r="J103" i="2"/>
  <c r="D103" i="2" s="1"/>
  <c r="X107" i="2"/>
  <c r="M114" i="2"/>
  <c r="D114" i="2" s="1"/>
  <c r="F120" i="2"/>
  <c r="X144" i="2"/>
  <c r="D159" i="2"/>
  <c r="D169" i="2"/>
  <c r="T185" i="2"/>
  <c r="G186" i="2"/>
  <c r="E185" i="2"/>
  <c r="R192" i="2"/>
  <c r="S193" i="2"/>
  <c r="S203" i="2"/>
  <c r="D203" i="2" s="1"/>
  <c r="C203" i="2"/>
  <c r="D206" i="2"/>
  <c r="Q205" i="2"/>
  <c r="S209" i="2"/>
  <c r="D209" i="2" s="1"/>
  <c r="B209" i="2"/>
  <c r="C221" i="2"/>
  <c r="P221" i="2"/>
  <c r="D221" i="2" s="1"/>
  <c r="O218" i="2"/>
  <c r="B235" i="2"/>
  <c r="M235" i="2"/>
  <c r="K218" i="2"/>
  <c r="J239" i="2"/>
  <c r="S240" i="2"/>
  <c r="D240" i="2" s="1"/>
  <c r="C240" i="2"/>
  <c r="R239" i="2"/>
  <c r="D246" i="2"/>
  <c r="R244" i="2"/>
  <c r="S247" i="2"/>
  <c r="G252" i="2"/>
  <c r="B252" i="2"/>
  <c r="Z87" i="2"/>
  <c r="Z86" i="2" s="1"/>
  <c r="C97" i="2"/>
  <c r="C105" i="2"/>
  <c r="C158" i="2"/>
  <c r="D165" i="2"/>
  <c r="D174" i="2"/>
  <c r="C193" i="2"/>
  <c r="M193" i="2"/>
  <c r="L192" i="2"/>
  <c r="J197" i="2"/>
  <c r="Q197" i="2"/>
  <c r="B200" i="2"/>
  <c r="K197" i="2"/>
  <c r="M200" i="2"/>
  <c r="R197" i="2"/>
  <c r="S201" i="2"/>
  <c r="P205" i="2"/>
  <c r="N204" i="2"/>
  <c r="AB205" i="2"/>
  <c r="Z204" i="2"/>
  <c r="S211" i="2"/>
  <c r="D211" i="2" s="1"/>
  <c r="B211" i="2"/>
  <c r="D214" i="2"/>
  <c r="D219" i="2"/>
  <c r="D233" i="2"/>
  <c r="G239" i="2"/>
  <c r="C247" i="2"/>
  <c r="M247" i="2"/>
  <c r="L244" i="2"/>
  <c r="D250" i="2"/>
  <c r="Y244" i="2"/>
  <c r="W204" i="2"/>
  <c r="B156" i="2"/>
  <c r="M156" i="2"/>
  <c r="D156" i="2" s="1"/>
  <c r="J170" i="2"/>
  <c r="B170" i="2"/>
  <c r="C171" i="2"/>
  <c r="R170" i="2"/>
  <c r="S170" i="2" s="1"/>
  <c r="S171" i="2"/>
  <c r="D171" i="2" s="1"/>
  <c r="J186" i="2"/>
  <c r="I185" i="2"/>
  <c r="V186" i="2"/>
  <c r="U185" i="2"/>
  <c r="S187" i="2"/>
  <c r="D187" i="2" s="1"/>
  <c r="C187" i="2"/>
  <c r="R186" i="2"/>
  <c r="S189" i="2"/>
  <c r="D189" i="2" s="1"/>
  <c r="C189" i="2"/>
  <c r="G190" i="2"/>
  <c r="B190" i="2"/>
  <c r="G205" i="2"/>
  <c r="F204" i="2"/>
  <c r="S208" i="2"/>
  <c r="D208" i="2" s="1"/>
  <c r="C208" i="2"/>
  <c r="B237" i="2"/>
  <c r="M237" i="2"/>
  <c r="D237" i="2" s="1"/>
  <c r="C252" i="2"/>
  <c r="J252" i="2"/>
  <c r="C199" i="2"/>
  <c r="G255" i="2"/>
  <c r="C255" i="2"/>
  <c r="AB255" i="2"/>
  <c r="S258" i="2"/>
  <c r="J258" i="2"/>
  <c r="C258" i="2"/>
  <c r="N254" i="2"/>
  <c r="C160" i="2"/>
  <c r="C166" i="2"/>
  <c r="O185" i="2"/>
  <c r="P185" i="2" s="1"/>
  <c r="AA185" i="2"/>
  <c r="B258" i="2"/>
  <c r="G258" i="2"/>
  <c r="D259" i="2"/>
  <c r="P263" i="2"/>
  <c r="AB263" i="2"/>
  <c r="M268" i="2"/>
  <c r="D268" i="2" s="1"/>
  <c r="T275" i="2"/>
  <c r="T254" i="2" s="1"/>
  <c r="C290" i="2"/>
  <c r="Q301" i="2"/>
  <c r="V307" i="2"/>
  <c r="U301" i="2"/>
  <c r="D311" i="2"/>
  <c r="D315" i="2"/>
  <c r="H330" i="2"/>
  <c r="S331" i="2"/>
  <c r="R330" i="2"/>
  <c r="C334" i="2"/>
  <c r="P334" i="2"/>
  <c r="D334" i="2" s="1"/>
  <c r="O333" i="2"/>
  <c r="C333" i="2" s="1"/>
  <c r="J335" i="2"/>
  <c r="P342" i="2"/>
  <c r="W347" i="2"/>
  <c r="W341" i="2" s="1"/>
  <c r="Y348" i="2"/>
  <c r="B268" i="2"/>
  <c r="U275" i="2"/>
  <c r="L298" i="2"/>
  <c r="C298" i="2" s="1"/>
  <c r="W301" i="2"/>
  <c r="Y301" i="2" s="1"/>
  <c r="AA301" i="2"/>
  <c r="AB307" i="2"/>
  <c r="P320" i="2"/>
  <c r="J327" i="2"/>
  <c r="P331" i="2"/>
  <c r="J333" i="2"/>
  <c r="B333" i="2"/>
  <c r="B338" i="2"/>
  <c r="K341" i="2"/>
  <c r="V343" i="2"/>
  <c r="U342" i="2"/>
  <c r="C354" i="2"/>
  <c r="J354" i="2"/>
  <c r="I353" i="2"/>
  <c r="J353" i="2" s="1"/>
  <c r="G303" i="2"/>
  <c r="C303" i="2"/>
  <c r="F302" i="2"/>
  <c r="M312" i="2"/>
  <c r="L307" i="2"/>
  <c r="M319" i="2"/>
  <c r="D319" i="2" s="1"/>
  <c r="B319" i="2"/>
  <c r="V326" i="2"/>
  <c r="B326" i="2"/>
  <c r="T324" i="2"/>
  <c r="T301" i="2" s="1"/>
  <c r="G327" i="2"/>
  <c r="B327" i="2"/>
  <c r="AB331" i="2"/>
  <c r="Z330" i="2"/>
  <c r="Q342" i="2"/>
  <c r="S342" i="2" s="1"/>
  <c r="S343" i="2"/>
  <c r="R254" i="2"/>
  <c r="C263" i="2"/>
  <c r="K275" i="2"/>
  <c r="W275" i="2"/>
  <c r="AA275" i="2"/>
  <c r="C281" i="2"/>
  <c r="B302" i="2"/>
  <c r="B303" i="2"/>
  <c r="P303" i="2"/>
  <c r="C305" i="2"/>
  <c r="L302" i="2"/>
  <c r="M302" i="2" s="1"/>
  <c r="M305" i="2"/>
  <c r="D305" i="2" s="1"/>
  <c r="S306" i="2"/>
  <c r="D306" i="2" s="1"/>
  <c r="R302" i="2"/>
  <c r="J307" i="2"/>
  <c r="I301" i="2"/>
  <c r="O301" i="2"/>
  <c r="P307" i="2"/>
  <c r="Y307" i="2"/>
  <c r="D309" i="2"/>
  <c r="G312" i="2"/>
  <c r="C312" i="2"/>
  <c r="F307" i="2"/>
  <c r="G320" i="2"/>
  <c r="M325" i="2"/>
  <c r="D325" i="2" s="1"/>
  <c r="L324" i="2"/>
  <c r="M324" i="2" s="1"/>
  <c r="C325" i="2"/>
  <c r="G331" i="2"/>
  <c r="C331" i="2"/>
  <c r="F330" i="2"/>
  <c r="C336" i="2"/>
  <c r="P336" i="2"/>
  <c r="D336" i="2" s="1"/>
  <c r="O335" i="2"/>
  <c r="P335" i="2" s="1"/>
  <c r="G338" i="2"/>
  <c r="C338" i="2"/>
  <c r="AB348" i="2"/>
  <c r="AA347" i="2"/>
  <c r="AB347" i="2" s="1"/>
  <c r="S351" i="2"/>
  <c r="R350" i="2"/>
  <c r="S350" i="2" s="1"/>
  <c r="P321" i="2"/>
  <c r="D321" i="2" s="1"/>
  <c r="F324" i="2"/>
  <c r="C326" i="2"/>
  <c r="L327" i="2"/>
  <c r="M327" i="2" s="1"/>
  <c r="M329" i="2"/>
  <c r="D329" i="2" s="1"/>
  <c r="L330" i="2"/>
  <c r="M330" i="2" s="1"/>
  <c r="X330" i="2"/>
  <c r="C345" i="2"/>
  <c r="M347" i="2"/>
  <c r="V348" i="2"/>
  <c r="U347" i="2"/>
  <c r="V347" i="2" s="1"/>
  <c r="J350" i="2"/>
  <c r="G351" i="2"/>
  <c r="C351" i="2"/>
  <c r="F350" i="2"/>
  <c r="P357" i="2"/>
  <c r="B343" i="2"/>
  <c r="E342" i="2"/>
  <c r="J343" i="2"/>
  <c r="I342" i="2"/>
  <c r="B348" i="2"/>
  <c r="E347" i="2"/>
  <c r="J348" i="2"/>
  <c r="I347" i="2"/>
  <c r="J347" i="2" s="1"/>
  <c r="S348" i="2"/>
  <c r="P351" i="2"/>
  <c r="N350" i="2"/>
  <c r="G354" i="2"/>
  <c r="B354" i="2"/>
  <c r="E353" i="2"/>
  <c r="G353" i="2" s="1"/>
  <c r="V354" i="2"/>
  <c r="U353" i="2"/>
  <c r="V353" i="2" s="1"/>
  <c r="S366" i="2"/>
  <c r="D346" i="2"/>
  <c r="P348" i="2"/>
  <c r="O347" i="2"/>
  <c r="P347" i="2" s="1"/>
  <c r="AB351" i="2"/>
  <c r="Z350" i="2"/>
  <c r="Z341" i="2" s="1"/>
  <c r="D352" i="2"/>
  <c r="S354" i="2"/>
  <c r="Q353" i="2"/>
  <c r="S353" i="2" s="1"/>
  <c r="L350" i="2"/>
  <c r="M350" i="2" s="1"/>
  <c r="X350" i="2"/>
  <c r="Y350" i="2" s="1"/>
  <c r="O353" i="2"/>
  <c r="P353" i="2" s="1"/>
  <c r="AA353" i="2"/>
  <c r="F357" i="2"/>
  <c r="R357" i="2"/>
  <c r="S357" i="2" s="1"/>
  <c r="C358" i="2"/>
  <c r="F361" i="2"/>
  <c r="R361" i="2"/>
  <c r="S361" i="2" s="1"/>
  <c r="C362" i="2"/>
  <c r="M364" i="2"/>
  <c r="D364" i="2" s="1"/>
  <c r="L365" i="2"/>
  <c r="X365" i="2"/>
  <c r="I366" i="2"/>
  <c r="U366" i="2"/>
  <c r="F367" i="2"/>
  <c r="C368" i="2"/>
  <c r="H357" i="2"/>
  <c r="L357" i="2"/>
  <c r="M357" i="2" s="1"/>
  <c r="T357" i="2"/>
  <c r="V357" i="2" s="1"/>
  <c r="X357" i="2"/>
  <c r="Y357" i="2" s="1"/>
  <c r="H361" i="2"/>
  <c r="J361" i="2" s="1"/>
  <c r="L361" i="2"/>
  <c r="T361" i="2"/>
  <c r="V361" i="2" s="1"/>
  <c r="X361" i="2"/>
  <c r="Y361" i="2" s="1"/>
  <c r="R365" i="2"/>
  <c r="S365" i="2" s="1"/>
  <c r="K366" i="2"/>
  <c r="K365" i="2" s="1"/>
  <c r="O366" i="2"/>
  <c r="W366" i="2"/>
  <c r="W365" i="2" s="1"/>
  <c r="AA366" i="2"/>
  <c r="B358" i="2"/>
  <c r="B367" i="2" l="1"/>
  <c r="D248" i="2"/>
  <c r="D326" i="2"/>
  <c r="S121" i="2"/>
  <c r="AA54" i="2"/>
  <c r="AB54" i="2" s="1"/>
  <c r="Q120" i="2"/>
  <c r="D83" i="2"/>
  <c r="AB107" i="2"/>
  <c r="AB301" i="2"/>
  <c r="G76" i="2"/>
  <c r="V22" i="2"/>
  <c r="P91" i="2"/>
  <c r="D235" i="2"/>
  <c r="M75" i="2"/>
  <c r="D66" i="2"/>
  <c r="V21" i="2"/>
  <c r="U107" i="2"/>
  <c r="V107" i="2" s="1"/>
  <c r="D290" i="2"/>
  <c r="D247" i="2"/>
  <c r="C320" i="2"/>
  <c r="P120" i="2"/>
  <c r="M267" i="2"/>
  <c r="D267" i="2" s="1"/>
  <c r="D200" i="2"/>
  <c r="Q185" i="2"/>
  <c r="S239" i="2"/>
  <c r="M361" i="2"/>
  <c r="C170" i="2"/>
  <c r="S192" i="2"/>
  <c r="S218" i="2"/>
  <c r="G62" i="2"/>
  <c r="N330" i="2"/>
  <c r="B330" i="2" s="1"/>
  <c r="I91" i="2"/>
  <c r="J91" i="2" s="1"/>
  <c r="P75" i="2"/>
  <c r="J107" i="2"/>
  <c r="B147" i="2"/>
  <c r="D116" i="2"/>
  <c r="P254" i="2"/>
  <c r="L91" i="2"/>
  <c r="M91" i="2" s="1"/>
  <c r="AB91" i="2"/>
  <c r="D100" i="2"/>
  <c r="M362" i="2"/>
  <c r="D362" i="2" s="1"/>
  <c r="B362" i="2"/>
  <c r="Y330" i="2"/>
  <c r="J301" i="2"/>
  <c r="J185" i="2"/>
  <c r="D193" i="2"/>
  <c r="Y107" i="2"/>
  <c r="C22" i="2"/>
  <c r="P76" i="2"/>
  <c r="G185" i="2"/>
  <c r="S254" i="2"/>
  <c r="J330" i="2"/>
  <c r="D239" i="2"/>
  <c r="J120" i="2"/>
  <c r="C62" i="2"/>
  <c r="F10" i="2"/>
  <c r="G10" i="2" s="1"/>
  <c r="R120" i="2"/>
  <c r="S120" i="2" s="1"/>
  <c r="C335" i="2"/>
  <c r="AB185" i="2"/>
  <c r="AB21" i="2"/>
  <c r="B350" i="2"/>
  <c r="B324" i="2"/>
  <c r="V324" i="2"/>
  <c r="S330" i="2"/>
  <c r="D255" i="2"/>
  <c r="V120" i="2"/>
  <c r="AB22" i="2"/>
  <c r="D358" i="2"/>
  <c r="V204" i="2"/>
  <c r="R204" i="2"/>
  <c r="D105" i="2"/>
  <c r="D338" i="2"/>
  <c r="C275" i="2"/>
  <c r="S205" i="2"/>
  <c r="V185" i="2"/>
  <c r="M92" i="2"/>
  <c r="D92" i="2" s="1"/>
  <c r="D348" i="2"/>
  <c r="D320" i="2"/>
  <c r="AB330" i="2"/>
  <c r="B307" i="2"/>
  <c r="D263" i="2"/>
  <c r="AA204" i="2"/>
  <c r="D170" i="2"/>
  <c r="Y204" i="2"/>
  <c r="C76" i="2"/>
  <c r="C99" i="2"/>
  <c r="C121" i="2"/>
  <c r="D145" i="2"/>
  <c r="V330" i="2"/>
  <c r="C197" i="2"/>
  <c r="B301" i="2"/>
  <c r="P301" i="2"/>
  <c r="D303" i="2"/>
  <c r="V301" i="2"/>
  <c r="C205" i="2"/>
  <c r="D190" i="2"/>
  <c r="C92" i="2"/>
  <c r="E75" i="2"/>
  <c r="G75" i="2" s="1"/>
  <c r="P107" i="2"/>
  <c r="C116" i="2"/>
  <c r="D229" i="2"/>
  <c r="B357" i="2"/>
  <c r="T341" i="2"/>
  <c r="T90" i="2"/>
  <c r="D354" i="2"/>
  <c r="Y347" i="2"/>
  <c r="D312" i="2"/>
  <c r="S244" i="2"/>
  <c r="C110" i="2"/>
  <c r="D99" i="2"/>
  <c r="Y185" i="2"/>
  <c r="Z90" i="2"/>
  <c r="C11" i="2"/>
  <c r="B22" i="2"/>
  <c r="V62" i="2"/>
  <c r="U61" i="2"/>
  <c r="V61" i="2" s="1"/>
  <c r="M343" i="2"/>
  <c r="D343" i="2" s="1"/>
  <c r="L342" i="2"/>
  <c r="M342" i="2" s="1"/>
  <c r="S147" i="2"/>
  <c r="D147" i="2" s="1"/>
  <c r="J204" i="2"/>
  <c r="J275" i="2"/>
  <c r="I254" i="2"/>
  <c r="J254" i="2" s="1"/>
  <c r="H61" i="2"/>
  <c r="J61" i="2" s="1"/>
  <c r="J62" i="2"/>
  <c r="B62" i="2"/>
  <c r="B197" i="2"/>
  <c r="S55" i="2"/>
  <c r="R54" i="2"/>
  <c r="S54" i="2" s="1"/>
  <c r="B361" i="2"/>
  <c r="B55" i="2"/>
  <c r="G361" i="2"/>
  <c r="C361" i="2"/>
  <c r="AB366" i="2"/>
  <c r="AA365" i="2"/>
  <c r="AB365" i="2" s="1"/>
  <c r="C353" i="2"/>
  <c r="N341" i="2"/>
  <c r="D327" i="2"/>
  <c r="C302" i="2"/>
  <c r="G302" i="2"/>
  <c r="V342" i="2"/>
  <c r="U341" i="2"/>
  <c r="C347" i="2"/>
  <c r="K185" i="2"/>
  <c r="C239" i="2"/>
  <c r="P218" i="2"/>
  <c r="P204" i="2" s="1"/>
  <c r="O204" i="2"/>
  <c r="G120" i="2"/>
  <c r="C75" i="2"/>
  <c r="R107" i="2"/>
  <c r="S107" i="2" s="1"/>
  <c r="S108" i="2"/>
  <c r="W120" i="2"/>
  <c r="C144" i="2"/>
  <c r="X120" i="2"/>
  <c r="Y121" i="2"/>
  <c r="Y91" i="2"/>
  <c r="AA120" i="2"/>
  <c r="AB120" i="2" s="1"/>
  <c r="AB50" i="2"/>
  <c r="Z49" i="2"/>
  <c r="AB49" i="2" s="1"/>
  <c r="Y37" i="2"/>
  <c r="X36" i="2"/>
  <c r="Y36" i="2" s="1"/>
  <c r="W9" i="2"/>
  <c r="Y10" i="2"/>
  <c r="K107" i="2"/>
  <c r="B107" i="2" s="1"/>
  <c r="D97" i="2"/>
  <c r="B21" i="2"/>
  <c r="I9" i="2"/>
  <c r="M11" i="2"/>
  <c r="B54" i="2"/>
  <c r="T9" i="2"/>
  <c r="M365" i="2"/>
  <c r="G342" i="2"/>
  <c r="B342" i="2"/>
  <c r="E341" i="2"/>
  <c r="B366" i="2"/>
  <c r="E365" i="2"/>
  <c r="B365" i="2" s="1"/>
  <c r="P350" i="2"/>
  <c r="B353" i="2"/>
  <c r="I341" i="2"/>
  <c r="J342" i="2"/>
  <c r="Y366" i="2"/>
  <c r="G254" i="2"/>
  <c r="P366" i="2"/>
  <c r="O365" i="2"/>
  <c r="P365" i="2" s="1"/>
  <c r="G367" i="2"/>
  <c r="D367" i="2" s="1"/>
  <c r="C367" i="2"/>
  <c r="F366" i="2"/>
  <c r="Y365" i="2"/>
  <c r="G357" i="2"/>
  <c r="C357" i="2"/>
  <c r="F341" i="2"/>
  <c r="J357" i="2"/>
  <c r="B347" i="2"/>
  <c r="M366" i="2"/>
  <c r="G350" i="2"/>
  <c r="C350" i="2"/>
  <c r="C324" i="2"/>
  <c r="G324" i="2"/>
  <c r="D331" i="2"/>
  <c r="C307" i="2"/>
  <c r="G307" i="2"/>
  <c r="F301" i="2"/>
  <c r="F90" i="2" s="1"/>
  <c r="AB275" i="2"/>
  <c r="AA254" i="2"/>
  <c r="AB254" i="2" s="1"/>
  <c r="AB350" i="2"/>
  <c r="G347" i="2"/>
  <c r="D335" i="2"/>
  <c r="D258" i="2"/>
  <c r="AB204" i="2"/>
  <c r="S197" i="2"/>
  <c r="M192" i="2"/>
  <c r="C192" i="2"/>
  <c r="L185" i="2"/>
  <c r="M218" i="2"/>
  <c r="D218" i="2" s="1"/>
  <c r="K204" i="2"/>
  <c r="B218" i="2"/>
  <c r="Y144" i="2"/>
  <c r="D144" i="2" s="1"/>
  <c r="V91" i="2"/>
  <c r="B87" i="2"/>
  <c r="E86" i="2"/>
  <c r="G87" i="2"/>
  <c r="M183" i="2"/>
  <c r="D183" i="2" s="1"/>
  <c r="C183" i="2"/>
  <c r="B76" i="2"/>
  <c r="M197" i="2"/>
  <c r="C218" i="2"/>
  <c r="S50" i="2"/>
  <c r="R49" i="2"/>
  <c r="S49" i="2" s="1"/>
  <c r="J49" i="2"/>
  <c r="M37" i="2"/>
  <c r="L36" i="2"/>
  <c r="M36" i="2" s="1"/>
  <c r="G21" i="2"/>
  <c r="P10" i="2"/>
  <c r="M108" i="2"/>
  <c r="L107" i="2"/>
  <c r="C108" i="2"/>
  <c r="AB86" i="2"/>
  <c r="AB37" i="2"/>
  <c r="AA36" i="2"/>
  <c r="AB36" i="2" s="1"/>
  <c r="G36" i="2"/>
  <c r="S22" i="2"/>
  <c r="R21" i="2"/>
  <c r="S21" i="2" s="1"/>
  <c r="S10" i="2"/>
  <c r="N9" i="2"/>
  <c r="G61" i="2"/>
  <c r="AA341" i="2"/>
  <c r="AB341" i="2" s="1"/>
  <c r="AB353" i="2"/>
  <c r="D353" i="2" s="1"/>
  <c r="S302" i="2"/>
  <c r="R301" i="2"/>
  <c r="S301" i="2" s="1"/>
  <c r="Y275" i="2"/>
  <c r="W254" i="2"/>
  <c r="Y254" i="2" s="1"/>
  <c r="Q341" i="2"/>
  <c r="M307" i="2"/>
  <c r="L301" i="2"/>
  <c r="M301" i="2" s="1"/>
  <c r="M298" i="2"/>
  <c r="D298" i="2" s="1"/>
  <c r="L254" i="2"/>
  <c r="O330" i="2"/>
  <c r="P333" i="2"/>
  <c r="D333" i="2" s="1"/>
  <c r="S186" i="2"/>
  <c r="D186" i="2" s="1"/>
  <c r="R185" i="2"/>
  <c r="C186" i="2"/>
  <c r="G91" i="2"/>
  <c r="D201" i="2"/>
  <c r="L120" i="2"/>
  <c r="M120" i="2" s="1"/>
  <c r="M121" i="2"/>
  <c r="S91" i="2"/>
  <c r="H90" i="2"/>
  <c r="G49" i="2"/>
  <c r="J11" i="2"/>
  <c r="H10" i="2"/>
  <c r="B11" i="2"/>
  <c r="D109" i="2"/>
  <c r="G107" i="2"/>
  <c r="AB87" i="2"/>
  <c r="Y62" i="2"/>
  <c r="X61" i="2"/>
  <c r="Y61" i="2" s="1"/>
  <c r="B36" i="2"/>
  <c r="M76" i="2"/>
  <c r="Y21" i="2"/>
  <c r="V366" i="2"/>
  <c r="U365" i="2"/>
  <c r="V365" i="2" s="1"/>
  <c r="J366" i="2"/>
  <c r="I365" i="2"/>
  <c r="J365" i="2" s="1"/>
  <c r="D351" i="2"/>
  <c r="X341" i="2"/>
  <c r="Y341" i="2" s="1"/>
  <c r="H341" i="2"/>
  <c r="G330" i="2"/>
  <c r="B275" i="2"/>
  <c r="M275" i="2"/>
  <c r="K254" i="2"/>
  <c r="R341" i="2"/>
  <c r="C327" i="2"/>
  <c r="V275" i="2"/>
  <c r="U254" i="2"/>
  <c r="V254" i="2" s="1"/>
  <c r="O341" i="2"/>
  <c r="G204" i="2"/>
  <c r="L204" i="2"/>
  <c r="M244" i="2"/>
  <c r="C244" i="2"/>
  <c r="D252" i="2"/>
  <c r="B205" i="2"/>
  <c r="Q204" i="2"/>
  <c r="B91" i="2"/>
  <c r="E90" i="2"/>
  <c r="B110" i="2"/>
  <c r="M62" i="2"/>
  <c r="L61" i="2"/>
  <c r="M61" i="2" s="1"/>
  <c r="M55" i="2"/>
  <c r="L54" i="2"/>
  <c r="C55" i="2"/>
  <c r="B50" i="2"/>
  <c r="AB10" i="2"/>
  <c r="D110" i="2"/>
  <c r="P87" i="2"/>
  <c r="O86" i="2"/>
  <c r="P86" i="2" s="1"/>
  <c r="C87" i="2"/>
  <c r="C37" i="2"/>
  <c r="K9" i="2"/>
  <c r="B37" i="2"/>
  <c r="M10" i="2"/>
  <c r="C50" i="2"/>
  <c r="U9" i="2" l="1"/>
  <c r="V9" i="2" s="1"/>
  <c r="B120" i="2"/>
  <c r="D244" i="2"/>
  <c r="D361" i="2"/>
  <c r="S204" i="2"/>
  <c r="L341" i="2"/>
  <c r="M341" i="2" s="1"/>
  <c r="F9" i="2"/>
  <c r="D22" i="2"/>
  <c r="P330" i="2"/>
  <c r="D330" i="2" s="1"/>
  <c r="C10" i="2"/>
  <c r="D205" i="2"/>
  <c r="S185" i="2"/>
  <c r="M107" i="2"/>
  <c r="D107" i="2" s="1"/>
  <c r="D192" i="2"/>
  <c r="B185" i="2"/>
  <c r="Q90" i="2"/>
  <c r="Q8" i="2" s="1"/>
  <c r="D324" i="2"/>
  <c r="N90" i="2"/>
  <c r="N8" i="2" s="1"/>
  <c r="D55" i="2"/>
  <c r="B49" i="2"/>
  <c r="C91" i="2"/>
  <c r="D121" i="2"/>
  <c r="Z9" i="2"/>
  <c r="Z8" i="2" s="1"/>
  <c r="D197" i="2"/>
  <c r="D75" i="2"/>
  <c r="T8" i="2"/>
  <c r="AA9" i="2"/>
  <c r="D76" i="2"/>
  <c r="E9" i="2"/>
  <c r="C204" i="2"/>
  <c r="I90" i="2"/>
  <c r="I8" i="2" s="1"/>
  <c r="C254" i="2"/>
  <c r="D62" i="2"/>
  <c r="D49" i="2"/>
  <c r="D50" i="2"/>
  <c r="D350" i="2"/>
  <c r="P341" i="2"/>
  <c r="S341" i="2"/>
  <c r="C330" i="2"/>
  <c r="D108" i="2"/>
  <c r="D347" i="2"/>
  <c r="C342" i="2"/>
  <c r="B75" i="2"/>
  <c r="V341" i="2"/>
  <c r="D37" i="2"/>
  <c r="J341" i="2"/>
  <c r="D342" i="2"/>
  <c r="O90" i="2"/>
  <c r="D302" i="2"/>
  <c r="L9" i="2"/>
  <c r="M9" i="2" s="1"/>
  <c r="X9" i="2"/>
  <c r="Y9" i="2" s="1"/>
  <c r="R90" i="2"/>
  <c r="C107" i="2"/>
  <c r="D357" i="2"/>
  <c r="Y120" i="2"/>
  <c r="D120" i="2" s="1"/>
  <c r="B61" i="2"/>
  <c r="M185" i="2"/>
  <c r="C185" i="2"/>
  <c r="AA90" i="2"/>
  <c r="AB90" i="2" s="1"/>
  <c r="B254" i="2"/>
  <c r="C21" i="2"/>
  <c r="D307" i="2"/>
  <c r="K90" i="2"/>
  <c r="K8" i="2" s="1"/>
  <c r="X90" i="2"/>
  <c r="C120" i="2"/>
  <c r="G90" i="2"/>
  <c r="D275" i="2"/>
  <c r="H9" i="2"/>
  <c r="H8" i="2" s="1"/>
  <c r="B10" i="2"/>
  <c r="J10" i="2"/>
  <c r="D10" i="2" s="1"/>
  <c r="M254" i="2"/>
  <c r="D254" i="2" s="1"/>
  <c r="C61" i="2"/>
  <c r="R9" i="2"/>
  <c r="C36" i="2"/>
  <c r="D21" i="2"/>
  <c r="C49" i="2"/>
  <c r="U90" i="2"/>
  <c r="V90" i="2" s="1"/>
  <c r="B204" i="2"/>
  <c r="B341" i="2"/>
  <c r="W90" i="2"/>
  <c r="W8" i="2" s="1"/>
  <c r="B86" i="2"/>
  <c r="G86" i="2"/>
  <c r="D86" i="2" s="1"/>
  <c r="L90" i="2"/>
  <c r="M54" i="2"/>
  <c r="D54" i="2" s="1"/>
  <c r="C54" i="2"/>
  <c r="D11" i="2"/>
  <c r="D91" i="2"/>
  <c r="D61" i="2"/>
  <c r="D36" i="2"/>
  <c r="O9" i="2"/>
  <c r="D87" i="2"/>
  <c r="M204" i="2"/>
  <c r="G341" i="2"/>
  <c r="C341" i="2"/>
  <c r="G366" i="2"/>
  <c r="D366" i="2" s="1"/>
  <c r="C366" i="2"/>
  <c r="F365" i="2"/>
  <c r="AB9" i="2"/>
  <c r="C301" i="2"/>
  <c r="G301" i="2"/>
  <c r="D301" i="2" s="1"/>
  <c r="C86" i="2"/>
  <c r="D204" i="2" l="1"/>
  <c r="P90" i="2"/>
  <c r="G9" i="2"/>
  <c r="F8" i="2"/>
  <c r="E8" i="2"/>
  <c r="L8" i="2"/>
  <c r="S90" i="2"/>
  <c r="AA8" i="2"/>
  <c r="AB8" i="2" s="1"/>
  <c r="D185" i="2"/>
  <c r="J90" i="2"/>
  <c r="X8" i="2"/>
  <c r="Y8" i="2" s="1"/>
  <c r="M8" i="2"/>
  <c r="D341" i="2"/>
  <c r="U8" i="2"/>
  <c r="V8" i="2" s="1"/>
  <c r="J8" i="2"/>
  <c r="S9" i="2"/>
  <c r="R8" i="2"/>
  <c r="S8" i="2" s="1"/>
  <c r="M90" i="2"/>
  <c r="C9" i="2"/>
  <c r="P9" i="2"/>
  <c r="O8" i="2"/>
  <c r="P8" i="2" s="1"/>
  <c r="C90" i="2"/>
  <c r="J9" i="2"/>
  <c r="G365" i="2"/>
  <c r="D365" i="2" s="1"/>
  <c r="C365" i="2"/>
  <c r="B90" i="2"/>
  <c r="Y90" i="2"/>
  <c r="B9" i="2"/>
  <c r="G8" i="2" l="1"/>
  <c r="B8" i="2"/>
  <c r="D90" i="2"/>
  <c r="D9" i="2"/>
  <c r="C8" i="2"/>
  <c r="D8" i="2"/>
</calcChain>
</file>

<file path=xl/sharedStrings.xml><?xml version="1.0" encoding="utf-8"?>
<sst xmlns="http://schemas.openxmlformats.org/spreadsheetml/2006/main" count="427" uniqueCount="328">
  <si>
    <t>ВСИЧКО РАЗХОДИ:</t>
  </si>
  <si>
    <t>инж. Даниел Панов</t>
  </si>
  <si>
    <t>Кмет на Община Велико Търново</t>
  </si>
  <si>
    <t>Съгласувал,</t>
  </si>
  <si>
    <t>Изготвил,</t>
  </si>
  <si>
    <t>Приложение 1</t>
  </si>
  <si>
    <t>ИНВЕСТИЦИОННА ПРОГРАМА</t>
  </si>
  <si>
    <t>НАИМЕНОВАНИЕ НА ОБЕКТИТЕ</t>
  </si>
  <si>
    <t xml:space="preserve">ВСИЧКО </t>
  </si>
  <si>
    <t>Целева субсидия</t>
  </si>
  <si>
    <t>Приватизация</t>
  </si>
  <si>
    <t>Собствени бюджетни средства</t>
  </si>
  <si>
    <t>Сметки за средства от Европейския съюз</t>
  </si>
  <si>
    <t xml:space="preserve">Преходен остатък по бюджета </t>
  </si>
  <si>
    <t>Прех.остатъци от трансфери м/у бюджета и ЦБ и други</t>
  </si>
  <si>
    <t>Трансфери м/у бюджета и ЦБ и други</t>
  </si>
  <si>
    <t>Други извънбюджетни средства</t>
  </si>
  <si>
    <t>било</t>
  </si>
  <si>
    <t>става</t>
  </si>
  <si>
    <t>промяна</t>
  </si>
  <si>
    <t>5100  ОСНОВЕН  РЕМОНТ НА ДМА</t>
  </si>
  <si>
    <t>Функция 01 Общи държавни служби</t>
  </si>
  <si>
    <t>ОБЕКТИ</t>
  </si>
  <si>
    <t>Основен ремонт сгради общинска собственост на територията на кметство с. Балван</t>
  </si>
  <si>
    <t>Основен ремонт сгради общинска собственост на територията на кметство с. Ветринци</t>
  </si>
  <si>
    <t>Основен ремонт сгради общинска собственост на територията на кметство гр. Дебелец</t>
  </si>
  <si>
    <t>Основен ремонт сгради общинска собственост на територията на кметство с. Къпиново</t>
  </si>
  <si>
    <t>Основен ремонт сгради общинска собственост на територията на кметство гр. Килифарево</t>
  </si>
  <si>
    <t>Основен ремонт сгради общинска собственост на територията на кметство с. Малки чифлик</t>
  </si>
  <si>
    <t>Основен ремонт сгради общинска собственост на територията на кметство с. Хотница</t>
  </si>
  <si>
    <t>Вътрешно преустройство на съществуващи етажи от административна сграда ул. "Хр. Караминков №19 за нуждите на административните структури и звена на Община В. Търново</t>
  </si>
  <si>
    <t>Осигуряване на достъпна среда в сграда Кметство гр. Килифарево</t>
  </si>
  <si>
    <t>Реконструкция на сграда Кметство с. Ресен /30% продажба общинско имущество/</t>
  </si>
  <si>
    <t>Функция 02 Отбрана и сигурност</t>
  </si>
  <si>
    <t>Укрепване улица "Пета", с. Малки чифлик</t>
  </si>
  <si>
    <t>Подпорна стена на ул."Симеон Велики" № 4, кв231</t>
  </si>
  <si>
    <t>Подпорна стена на ул."Алеко Константинов" № 33</t>
  </si>
  <si>
    <t>Подпорна стена на ул."Бузлуджа" /при  Стара болница/</t>
  </si>
  <si>
    <t xml:space="preserve">Възстановяване сграда на НЧ "Надежда 1869" исторически паметник на културата, гр. В. Търново, ПМС №188/21.07.2022 г., писмо №ФО-43/01.08.2022 г. на Министерство на финансите </t>
  </si>
  <si>
    <t>Основен ремонт видеонаблюдение</t>
  </si>
  <si>
    <t>Възстановяване на улици в с. Ново село - водостоци, ПМС 92/17.04.2015 г.</t>
  </si>
  <si>
    <t>Възстановяване на мост над р. Белица на път GAB 1111/III-303/, гр. Килифарево- с. Плаково, ПМС 247/07.11.2017 г.</t>
  </si>
  <si>
    <t>Трайно възстановяване на каменния мост над река Белица в гр. Дебелец по ПМС 96 от 25.04.2019 г.</t>
  </si>
  <si>
    <t>Възстановяване на стоманобетонов мост над река Белица на общински път  VTR1010 "/I-5/ Дебелец - жп гара Дебелец - Велико Търново, кв. Чолаковци, ул. "Сан Стефано" (GAB 3110) по ПМС 292 от 12.12.2018 г. и по ПМС 96 от 25.04.2019 г.</t>
  </si>
  <si>
    <t>Възстановяване на ул. „Климент Охридски” (път ІІІ-514) при манастирски комплекс „Великата Лавра” до църквата „Св. Четиридесет мъченици”, гр. Велико Търново, по ПМС 96 от 25.04.2019 г.</t>
  </si>
  <si>
    <t xml:space="preserve">Възстановяване на  път GAB 3110/ ІІІ-303 Пушево - Дряново/Керека - граница общини (Дряново - Велико Търново) - Шемшево - Велико Търново, в участъка от км 8+300 през с. Шемшево до км 12+400, ПМС 284/15.11.2019 г.
</t>
  </si>
  <si>
    <t>Възстановяване сградата на детска градина „Пинокио”, с. Самоводене, УПИ-I, кв. 37, по ПМС 250 от 04.09.2020 г. и ПМС 207/29.06.2021 г.</t>
  </si>
  <si>
    <t>Функция 03 Образование</t>
  </si>
  <si>
    <t>Реконструкция на сграда на ПМГ "В. Друмев" за осигуряване на едносменен режим на обучение</t>
  </si>
  <si>
    <t>Ремонтни дейности в учебните стаи на 4-ти етаж на ОУ "П.Р.Славейков"  град Велико Търново</t>
  </si>
  <si>
    <t>Реконструкция на сграда ОУ "Бачо Киро", гр. В. Търново</t>
  </si>
  <si>
    <t>Реконструкция на сграда ПЕГ "Проф. Д-р Асен Златаров"</t>
  </si>
  <si>
    <t>Основен ремонт на спортна площадка ОУ "Св. Патриарх Евтимий", гр. В. Търново ПМС 269/07.09.2022 г.</t>
  </si>
  <si>
    <t>Основен ремонт на спортна площадка ОУ "П.Р.Славейков", гр. В. Търново ПМС 269/07.09.2022 г.</t>
  </si>
  <si>
    <t>Спортно стрелбище, находящо се в Спортно училище "Георги Живков", гр. В. Търново</t>
  </si>
  <si>
    <t>Енергийна ефективност ОУ "П.Р.Славейков", гр. В. Търново - собствено участие 315 044 лв. и            НДЕФ 621 164 лв.</t>
  </si>
  <si>
    <t>Изготвяне на архитектурно-строителен проект ОУ "Бачо Киро", гр. Велико Търново</t>
  </si>
  <si>
    <t>ДГ "Вяра, Надежда и Любов" с. Ресен- Довършителни дейности по подмяна на дограма</t>
  </si>
  <si>
    <t>Основен ремонт покрив ДГ "Соня", Велико Търново</t>
  </si>
  <si>
    <t>Функция 04 Здравеопазване</t>
  </si>
  <si>
    <t>Център за обучение и превенция на зависимости</t>
  </si>
  <si>
    <t>ДЯ "Слънце" - саниране на сградата и ремонт на улуци и водосточни тръби</t>
  </si>
  <si>
    <t>ДЯ "Пролет" - укрепване на северната едноетажна част на сградата</t>
  </si>
  <si>
    <t>Функция 05  Социално осигур., подпомагане и грижи</t>
  </si>
  <si>
    <t>Ремонтиране и адаптиране помещения в сграда общинска собственост ул. "Цветарска" 14, гр. Велико Търново по проект "Дневен център за подкрепа на лица с увреждания и техните семейства, вкл. с тежки множествени увреждания", ОП "Развитие на човешките ресурси" 2014-2020, №BG05M9OP001-2.061-0002 /код 98/</t>
  </si>
  <si>
    <t>Основен ремонт дом за стари хора "Венета Ботева", гр. В. Търново по проект "Патронажна грижа+ ", ОП "Развитие на човешките ресурси" 2014-2020, №BG05M9OP001-6.002-0077-C01 /код 98/</t>
  </si>
  <si>
    <t>Основен ремонт сгради общинска собственост на територията на кметство гр. Килифарево - помещение за нуждите на Център за работа с цеца и младежи</t>
  </si>
  <si>
    <t>Основен ремонт сграда и част от прилежащите пространства на ул. "Цветарска"14</t>
  </si>
  <si>
    <t>Основен ремонт сграда 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</si>
  <si>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Функция 06 Жилищно строителство, Б К С и опазване  околната среда</t>
  </si>
  <si>
    <t>Възстановяване на покрива на общинска сграда, находяща се на ул. "Капитан Георги Мамарчев", гр. В. Търново</t>
  </si>
  <si>
    <t>Обособяване на складови помещения в сградата на бившето сержантско училище, находяща се в УПИ ХХ, стр. кв. 563</t>
  </si>
  <si>
    <t>Ремонт водопроводна мрежа ул. "Втора", с. Шереметя /30% продажба на общинско имущество/</t>
  </si>
  <si>
    <t>Ул."Полтава", гр. В.Търново - уширение и направа на паркоместа между ул."арх. Петър Матанов" и ул."Симеон Велики", кв."Кольо Фичето"</t>
  </si>
  <si>
    <t>Рехабилитация и модернизация на система за външно изкуствено осветление в жилищни квартали в Община Велико Търново - кв. "Бузлуджа", кв. "Кольо Фичето", кв. "Картала" и кв. "Зона - Б" по Проект "Рехабилитация и модернизация на системи за външно изкуствено осветление във Велико Търново", №BGENERGY-2.001-0003-017 /код 97/</t>
  </si>
  <si>
    <t xml:space="preserve">Основен ремонт Улична осветителна мрежа </t>
  </si>
  <si>
    <t>Строителство и реконструкция на ВиК инфраструктура в гр. Велико Търново по подобекти: Подобект 2: " Строителство и реконструкция на водопроводни и канализационни колектори по  ул. "Теодосий Търновски", ул. "Димитър Найденов", ул. "Сливница" -  гр. В. Търново; Подобект 3: "Строителство и реконструкция на уличен водопровод по ул."Ксилифорска", гр. Велико Търново" /РМС №711/30.09.2022 г./</t>
  </si>
  <si>
    <t>Рехабилитация и реконструкция на ул."Опълченска", ул. "Теодосий Търновски", ул. "Димитър Найденов", ул. "Сливница", ул. "Климент Охриски" и ул. "Ксилифорска" и участъка изрън регулация по проект  "По-добре свързани вторични и третични точки в главната и широкообхватна мрежа на път " TEN - T ", чрез общи мерки в трансграничен регион" (CBC) ROBG-383 , програма INTERREG V-A Румъния- България 2014 -2020 /код 96/</t>
  </si>
  <si>
    <t>Ремонт стълбищна мрежа, гр. В. Търново, в т.ч. стълбище към автогара Юг</t>
  </si>
  <si>
    <t>Бул."България"/при НВУ "В.Левски"/, гр. В. Търново -подмяна на бордюри с нови</t>
  </si>
  <si>
    <t>Изграждане на водопровод и канализация на бул. България", гр. В. Търново по ПМС 360/10.12.2020 г., писмо №ФО-70/17.12.2020 г. на МФ</t>
  </si>
  <si>
    <t>Основен ремонт тротоари на ул."Цар Тодор Светослав"/при поликлиниката/, гр. В. Търново</t>
  </si>
  <si>
    <t>Функция 07 Почивно дело, култура, религиоз. дейности</t>
  </si>
  <si>
    <t>Сграфито пана - реставрация</t>
  </si>
  <si>
    <t>Основен ремонт читалищна библиотека с. Самоводене</t>
  </si>
  <si>
    <t>Ремонт РБ "П.Р.Славейков"</t>
  </si>
  <si>
    <t>Реконструкция, модернизация и внедряване на мерки за енергийна ефективност в спортни зали към СК "Ивайло" - Спортни зали "Север"</t>
  </si>
  <si>
    <t>Подмяна изкуствена настилка на тенис кортове на ул. "Мария Габровска" 2А, гр. Велико Търново с обща площ 3 592 кв.м. - ОП "Спортни имоти и прояви"</t>
  </si>
  <si>
    <t>Ремонт на "Салон за физическо възпитание и спорт" в гр. Дебелец</t>
  </si>
  <si>
    <t>Разширение сграда  по проект "Разширение на Мултимедиен посетителски център "Царевград Търнов" по ОП „Региони в растеж“ 2014-2020г., №BG16RFOP001-1.009-0007 /код 98/</t>
  </si>
  <si>
    <t>Реконструкция и обновяване сграда  по проект "Реконструкция и обновяване на музей "Възраждане" и "Учредително събрание" по ОП „Региони в растеж“ 2014-2020г., №BG16RFOP001-1.009-0006 /код 98/</t>
  </si>
  <si>
    <t>Ремонт на наклонения асансьор в АМР "Трапезица"</t>
  </si>
  <si>
    <t>Функция 08 Икономически дейности и услуги</t>
  </si>
  <si>
    <t>Общински път VTR 1042  “/път I -4/ жп гара Велико Търново – ВТУ – ж.к. „Св. гора“ - / I -4/",в участъка от км. 0+030 до км 2+463.90“</t>
  </si>
  <si>
    <t>Реконструкция бул. "България" - кръгово кръстовище "Беляковско шосе", Кръгово кръстовище ул. "Христо Ботев" по проект Интегриран градски транспорт на гр. Велико Търново по ОП „Региони в растеж“ 2014-2020г. BG16RFOP001-1.009-0005-C01 /код 98/, в т.ч. собствено участие 360 000 лева</t>
  </si>
  <si>
    <t>5200  ПРИДОБИВАНЕ НА ДМА</t>
  </si>
  <si>
    <t>5201 Придобиване на компютри и хардуер</t>
  </si>
  <si>
    <t>Компютри и хардуер</t>
  </si>
  <si>
    <t>Компютърна конфигурация Кметство с. Ресен</t>
  </si>
  <si>
    <t>Кметство с. Самоводене - графична станция с ОС</t>
  </si>
  <si>
    <t>Компютърна конфигурация Кметство с. Плаково /30% продажба общинско имущество/</t>
  </si>
  <si>
    <t>5202 Придобиване на сгради</t>
  </si>
  <si>
    <t>Прекратяване на съсобственост по Решение №410/13.11.2008 г. - недвижим имот ул. "Сливница" №7</t>
  </si>
  <si>
    <t>5203 Придобиване на др. оборудване машини и съоръжения</t>
  </si>
  <si>
    <t>Изграждане на фотоволтаична централа на покрива на административната сграда на Община Велико Търново</t>
  </si>
  <si>
    <t>Община Велико Търново - система за контрол на достъп и работно време</t>
  </si>
  <si>
    <t>Дрон за нуждите на Община Велико Търново</t>
  </si>
  <si>
    <t>Климатици за нуждите на общинска администрация и кметствата</t>
  </si>
  <si>
    <t>5204 Придобиване на транспортни средства</t>
  </si>
  <si>
    <t>Закупуване на лек автомобил за нуждите на Общински съвет</t>
  </si>
  <si>
    <t>Компютри за нуждите на районните полицейски инспектори и детска педагогическа стая</t>
  </si>
  <si>
    <t>Системи за видеонаблюдение</t>
  </si>
  <si>
    <t>Сензор за ниво на вода на моста над р. "Янтра" в ЖК "Чолаковци"</t>
  </si>
  <si>
    <t>Системи за видеонаблюдение с. Арбанаси по Програма "Инициативи на местните общности"</t>
  </si>
  <si>
    <t>Системи за видеонаблюдение с. Русаля по Програма "Инициативи на местните общности" от 30% продажба на общинско имущество</t>
  </si>
  <si>
    <t>Система за видеонаблюдение Кметство с. Ново село 30% продажба на общинско имущество</t>
  </si>
  <si>
    <t>5206 Инфраструктурни обекти</t>
  </si>
  <si>
    <t>Изграждане на отводнително съоръжение намиращо се в източната част на с. Ресен, кръстовището на ул. "Георги Димитров" и ул. "Димо Рогев" и прилежащите жилищни сгради, Кметство с.Ресен</t>
  </si>
  <si>
    <t>Мост над река Еньовица, с. Габровци /път Габровци - Пъровци/, с. Габровци</t>
  </si>
  <si>
    <t>Възстановяване на мост - вилна зона, с. Габровци, с. Габровци</t>
  </si>
  <si>
    <t>ОУ „Бачо Киро“, гр. Велико Търново - интерактивни мултитъч дисплеи, гр. Велико Търново</t>
  </si>
  <si>
    <t>Реконструкция на сграда на ПМГ "В. Друмев" за осигуряване на едносменен режим на обучение - компютърно оборудване</t>
  </si>
  <si>
    <t>ОУ „Бачо Киро“, гр. Велико Търново - преносими компютри, преносими конфигурации и 3D принтер, гр. Велико Търново</t>
  </si>
  <si>
    <t>ОУ „Бачо Киро“, гр. Велико Търново - информационен киоск, гр. Велико Търново</t>
  </si>
  <si>
    <t>ОУ „Бачо Киро“, гр. Велико Търново - стериоскопична компютърна конфигурация, гр. Велико Търново</t>
  </si>
  <si>
    <t>ПМГ „Васил Друмев“, гр. Велико Търново - интерактивен мултитъч дисплей</t>
  </si>
  <si>
    <t>ПХГ "Св.Св. Кирил и Методий" - Wi-Fi мрежа</t>
  </si>
  <si>
    <t>СУ „Емилиян Станев“, гр. Велико Търново - компютърни конфигурации</t>
  </si>
  <si>
    <t>ОУ "Димитър Благоев", гр. В. Търново - компютърен модул с интерактивен дисплей</t>
  </si>
  <si>
    <t>ДГ „Ален мак“, гр. Велико Търново - проектор "Звездно небе" по проект "Подкрепа за приобщаващо образование" №BG05M2OP001-3.018-0001</t>
  </si>
  <si>
    <t>СУ „Вела Благоева“, гр. Велико Търново - преносим компютър</t>
  </si>
  <si>
    <t>Спортно училище „Г. Живков“, гр. Велико Търново - лаптоп</t>
  </si>
  <si>
    <t>Център за промяна и личностно развитие- ОДК- Интерактивен дисплей за обучение</t>
  </si>
  <si>
    <t>СУ „Г. С. Раковски“, гр. Велико Търново - проектори и интерактивен дисплей</t>
  </si>
  <si>
    <t>ОУ "Хр. Смирненски", с. Водолей - WiFi мрежа</t>
  </si>
  <si>
    <t>СУ „Вела Благоева“, гр. Велико Търново - компютри и хардуер по проект „Живей в кръговрата! Разреши проблема!“, № BG  ENVIORNMENT - 3.00.1-006</t>
  </si>
  <si>
    <t>ДГ "Детски свят", с. Церова кория - 1 бр. компютърна конфигурация</t>
  </si>
  <si>
    <t>ДГ "Здравец", гр. В. Търново - 2 бр. компютърни конфигурации</t>
  </si>
  <si>
    <t>ДГ "Евгения Кисимова", гр. В. Търново - мултимедиен проектор</t>
  </si>
  <si>
    <t>ДГ "Евгения Кисимова", гр. В. Търново - лаптоп</t>
  </si>
  <si>
    <t>Център за подкрепа за личностно развитие - ОДК,   гр. В. Търново - лаптопи</t>
  </si>
  <si>
    <t>Общинско ученическо общежитие "Колю Фичето" - компютърни конфигурации</t>
  </si>
  <si>
    <t>Изграждане на ДГ в кв. "Картала", гр. В. Търново</t>
  </si>
  <si>
    <t>Изграждане на ДГ за 120 места в кв. "Зона - В", гр. Велико Търново</t>
  </si>
  <si>
    <t>СУ „Вела Благоева“, гр. Велико Търново - аудио-озвучителна техника по  проект „Живей в кръговрата! Разреши проблема!“, 
№ BG  ENVIORNMENT - 3.00.1-006</t>
  </si>
  <si>
    <t>ДГ „Пролет“, гр. Велико Търново - доставка на уреди за детска площадка по програма ПУДООС</t>
  </si>
  <si>
    <t>ДГ „Първи юни“, гр. Велико Търново - доставка на оборудване за детски площадки по програма ПУДООС</t>
  </si>
  <si>
    <t>ПМГ „Васил Друмев“, гр. Велико Търново - универсален шкаф за зареждане на лаптопи и таблети</t>
  </si>
  <si>
    <t>ОУ „Св. Патриарх Евтимий“, гр. Велико Търново - пожароизвестителна система</t>
  </si>
  <si>
    <t>ОУ „Емилиян Станев“, гр. Велико Търново - климатични системи</t>
  </si>
  <si>
    <t>СУ „Емилиян Станев“, гр. Велико Търново - терминал за безконтактна инвентаризация</t>
  </si>
  <si>
    <t>ПЕГ "Проф. д-р Асен Златаров", гр. В. Търново - помпа за отоплителна инсталация</t>
  </si>
  <si>
    <t>СУ „Вела Благоева“, гр. Велико Търново - брайлова машина</t>
  </si>
  <si>
    <t>СУ „Вела Благоева“, гр. Велико Търново - система за видеонаблюдение</t>
  </si>
  <si>
    <t>СУ „Г. С. Раковски“, гр. Велико Търново - видеонаблюдение</t>
  </si>
  <si>
    <t>ПЕГ "Проф. Асен Златаров", гр. В. Търново - газова централа с два броя датчици</t>
  </si>
  <si>
    <t>ОУ „Бачо Киро“, гр. Велико Търново - лабораторни уреди за опити</t>
  </si>
  <si>
    <t>ОУ „Христо Смирненски", село Водолей- изграждане на беседка по проект ПУДООС</t>
  </si>
  <si>
    <t>ОУ „П. Р. Славейков", гр. Велико Търново - експериментална STEM оранжерия</t>
  </si>
  <si>
    <t>ОУ „П. Р. Славейков", гр. Велико Търново - площадки по ПУДООС</t>
  </si>
  <si>
    <t>ОУ "Д-р Петър Берон", гр. Дебелец - детски съоръжения за училищна площадка по проект на ПУДООС</t>
  </si>
  <si>
    <t>ДГ "Здравец", гр. В. Търново - Доставка и монтаж на детски съоръжения за детски площадки</t>
  </si>
  <si>
    <t>ДГ "Шарения замък" - тематичен детски кът за игра</t>
  </si>
  <si>
    <t>ДГ "Шарения замък" - Доставка и монтаж на климатични системи</t>
  </si>
  <si>
    <t>ДГ "Вяра, Надежда и Любов" с. Ресен- Доставка и монтаж на климатични системи</t>
  </si>
  <si>
    <t xml:space="preserve">ДГ "Шарения замък" - Доставка и монтаж на детски съоръжения за детски площадки </t>
  </si>
  <si>
    <t>5205  Придобиване на стопански инвентар</t>
  </si>
  <si>
    <t>СУ „Емилиян Станев“, гр. Велико Търново - Подопочистващи машини</t>
  </si>
  <si>
    <t>ОУ „П.Р. Славейков“ , гр. Велико Търново- Подопочистваща машина</t>
  </si>
  <si>
    <t>СУ „Емилиян Станев“, гр. Велико Търново - бойлер</t>
  </si>
  <si>
    <t>СУ „Емилиян Станев“, гр. Велико Търново - акордеон</t>
  </si>
  <si>
    <t>СУ „Емилиян Станев“, гр. Велико Търново - обектив TAMRON 18-400 MM</t>
  </si>
  <si>
    <t>ОУ „Бачо Киро“, гр. Велико Търново - музикални инструменти</t>
  </si>
  <si>
    <t>ДГ "Иванка Ботева" - дърво на сезоните по проект "Подкрепа за приобщаващо образование" №BG05M2OP001-3.018-0001</t>
  </si>
  <si>
    <t>ДГ "Ален мак" - дигитално пиано по проект "Подкрепа за приобщаващо образование" №BG05M2OP001-3.018-0001</t>
  </si>
  <si>
    <t>ДГ "Пролет" - Доставка и монтаж на мебели</t>
  </si>
  <si>
    <t>ДГ "Соня" - Доставка на секция Молив</t>
  </si>
  <si>
    <t>ДГ "Здравец" - Доставка и монтаж на мебели</t>
  </si>
  <si>
    <t>ДГ "Шарения замък" - Доставка и монтаж на мебели</t>
  </si>
  <si>
    <t>5219 Придобиване на други ДМА</t>
  </si>
  <si>
    <t xml:space="preserve">ДГ "Шарения замък" - Доставка и монтаж на сенници за детски площадки </t>
  </si>
  <si>
    <t>Придобиване на компютри за нуждите на Детските ясли</t>
  </si>
  <si>
    <t>Превантивно информационен център - придобиване на преносими компютри 2 бр.</t>
  </si>
  <si>
    <t>Превантивно информационен център - закупуване на мултимедиен проектор</t>
  </si>
  <si>
    <t>Реконструкция на СБАЛПФЗ "Д-р Трейман" ЕООД, В. Търново - Укрепване капацитета на болничната мрежа за реакции при кризи по ОП „Региони в растеж“ по процедура № BG16RFOP001-9.001 "Мерки за справяне с пандемията"</t>
  </si>
  <si>
    <t>Заснемане, проектиране, остойностяване и изграждане на пожароизвестителна система за Детските ясли</t>
  </si>
  <si>
    <t>Климатици на Здравните кабинети в ДГ "Шареният замък" и ДГ "Здравец"</t>
  </si>
  <si>
    <t>ДЯ "Пролет" - циркулационна помпа</t>
  </si>
  <si>
    <t>Климатици на Детските ясли</t>
  </si>
  <si>
    <t>Бойлер  със серпентина 2 бр. ДЯ Мечо Пух</t>
  </si>
  <si>
    <t>ДЯ "Щастливо детство", ДЯ "Пролет", ДЯ "Слънце, ДЯ "Зорница" - професионални сушилни</t>
  </si>
  <si>
    <t>ДЯ Зорница - закупуване на електрическа пекарна с 2 фурни и печка с 4 котлона</t>
  </si>
  <si>
    <t>ДЯ Мечо Пух - закупуване на електрическа пекарна с 2 фурни</t>
  </si>
  <si>
    <t>ДЯ Щастливо Детство - закупуване на електическа пекарна и печка</t>
  </si>
  <si>
    <t>Детска млечна кухня - закупуване на работни маси и шкафове</t>
  </si>
  <si>
    <t>Закупуване на компютри в Преходно жилище 1 бр.</t>
  </si>
  <si>
    <t>Домашен социален патронаж,  филиал с. Ново село - компютърни конфигурации</t>
  </si>
  <si>
    <t>Дом за пълнолетни лица с увреждания, с. Церова Кория - Преносим компютър</t>
  </si>
  <si>
    <t>Дом за пълнолетни лица с увреждания, с. Церова Кория - компютърна конфигурация</t>
  </si>
  <si>
    <t>Интерактивен магичен под Дневен център за лица с увреждания "Дъга"</t>
  </si>
  <si>
    <t>Център за социална рехабилитация и интеграция ул. "Бойчо войвода" -закупуване на компютърна конфигурация</t>
  </si>
  <si>
    <t>Асистентска подкрепа - Придобиване на 3 бр. компютърна конфигурация</t>
  </si>
  <si>
    <t>Компютри по проект "Патронажна грижа + Компонент 2", ОП "Развитие на човешките ресурси" 2014-2020, № BG05M9OP001-6.004-89-C01 /код 98/</t>
  </si>
  <si>
    <t>Компютри по проект "Патронажна грижа + ", ОП "Развитие на човешките ресурси" 2014-2020, №BG05M9OP001-6.002-0077-C01 /код 98/</t>
  </si>
  <si>
    <t>Компютри и хардуер по проект "Дневен център за подкрепа на лица с увреждания и техните семейства, вкл. с тежки множествени увреждания", ОП "Развитие на човешките ресурси" 2014-2020, №BG05M9OP001-2.061-0002 /код 98/</t>
  </si>
  <si>
    <t>Компютри и хардуер по проект "Центрове за дългосрочна грижа - новите социални услуги в Община Велико Търново", ОП "Развитие на човешките ресурси" 2014-2020, №BG05M9OP001-2.090-0019 /код 98/</t>
  </si>
  <si>
    <t>Компютърна конфигурация и лаптопи 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</si>
  <si>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Закупуване на кушетка и лифтер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</si>
  <si>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Закупуване на лифтер, специализирани електически легла и кушетка по проект "Дневен център за подкрепа на лица с увреждания и техните семейства, вкл. с тежки множествени увреждания", ОП "Развитие на човешките ресурси" 2014-2020, №BG05M9OP001-2.061-0002 /код 98/</t>
  </si>
  <si>
    <t>Климатична система по проект "Общностен център за деца и родители "ЦАРЕВГРАД"
BG05M9OP001-2.004-0046-C01 /код 98/</t>
  </si>
  <si>
    <t>Мобилен лифт за повдигане на пациенти по проект "Центрове за дългосрочна грижа - новите социални услуги в Община Велико Търново", ОП "Развитие на човешките ресурси" 2014-2020, №BG05M9OP001-2.090-0019 /код 98/</t>
  </si>
  <si>
    <t>Терапевтични столове за нуждите на проект "Разкриване на комплекс от социални услуги за деца по ОП „Развитие на човешките ресурси“ 2014-2020г., №BG05M9OP001-2.019-0018-C01 /код 98/</t>
  </si>
  <si>
    <t>ЦРДМ, с. Малки чифлик - климатична система</t>
  </si>
  <si>
    <t>ЦРДМ, гр. Килифарево - климатична система</t>
  </si>
  <si>
    <t>ЦНСТ ул. Никола Габровски -Проектиране за изграждане на пожароизвестителна система</t>
  </si>
  <si>
    <t>ЦНСТ ул. Никола Габровски -Придобиване на климатична система 2 бр.</t>
  </si>
  <si>
    <t>ЦНСТ III ул. Колоня Товар - Закупуване на газов котел</t>
  </si>
  <si>
    <t>Климатични системи за нуждите на Кризисен център, с. Балван</t>
  </si>
  <si>
    <t xml:space="preserve">Климатици за нуждите на Центровете за социална рехабилитация и интеграция </t>
  </si>
  <si>
    <t>Механизъм "Лична помощ" - климатична система</t>
  </si>
  <si>
    <t>Център за социална рехабилитация и интеграция ул. "Бойчо войвода" - Закупуване на цветна копирна машина</t>
  </si>
  <si>
    <t>ЦСРИ Бойчо войвода - закупуване на многофункционална кушетка за кинезитерапия</t>
  </si>
  <si>
    <t>Дневен център за деца и младежи с увреждания "Дъга", гр. Велико Търново - беседка с ударопоглъщаща настилка</t>
  </si>
  <si>
    <t>Дом за стари хора гр. В Търново - Закупуване на локална вентилационна система</t>
  </si>
  <si>
    <t>Дом за стари хора гр. В Търново - Климатици</t>
  </si>
  <si>
    <t>Заснемане, проектиране,остойностяване и изграждане на пожароизвестителна система на  Дом за пълнолетни лица с увреждания , с. Церова Кория</t>
  </si>
  <si>
    <t>ЦНСТ ул. "Цветарска" 14 - слънчеви колектори</t>
  </si>
  <si>
    <t>ЦНСТ I ул. Ил. Драгостинов - Закупуване на МПС с рампа за инвалиди</t>
  </si>
  <si>
    <t>Закупуване на лек автомобил за Домашен социален патронаж - Фонд "Социална закрила" към МТСП</t>
  </si>
  <si>
    <t>Закупуване на транспортно средство - бус по проект "Дневен център за подкрепа на лица с увреждания и техните семейства, вкл. с тежки множествени увреждания", ОП "Развитие на човешките ресурси" 2014-2020, №BG05M9OP001-2.061-0002 /код 98/</t>
  </si>
  <si>
    <t>Лек автомобил 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</si>
  <si>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Център за настаняване от семеен тип I и II ул. Цветарска 14 - Закупуване на бойлер с 2 серпентини</t>
  </si>
  <si>
    <t>Център за настаняване от семеен тип Церова кория - Доставка и монтаж на кухня</t>
  </si>
  <si>
    <t>Дом за пълнолетни лица с увреждания  с. Церова Кория - Закупуване на високооборотна перална машина</t>
  </si>
  <si>
    <t>Дом за пълнолетни лица с увреждания с. Церова Кория - закупуване на печка с 6 плочи</t>
  </si>
  <si>
    <t>Професионални зеленчукорезачка и картофобелачка по проект "Центрове за дългосрочна грижа - новите социални услуги в Община Велико Търново", ОП "Развитие на човешките ресурси" 2014-2020, №BG05M9OP001-2.090-0019 /код 98/</t>
  </si>
  <si>
    <t>Закупуване на съдомиялна машина и професионална сушилня по проект "Дневен център за подкрепа на лица с увреждания и техните семейства, вкл. с тежки множествени увреждания", ОП "Развитие на човешките ресурси" 2014-2020, №BG05M9OP001-2.061-0002 /код 98/</t>
  </si>
  <si>
    <t>Закупуване на съдомиялна машина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</si>
  <si>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 xml:space="preserve">Детска площадка в парк "Бузлуджа" - изграждане на подход за инвалиди, поставяне на ударопъглъщаща настилка и въртележка за деца със специални потребности </t>
  </si>
  <si>
    <t>Преносим компютър по проект "Българските общини работят заедно за подобряване на качеството на атмосферния въздух" по програма LIFE на ЕС, №LIFE17 IPE/BG/000012 - LIFE IP CLEAN AIR /код 96/</t>
  </si>
  <si>
    <t>Лаптоп по проект "Рехабилитация и модернизация на система за външно изкуствено осветление в жилищни квартали в Община Велико Търново - кв. "Бузлуджа", кв. "Кольо Фичето", кв. "Картала" и кв. "Зона - Б" по Проект "Рехабилитация и модернизация на системи за външно изкуствено осветление във Велико Търново", №BGENERGY-2.001-0003-017 /код 97/</t>
  </si>
  <si>
    <t>Билборд, информационно табло по Проект "Рехабилитация и модернизация на системи за външно изкуствено осветление във Велико Търново", №BGENERGY-2.001-0003-017 /код 97/</t>
  </si>
  <si>
    <t>ОП "Зелени системи" - климатични системи</t>
  </si>
  <si>
    <t>Дренажни помпи за рекултивирано депо в  с. Шереметя</t>
  </si>
  <si>
    <t>Пелетни и газови котли и горелки по проект "Българските общини работят заедно за подобряване на качеството на атмосферния въздух" по програма LIFE на ЕС, №LIFE17 IPE/BG/000012 - LIFE IP CLEAN AIR /код 96/</t>
  </si>
  <si>
    <t>ОП "Зелени системи" - Сметосъбираща машина</t>
  </si>
  <si>
    <t>ОП "Зелени системи" - Специализирана машина водоноска</t>
  </si>
  <si>
    <t>Комбиниран багер - товарач, ОП Зелени Системи</t>
  </si>
  <si>
    <t>Стопански инвентар Кметство с. Русаля /30% от продажба на общинско имущество/</t>
  </si>
  <si>
    <t>Храсторез Кметство с. Русаля</t>
  </si>
  <si>
    <t>Косачка Кметство с. Шемшево</t>
  </si>
  <si>
    <t>Косачки, клонорези, храсторези и бензинов аератор за нуждите на Отдел "Озеленяване" на ОП "Зелени системи"</t>
  </si>
  <si>
    <t>Пароструйка, клонорези, храсторези и листосъбирачи за нуждите на Отдел "Чистота" на ОП "Зелени системи"</t>
  </si>
  <si>
    <t>Моторна коса Кметство с. Емен</t>
  </si>
  <si>
    <t>Храсторез Кметство с. Ресен</t>
  </si>
  <si>
    <t>Изграждане на тротоар на ул. "Лазурна"</t>
  </si>
  <si>
    <t>Изграждане на осветителна уредба около шадравана на Централен площад, гр. Дебелец</t>
  </si>
  <si>
    <t>Изграждане на беседка и прилежаща инфраструктура,с. Ресен</t>
  </si>
  <si>
    <t>Изграждане на паркинг между ул. "Венета Ботева" и ДГ "Шарения замък", гр. В. Търново</t>
  </si>
  <si>
    <t>Изграждане на детска площадка на ул. "Д. Буйнозов", гр. В. Търново</t>
  </si>
  <si>
    <t xml:space="preserve">Изграждане на нова улична осветителна мрежа </t>
  </si>
  <si>
    <t>Строителство и реконструкция на ВиК инфраструктура в гр. Велико Търново по подобекти: Подобект 1: "Строителство и реконструкция на канализационен колектор, напорен тръбопровод по ул. Опълченска, гр. Велико Търново" /РМС №711/30.09.2022 г./</t>
  </si>
  <si>
    <t>Инженерно -геоложко проучване и инвестиционен проект на обект :"Укрепване на свлачище №VTR04.20242.07 на път VTR1010 /І-5/ о.п. Дебелец - жп гара Дебелец - В. Търново, кв. "Чолаковци" - В. Търново, ул. "Сан Стефано" /GAB3110/"</t>
  </si>
  <si>
    <t>Инженерно -геоложко проучване и инвестиционен проект на обект :"Укрепване на Свлачище VTR04.10447.02.01, ул. "Опълченска" /в района на Радиозавода/, гр. В. Търново"</t>
  </si>
  <si>
    <t>Инженерно -геоложко проучване и инвестиционен проект на обект :"Укрепване на Свлачище VTR04.10447.02.02, ул. "Опълченска" /в района на Радиозавода/, гр. В. Търново"</t>
  </si>
  <si>
    <t>Доизграждане на улични участъци в кв. Картала, гр. В . Търново /доизграждане на участък от ул. Александър Бурмов от ОК 2374 а до ОК2475 и изграждане на нов уличен участък от ОК2524 до ОК2903 м/у ул. А. Бурмов и ул. Беляковско шосе/ -  ПМС 376/05.11.21 г.</t>
  </si>
  <si>
    <t>Доизграждане на ул. "Стоян Михайловски" ОК 2577-ОК 2576- ОК2567- ОК2564 - ОК2565 -ОК2805, Изграждане на ул. "Васил Априлов", Изграждане на ул. "Камен Зидаров", ОК 2521 - ОК 259 и ул. „Петко Тодоров“ ОК 259-ОК2452, Изграждане на ул. "Александър Бурмов", кв. „Картала“  ОК2364-ОК2518 - ПМС 315/19.12.2018</t>
  </si>
  <si>
    <t>Изграждане на ул." Драган Цончев", кв. Зона В, ОК8504- ОК8602-ОК8607-ОК8613-ПМС 315/19.12.2018</t>
  </si>
  <si>
    <t>Изграждане на улична и тротоарна настилка, осветление, водопровод, канализация и подземни тръбни мрежи на улици "Козлодуй, "Димитър Рашев", "Иван Хаджидимитров", "Димитър Благоев", "Народни будители", гр. В. Търново по ПМС 360/10.12.2020 г., писмо №ФО-70/17.12.2020 г. на МФ</t>
  </si>
  <si>
    <t>Изграждане на комуникации и техническа инфраструктура - ОК 8000 - ОК 8006, поземлен имот 10447.513.453 по КККР  на гр.Велико Търново, с цел обслужване на нуждите на сградите намиращи се в ПИ 10447.513.298 и ПИ 10447.513.299 по КККР на гр.В.Търново - Старо военно училище</t>
  </si>
  <si>
    <t>Изграждане на отводнителен окоп в началото на  с. Беляковец улици ОК 192 - ОК 193</t>
  </si>
  <si>
    <t>Изграждане на подземна тръбна мрежа, гр. В. Търново</t>
  </si>
  <si>
    <t>Мостово съоръжение над р. Янтра км 1+400 по проект "По-добре свързани вторични и третични точки в главната и широкообхватна мрежа на път " TEN - T ", чрез общи мерки в трансграничен регион" (CBC) ROBG-383 , програма INTERREG V-A Румъния- България 2014 -2020 /код 96/</t>
  </si>
  <si>
    <t>Изграждане на подпорна стена и канализация за ново спортно игрище, с местоположение от западната страна на стадион „Ивайло“, гр. Велико Търново</t>
  </si>
  <si>
    <t>Изместване на кабелни линии и трафопост "Ледена пързалка", гр. В. Търново</t>
  </si>
  <si>
    <t>Ел. захранване на общинска площадка за приемане на селективно събрани отпадъци, с. Шереметя</t>
  </si>
  <si>
    <t>Изграждане на фундамент за автомобилна везна в землището на с. Шереметя</t>
  </si>
  <si>
    <t>Ограда на площадка за разделно събиране на отпадъци, с. Ресен</t>
  </si>
  <si>
    <t>Направа на фундамент и доставка и монтаж на фургон за площадка за разделно събиране на отпадъци, с. Ресен</t>
  </si>
  <si>
    <t>Мултимедийна информационна система по проект "Разширение на Мултимедиен посетителски център "Царевград Търнов" по ОП „Региони в растеж“ 2014-2020г., №BG16RFOP001-1.009-0007 /код 98/</t>
  </si>
  <si>
    <t>Интерактивен киоск за нуждите на ХГ "Борис Денев"  гр. В. Търново</t>
  </si>
  <si>
    <t>Компютри и хардуер за нуждите на РИМ Велико Търново</t>
  </si>
  <si>
    <t>Компютри и хардуер за нуждите на РБ "П.Р.Славейков"</t>
  </si>
  <si>
    <t>Билборд, информационно табло по проект "Разширение на Мултимедиен посетителски център "Царевград Търнов" по ОП „Региони в растеж“ 2014-2020г., №BG16RFOP001-1.009-0007 /код 98/</t>
  </si>
  <si>
    <t>Билборд, информационно табло по проект "Реконструкция и обновяване на музей "Възраждане" и "Учредително събрание" по ОП „Региони в растеж“ 2014-2020г., №BG16RFOP001-1.009-0006 /код 98/</t>
  </si>
  <si>
    <t>ПЕГ "Проф. д-р Асен Златаров", гр. В. Търново - тенис маси</t>
  </si>
  <si>
    <t xml:space="preserve">Спортно училище "Г. Живков", гр. В. Търново - гребен тренажор </t>
  </si>
  <si>
    <t>Мобилни осветителни и озвучителни кули АМР "Царевец" КТМД Дирекция</t>
  </si>
  <si>
    <t>Газов котел- РИМ Велико Търново</t>
  </si>
  <si>
    <t>Видеонаблюдение за Изложбени зали "Рафаел Михайлов"</t>
  </si>
  <si>
    <t>"Оркестрина" парк "Дружба"</t>
  </si>
  <si>
    <t>Преместваем обект /павилион/ пред АМР "Царевец"</t>
  </si>
  <si>
    <t>ДКС "Васил Левски"- климатици</t>
  </si>
  <si>
    <t>ОП "Спортни имоти и прояви"- басейн "Радио"</t>
  </si>
  <si>
    <t>ОП "Спортни имоти и прояви"- климатици</t>
  </si>
  <si>
    <t>Тематични композиции с фигури, декори и стенописи по проект "Разширение на Мултимедиен посетителски център "Царевград Търнов" по ОП „Региони в растеж“ 2014-2020г., №BG16RFOP001-1.009-0007 /код 98/</t>
  </si>
  <si>
    <t>Стопански инвентар за нуждите на РИМ Велико Търново</t>
  </si>
  <si>
    <t>Стопански инвентар за нуждите на РБ "П.Р.Славейков"</t>
  </si>
  <si>
    <t>Изграждане на скулптури "Глухарчета" в открити градски пространства КТМД Дирекция</t>
  </si>
  <si>
    <t>Макет на хълм "Царевец"</t>
  </si>
  <si>
    <t>Изграждане на асфалтов пъмп трак в УПИ XI-3779, кв. 237, гр. Велико Търново</t>
  </si>
  <si>
    <t>Откупки на художествени произведения на Великотърновска тематика  на стари и съвременни автори, след оценка на художествен съвет КТМД Дирекция</t>
  </si>
  <si>
    <t>Хардуер за контролен център, паркинг система и информационни табла за електробуси по проект "Интегриран градски транспорт на гр. Велико Търново по ОП „Региони в растеж“ 2014-2020г." BG16RFOP001-1.009-0005-C01 /код 98/</t>
  </si>
  <si>
    <t>Контролен център, паркинг система и информационни табла за електробуси по проект "Интегриран градски транспорт на гр. Велико Търново по ОП „Региони в растеж“ 2014-2020г." BG16RFOP001-1.009-0005-C01 /код 98/</t>
  </si>
  <si>
    <t>Изграждане на пешеходен надлез на ул. "Магистрална" и информационни табла на спирки на обществения градски транспорт по проект "Интегриран градски транспорт на гр. Велико Търново по ОП „Региони в растеж“ 2014-2020г." BG16RFOP001-1.009-0005-C01 /код 98/</t>
  </si>
  <si>
    <t xml:space="preserve">Изграждане на трафопост за захранване на буферен паркинг "Френхисар" </t>
  </si>
  <si>
    <t>Монтаж на цистерна за вода на приют за бездомни животни</t>
  </si>
  <si>
    <t>Изграждане на буферен паркинг "Френхисар" и "Сержантско училище" по проект "Интегриран градски транспорт на гр. Велико Търново по ОП „Региони в растеж“ 2014-2020г." BG16RFOP001-1.009-0005-C01 /код 98/</t>
  </si>
  <si>
    <t>5300  НМДА  Придобиване на НМДА</t>
  </si>
  <si>
    <t>5301- Придобиване на програмни продукти и лицензи за програмни продукти</t>
  </si>
  <si>
    <t>Софтуерни функционалности за управление на общинска собственост</t>
  </si>
  <si>
    <t>Внедряване на модул Archimed WebCheck</t>
  </si>
  <si>
    <t>Надграждане на интеграционната платформа за е-City</t>
  </si>
  <si>
    <t>Софтуерни лицензи в РБ „П.Р.Славейков“, гр. Велико Търново</t>
  </si>
  <si>
    <t>ДКС "Васил Левски"-Лиценз Бизнеснавигатор</t>
  </si>
  <si>
    <t>Софтуер за контролен център, паркинг система и информационни табла за електробуси по проект "Интегриран градски транспорт на гр. Велико Търново по ОП „Региони в растеж“ 2014-2020г." BG16RFOP001-1.009-0005-C01 /код 98/</t>
  </si>
  <si>
    <t>Надграждане на интеграционната платформа за модул SMS паркиране</t>
  </si>
  <si>
    <t>5400 ПРИДОБИВАНЕ НА ЗЕМЯ</t>
  </si>
  <si>
    <t>Отчуждаване на части от недвижими имоти частна собственост за прилагане на линейна инфраструктура и за други общински нужди</t>
  </si>
  <si>
    <t>Отчуждаване на части от недвижими имоти частна собственост за гробищни паркове</t>
  </si>
  <si>
    <t>5500 Капиталови трансфери</t>
  </si>
  <si>
    <t>5503 Капиталови трансфери за организации с нестопанска цел</t>
  </si>
  <si>
    <t>Георги Камарашев</t>
  </si>
  <si>
    <t>Зам. - кмет "Строителство и устройство на територията "</t>
  </si>
  <si>
    <t>инж. Динко Кечев</t>
  </si>
  <si>
    <t>Директор дирекция СУТ</t>
  </si>
  <si>
    <t>П. Христов</t>
  </si>
  <si>
    <t>Началник отдел ИТО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</si>
</sst>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Hebar"/>
      <charset val="204"/>
    </font>
    <font>
      <i/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MS Sans Serif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10" fillId="0" borderId="0"/>
    <xf numFmtId="0" fontId="2" fillId="0" borderId="0"/>
  </cellStyleXfs>
  <cellXfs count="52">
    <xf numFmtId="0" fontId="0" fillId="0" borderId="0" xfId="0"/>
    <xf numFmtId="0" fontId="1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7" fillId="0" borderId="0" xfId="0" applyFont="1" applyFill="1"/>
    <xf numFmtId="0" fontId="3" fillId="0" borderId="0" xfId="3" applyFont="1" applyFill="1" applyBorder="1" applyAlignment="1">
      <alignment wrapText="1"/>
    </xf>
    <xf numFmtId="0" fontId="3" fillId="0" borderId="0" xfId="4" applyFont="1" applyFill="1" applyAlignment="1"/>
    <xf numFmtId="0" fontId="3" fillId="0" borderId="0" xfId="4" applyFont="1" applyFill="1" applyAlignment="1">
      <alignment wrapText="1"/>
    </xf>
    <xf numFmtId="0" fontId="3" fillId="0" borderId="0" xfId="4" applyFont="1" applyFill="1"/>
    <xf numFmtId="0" fontId="3" fillId="0" borderId="0" xfId="4" applyFont="1" applyFill="1" applyBorder="1" applyAlignment="1">
      <alignment wrapText="1"/>
    </xf>
    <xf numFmtId="0" fontId="3" fillId="0" borderId="0" xfId="4" applyFont="1" applyFill="1" applyBorder="1"/>
    <xf numFmtId="0" fontId="8" fillId="0" borderId="0" xfId="4" applyFont="1" applyFill="1" applyBorder="1"/>
    <xf numFmtId="0" fontId="9" fillId="0" borderId="0" xfId="4" applyFont="1" applyFill="1" applyBorder="1" applyAlignment="1">
      <alignment horizontal="right"/>
    </xf>
    <xf numFmtId="0" fontId="1" fillId="0" borderId="0" xfId="4" applyFont="1" applyFill="1" applyBorder="1" applyAlignment="1">
      <alignment horizontal="right"/>
    </xf>
    <xf numFmtId="0" fontId="1" fillId="0" borderId="0" xfId="4" applyFont="1" applyFill="1" applyBorder="1" applyAlignment="1">
      <alignment horizontal="centerContinuous"/>
    </xf>
    <xf numFmtId="0" fontId="1" fillId="0" borderId="0" xfId="4" applyFont="1" applyFill="1"/>
    <xf numFmtId="0" fontId="1" fillId="0" borderId="0" xfId="4" applyNumberFormat="1" applyFont="1" applyFill="1" applyBorder="1" applyAlignment="1">
      <alignment horizontal="centerContinuous"/>
    </xf>
    <xf numFmtId="0" fontId="1" fillId="0" borderId="0" xfId="4" applyNumberFormat="1" applyFont="1" applyFill="1" applyBorder="1" applyAlignment="1">
      <alignment horizontal="left"/>
    </xf>
    <xf numFmtId="0" fontId="1" fillId="0" borderId="0" xfId="4" applyFont="1" applyFill="1" applyBorder="1" applyAlignment="1">
      <alignment horizontal="center"/>
    </xf>
    <xf numFmtId="0" fontId="1" fillId="0" borderId="0" xfId="4" applyFont="1" applyFill="1" applyBorder="1" applyAlignment="1"/>
    <xf numFmtId="0" fontId="1" fillId="0" borderId="1" xfId="1" applyFont="1" applyFill="1" applyBorder="1" applyAlignment="1">
      <alignment horizontal="center" vertical="center"/>
    </xf>
    <xf numFmtId="0" fontId="1" fillId="0" borderId="1" xfId="4" applyFont="1" applyFill="1" applyBorder="1" applyAlignment="1">
      <alignment horizontal="center" wrapText="1"/>
    </xf>
    <xf numFmtId="3" fontId="1" fillId="0" borderId="1" xfId="4" applyNumberFormat="1" applyFont="1" applyFill="1" applyBorder="1" applyAlignment="1">
      <alignment horizontal="center" wrapText="1"/>
    </xf>
    <xf numFmtId="0" fontId="1" fillId="0" borderId="2" xfId="1" applyFont="1" applyFill="1" applyBorder="1" applyAlignment="1">
      <alignment horizontal="center" vertical="center"/>
    </xf>
    <xf numFmtId="0" fontId="1" fillId="0" borderId="2" xfId="4" applyFont="1" applyFill="1" applyBorder="1" applyAlignment="1">
      <alignment horizontal="center" wrapText="1"/>
    </xf>
    <xf numFmtId="3" fontId="1" fillId="0" borderId="2" xfId="3" applyNumberFormat="1" applyFont="1" applyFill="1" applyBorder="1" applyAlignment="1">
      <alignment horizontal="center" wrapText="1"/>
    </xf>
    <xf numFmtId="3" fontId="1" fillId="0" borderId="2" xfId="3" applyNumberFormat="1" applyFont="1" applyFill="1" applyBorder="1"/>
    <xf numFmtId="0" fontId="1" fillId="0" borderId="0" xfId="4" applyFont="1" applyFill="1" applyBorder="1"/>
    <xf numFmtId="0" fontId="1" fillId="0" borderId="1" xfId="3" applyFont="1" applyFill="1" applyBorder="1" applyAlignment="1">
      <alignment wrapText="1"/>
    </xf>
    <xf numFmtId="3" fontId="1" fillId="0" borderId="1" xfId="3" applyNumberFormat="1" applyFont="1" applyFill="1" applyBorder="1"/>
    <xf numFmtId="3" fontId="1" fillId="0" borderId="1" xfId="3" applyNumberFormat="1" applyFont="1" applyFill="1" applyBorder="1" applyAlignment="1"/>
    <xf numFmtId="0" fontId="3" fillId="0" borderId="1" xfId="4" applyFont="1" applyFill="1" applyBorder="1" applyAlignment="1">
      <alignment wrapText="1"/>
    </xf>
    <xf numFmtId="3" fontId="3" fillId="0" borderId="1" xfId="3" applyNumberFormat="1" applyFont="1" applyFill="1" applyBorder="1" applyAlignment="1"/>
    <xf numFmtId="0" fontId="1" fillId="0" borderId="1" xfId="4" applyFont="1" applyFill="1" applyBorder="1" applyAlignment="1">
      <alignment wrapText="1"/>
    </xf>
    <xf numFmtId="0" fontId="3" fillId="0" borderId="1" xfId="3" applyFont="1" applyFill="1" applyBorder="1" applyAlignment="1">
      <alignment wrapText="1"/>
    </xf>
    <xf numFmtId="3" fontId="3" fillId="0" borderId="1" xfId="3" applyNumberFormat="1" applyFont="1" applyFill="1" applyBorder="1"/>
    <xf numFmtId="0" fontId="3" fillId="0" borderId="1" xfId="5" applyFont="1" applyFill="1" applyBorder="1" applyAlignment="1">
      <alignment vertical="center" wrapText="1"/>
    </xf>
    <xf numFmtId="0" fontId="3" fillId="0" borderId="1" xfId="1" applyFont="1" applyFill="1" applyBorder="1" applyAlignment="1">
      <alignment horizontal="left" wrapText="1"/>
    </xf>
    <xf numFmtId="0" fontId="3" fillId="0" borderId="1" xfId="1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3" fillId="0" borderId="1" xfId="3" applyFont="1" applyFill="1" applyBorder="1" applyAlignment="1">
      <alignment horizontal="left" wrapText="1"/>
    </xf>
    <xf numFmtId="3" fontId="3" fillId="0" borderId="1" xfId="3" applyNumberFormat="1" applyFont="1" applyFill="1" applyBorder="1" applyAlignment="1">
      <alignment horizontal="right"/>
    </xf>
    <xf numFmtId="3" fontId="3" fillId="0" borderId="1" xfId="0" applyNumberFormat="1" applyFont="1" applyFill="1" applyBorder="1"/>
    <xf numFmtId="0" fontId="1" fillId="0" borderId="1" xfId="1" applyFont="1" applyFill="1" applyBorder="1" applyAlignment="1">
      <alignment wrapText="1"/>
    </xf>
    <xf numFmtId="3" fontId="3" fillId="0" borderId="0" xfId="4" applyNumberFormat="1" applyFont="1" applyFill="1"/>
    <xf numFmtId="0" fontId="3" fillId="0" borderId="0" xfId="5" applyFont="1" applyFill="1" applyBorder="1" applyAlignment="1">
      <alignment vertical="center" wrapText="1"/>
    </xf>
    <xf numFmtId="0" fontId="3" fillId="0" borderId="0" xfId="6" applyFont="1" applyFill="1" applyAlignment="1"/>
    <xf numFmtId="0" fontId="1" fillId="0" borderId="0" xfId="6" applyFont="1" applyFill="1" applyAlignment="1"/>
    <xf numFmtId="0" fontId="5" fillId="0" borderId="0" xfId="6" applyFont="1" applyFill="1" applyAlignment="1"/>
    <xf numFmtId="0" fontId="1" fillId="0" borderId="0" xfId="6" applyFont="1" applyFill="1" applyBorder="1" applyAlignment="1"/>
    <xf numFmtId="0" fontId="5" fillId="0" borderId="0" xfId="4" applyFont="1" applyFill="1" applyAlignment="1"/>
  </cellXfs>
  <cellStyles count="7">
    <cellStyle name="Normal_EBK_PROJECT_2001-last" xfId="2"/>
    <cellStyle name="Normal_Sheet1" xfId="5"/>
    <cellStyle name="Нормален" xfId="0" builtinId="0"/>
    <cellStyle name="Нормален 2" xfId="1"/>
    <cellStyle name="Нормален 3 2" xfId="6"/>
    <cellStyle name="Нормален_ИП-2011г-начална 2" xfId="4"/>
    <cellStyle name="Нормален_Лист1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f11\d\budget_c\Budget_2019\Pril20-Prognoza_2017_54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f11\d\budget_c\Budget_2018\&#1057;&#1045;&#1057;&#1048;&#1071;%20&#1041;&#1070;&#1044;&#1046;&#1045;&#1058;%202018%20-%20&#1042;&#1053;&#1045;&#1057;&#1045;&#1053;&#1040;%20&#1042;&#1066;&#1042;%20&#1042;&#1058;&#1054;&#1041;&#1057;\Pril20-Prognoza_2017_54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9\Pril20-Prognoza_2017_54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8\&#1057;&#1045;&#1057;&#1048;&#1071;%20&#1041;&#1070;&#1044;&#1046;&#1045;&#1058;%202018%20-%20&#1042;&#1053;&#1045;&#1057;&#1045;&#1053;&#1040;%20&#1042;&#1066;&#1042;%20&#1042;&#1058;&#1054;&#1041;&#1057;\Pril20-Prognoza_2017_54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8\Sesija%20BUDGET%202018%20-%20&#1042;&#1053;&#1045;&#1057;&#1045;&#1053;&#1040;%20&#1042;&#1066;&#1042;%20&#1042;&#1058;&#1054;&#1041;&#1057;\Pril20-Prognoza_2017_54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</row>
        <row r="284">
          <cell r="A284" t="str">
            <v>КФ - ОП "Околна среда"</v>
          </cell>
        </row>
        <row r="285">
          <cell r="A285" t="str">
            <v>ЕФРР - ОП "Транспорт и транспортна инфраструктура"</v>
          </cell>
        </row>
        <row r="286">
          <cell r="A286" t="str">
            <v>ЕФРР - ОП "Региони в растеж"</v>
          </cell>
        </row>
        <row r="287">
          <cell r="A287" t="str">
            <v>ЕФРР - ОП "Наука и образование за интелигентен растеж"</v>
          </cell>
        </row>
        <row r="288">
          <cell r="A288" t="str">
            <v>ЕФРР - ОП "Иновации и конкурентоспособност "</v>
          </cell>
        </row>
        <row r="289">
          <cell r="A289" t="str">
            <v>ЕФРР - ОП "Околна среда"</v>
          </cell>
        </row>
        <row r="290">
          <cell r="A290" t="str">
            <v>ЕФРР - ОП "Инициатива за малки и средни предприятия"</v>
          </cell>
        </row>
        <row r="291">
          <cell r="A291" t="str">
            <v>ЕСФ - ОП "Развитие на човешките ресурси"</v>
          </cell>
        </row>
        <row r="292">
          <cell r="A292" t="str">
            <v>ЕСФ - ОП "Добро управление"</v>
          </cell>
        </row>
        <row r="293">
          <cell r="A293" t="str">
            <v>ЕСФ - ОП "Наука и образование за интелигентен растеж"</v>
          </cell>
        </row>
        <row r="294">
          <cell r="A294" t="str">
            <v xml:space="preserve">ОП "Фонд за европейско подпомагане на най-нуждаещите се лица" 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</row>
        <row r="297">
          <cell r="A297" t="str">
            <v>КФ - ОП "ОКОЛНА СРЕДА"</v>
          </cell>
        </row>
        <row r="298">
          <cell r="A298" t="str">
            <v>ЕФРР - ОП "ТРАНСПОРТ"</v>
          </cell>
        </row>
        <row r="299">
          <cell r="A299" t="str">
            <v>ЕФРР - ОП "РЕГИОНАЛНО РАЗВИТИЕ"</v>
          </cell>
        </row>
        <row r="300">
          <cell r="A300" t="str">
            <v>ЕФРР - ОП "КОНКУРЕНТНОСПОСОБНОСТ"</v>
          </cell>
        </row>
        <row r="301">
          <cell r="A301" t="str">
            <v>ЕФРР - ОП "ОКОЛНА СРЕДА"</v>
          </cell>
        </row>
        <row r="302">
          <cell r="A302" t="str">
            <v>ЕФРР - ОП "ТЕХНИЧЕСКА ПОМОЩ"</v>
          </cell>
        </row>
        <row r="303">
          <cell r="A303" t="str">
            <v>ЕСФ - ОП "ЧОВЕШКИ РЕСУРСИ"</v>
          </cell>
        </row>
        <row r="304">
          <cell r="A304" t="str">
            <v>ЕСФ - ОП "АДМИНИСТРАТИВЕН КАПАЦИТЕТ"</v>
          </cell>
        </row>
      </sheetData>
      <sheetData sheetId="3">
        <row r="1">
          <cell r="A1" t="str">
            <v>Изберете група</v>
          </cell>
        </row>
      </sheetData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</row>
        <row r="284">
          <cell r="A284" t="str">
            <v>КФ - ОП "Околна среда"</v>
          </cell>
        </row>
        <row r="285">
          <cell r="A285" t="str">
            <v>ЕФРР - ОП "Транспорт и транспортна инфраструктура"</v>
          </cell>
        </row>
        <row r="286">
          <cell r="A286" t="str">
            <v>ЕФРР - ОП "Региони в растеж"</v>
          </cell>
        </row>
        <row r="287">
          <cell r="A287" t="str">
            <v>ЕФРР - ОП "Наука и образование за интелигентен растеж"</v>
          </cell>
        </row>
        <row r="288">
          <cell r="A288" t="str">
            <v>ЕФРР - ОП "Иновации и конкурентоспособност "</v>
          </cell>
        </row>
        <row r="289">
          <cell r="A289" t="str">
            <v>ЕФРР - ОП "Околна среда"</v>
          </cell>
        </row>
        <row r="290">
          <cell r="A290" t="str">
            <v>ЕФРР - ОП "Инициатива за малки и средни предприятия"</v>
          </cell>
        </row>
        <row r="291">
          <cell r="A291" t="str">
            <v>ЕСФ - ОП "Развитие на човешките ресурси"</v>
          </cell>
        </row>
        <row r="292">
          <cell r="A292" t="str">
            <v>ЕСФ - ОП "Добро управление"</v>
          </cell>
        </row>
        <row r="293">
          <cell r="A293" t="str">
            <v>ЕСФ - ОП "Наука и образование за интелигентен растеж"</v>
          </cell>
        </row>
        <row r="294">
          <cell r="A294" t="str">
            <v xml:space="preserve">ОП "Фонд за европейско подпомагане на най-нуждаещите се лица" 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</row>
        <row r="297">
          <cell r="A297" t="str">
            <v>КФ - ОП "ОКОЛНА СРЕДА"</v>
          </cell>
        </row>
        <row r="298">
          <cell r="A298" t="str">
            <v>ЕФРР - ОП "ТРАНСПОРТ"</v>
          </cell>
        </row>
        <row r="299">
          <cell r="A299" t="str">
            <v>ЕФРР - ОП "РЕГИОНАЛНО РАЗВИТИЕ"</v>
          </cell>
        </row>
        <row r="300">
          <cell r="A300" t="str">
            <v>ЕФРР - ОП "КОНКУРЕНТНОСПОСОБНОСТ"</v>
          </cell>
        </row>
        <row r="301">
          <cell r="A301" t="str">
            <v>ЕФРР - ОП "ОКОЛНА СРЕДА"</v>
          </cell>
        </row>
        <row r="302">
          <cell r="A302" t="str">
            <v>ЕФРР - ОП "ТЕХНИЧЕСКА ПОМОЩ"</v>
          </cell>
        </row>
        <row r="303">
          <cell r="A303" t="str">
            <v>ЕСФ - ОП "ЧОВЕШКИ РЕСУРСИ"</v>
          </cell>
        </row>
        <row r="304">
          <cell r="A304" t="str">
            <v>ЕСФ - ОП "АДМИНИСТРАТИВЕН КАПАЦИТЕТ"</v>
          </cell>
        </row>
      </sheetData>
      <sheetData sheetId="3">
        <row r="1">
          <cell r="A1" t="str">
            <v>Изберете група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F384"/>
  <sheetViews>
    <sheetView tabSelected="1" zoomScaleNormal="100" workbookViewId="0">
      <pane xSplit="1" ySplit="7" topLeftCell="B8" activePane="bottomRight" state="frozen"/>
      <selection activeCell="H415" sqref="H415"/>
      <selection pane="topRight" activeCell="H415" sqref="H415"/>
      <selection pane="bottomLeft" activeCell="H415" sqref="H415"/>
      <selection pane="bottomRight" activeCell="C7" sqref="C7"/>
    </sheetView>
  </sheetViews>
  <sheetFormatPr defaultColWidth="15.5703125" defaultRowHeight="15.75"/>
  <cols>
    <col min="1" max="1" width="53.42578125" style="8" customWidth="1"/>
    <col min="2" max="4" width="12.5703125" style="9" customWidth="1"/>
    <col min="5" max="7" width="15.5703125" style="9" customWidth="1"/>
    <col min="8" max="10" width="17.7109375" style="9" customWidth="1"/>
    <col min="11" max="13" width="12" style="9" customWidth="1"/>
    <col min="14" max="16" width="14.7109375" style="9" customWidth="1"/>
    <col min="17" max="19" width="10.85546875" style="9" customWidth="1"/>
    <col min="20" max="22" width="16.28515625" style="9" customWidth="1"/>
    <col min="23" max="25" width="12.7109375" style="9" customWidth="1"/>
    <col min="26" max="27" width="15.28515625" style="9" customWidth="1"/>
    <col min="28" max="28" width="12.7109375" style="9" customWidth="1"/>
    <col min="29" max="167" width="29.28515625" style="9" customWidth="1"/>
    <col min="168" max="168" width="42.42578125" style="9" customWidth="1"/>
    <col min="169" max="171" width="12.42578125" style="9" customWidth="1"/>
    <col min="172" max="174" width="10.85546875" style="9" customWidth="1"/>
    <col min="175" max="177" width="14.5703125" style="9" bestFit="1" customWidth="1"/>
    <col min="178" max="180" width="11" style="9" customWidth="1"/>
    <col min="181" max="183" width="14.5703125" style="9" customWidth="1"/>
    <col min="184" max="186" width="15.28515625" style="9" customWidth="1"/>
    <col min="187" max="187" width="15.5703125" style="9"/>
    <col min="188" max="188" width="44.5703125" style="9" customWidth="1"/>
    <col min="189" max="189" width="13.85546875" style="9" customWidth="1"/>
    <col min="190" max="190" width="10.85546875" style="9" customWidth="1"/>
    <col min="191" max="191" width="14.5703125" style="9" customWidth="1"/>
    <col min="192" max="192" width="11" style="9" customWidth="1"/>
    <col min="193" max="193" width="10.85546875" style="9" customWidth="1"/>
    <col min="194" max="194" width="14.5703125" style="9" customWidth="1"/>
    <col min="195" max="196" width="15.5703125" style="9" customWidth="1"/>
    <col min="197" max="197" width="17.7109375" style="9" customWidth="1"/>
    <col min="198" max="423" width="29.28515625" style="9" customWidth="1"/>
    <col min="424" max="424" width="42.42578125" style="9" customWidth="1"/>
    <col min="425" max="427" width="12.42578125" style="9" customWidth="1"/>
    <col min="428" max="430" width="10.85546875" style="9" customWidth="1"/>
    <col min="431" max="433" width="14.5703125" style="9" bestFit="1" customWidth="1"/>
    <col min="434" max="436" width="11" style="9" customWidth="1"/>
    <col min="437" max="439" width="14.5703125" style="9" customWidth="1"/>
    <col min="440" max="442" width="15.28515625" style="9" customWidth="1"/>
    <col min="443" max="443" width="15.5703125" style="9"/>
    <col min="444" max="444" width="44.5703125" style="9" customWidth="1"/>
    <col min="445" max="445" width="13.85546875" style="9" customWidth="1"/>
    <col min="446" max="446" width="10.85546875" style="9" customWidth="1"/>
    <col min="447" max="447" width="14.5703125" style="9" customWidth="1"/>
    <col min="448" max="448" width="11" style="9" customWidth="1"/>
    <col min="449" max="449" width="10.85546875" style="9" customWidth="1"/>
    <col min="450" max="450" width="14.5703125" style="9" customWidth="1"/>
    <col min="451" max="452" width="15.5703125" style="9" customWidth="1"/>
    <col min="453" max="453" width="17.7109375" style="9" customWidth="1"/>
    <col min="454" max="679" width="29.28515625" style="9" customWidth="1"/>
    <col min="680" max="680" width="42.42578125" style="9" customWidth="1"/>
    <col min="681" max="683" width="12.42578125" style="9" customWidth="1"/>
    <col min="684" max="686" width="10.85546875" style="9" customWidth="1"/>
    <col min="687" max="689" width="14.5703125" style="9" bestFit="1" customWidth="1"/>
    <col min="690" max="692" width="11" style="9" customWidth="1"/>
    <col min="693" max="695" width="14.5703125" style="9" customWidth="1"/>
    <col min="696" max="698" width="15.28515625" style="9" customWidth="1"/>
    <col min="699" max="699" width="15.5703125" style="9"/>
    <col min="700" max="700" width="44.5703125" style="9" customWidth="1"/>
    <col min="701" max="701" width="13.85546875" style="9" customWidth="1"/>
    <col min="702" max="702" width="10.85546875" style="9" customWidth="1"/>
    <col min="703" max="703" width="14.5703125" style="9" customWidth="1"/>
    <col min="704" max="704" width="11" style="9" customWidth="1"/>
    <col min="705" max="705" width="10.85546875" style="9" customWidth="1"/>
    <col min="706" max="706" width="14.5703125" style="9" customWidth="1"/>
    <col min="707" max="708" width="15.5703125" style="9" customWidth="1"/>
    <col min="709" max="709" width="17.7109375" style="9" customWidth="1"/>
    <col min="710" max="935" width="29.28515625" style="9" customWidth="1"/>
    <col min="936" max="936" width="42.42578125" style="9" customWidth="1"/>
    <col min="937" max="939" width="12.42578125" style="9" customWidth="1"/>
    <col min="940" max="942" width="10.85546875" style="9" customWidth="1"/>
    <col min="943" max="945" width="14.5703125" style="9" bestFit="1" customWidth="1"/>
    <col min="946" max="948" width="11" style="9" customWidth="1"/>
    <col min="949" max="951" width="14.5703125" style="9" customWidth="1"/>
    <col min="952" max="954" width="15.28515625" style="9" customWidth="1"/>
    <col min="955" max="955" width="15.5703125" style="9"/>
    <col min="956" max="956" width="44.5703125" style="9" customWidth="1"/>
    <col min="957" max="957" width="13.85546875" style="9" customWidth="1"/>
    <col min="958" max="958" width="10.85546875" style="9" customWidth="1"/>
    <col min="959" max="959" width="14.5703125" style="9" customWidth="1"/>
    <col min="960" max="960" width="11" style="9" customWidth="1"/>
    <col min="961" max="961" width="10.85546875" style="9" customWidth="1"/>
    <col min="962" max="962" width="14.5703125" style="9" customWidth="1"/>
    <col min="963" max="964" width="15.5703125" style="9" customWidth="1"/>
    <col min="965" max="965" width="17.7109375" style="9" customWidth="1"/>
    <col min="966" max="1191" width="29.28515625" style="9" customWidth="1"/>
    <col min="1192" max="1192" width="42.42578125" style="9" customWidth="1"/>
    <col min="1193" max="1195" width="12.42578125" style="9" customWidth="1"/>
    <col min="1196" max="1198" width="10.85546875" style="9" customWidth="1"/>
    <col min="1199" max="1201" width="14.5703125" style="9" bestFit="1" customWidth="1"/>
    <col min="1202" max="1204" width="11" style="9" customWidth="1"/>
    <col min="1205" max="1207" width="14.5703125" style="9" customWidth="1"/>
    <col min="1208" max="1210" width="15.28515625" style="9" customWidth="1"/>
    <col min="1211" max="1211" width="15.5703125" style="9"/>
    <col min="1212" max="1212" width="44.5703125" style="9" customWidth="1"/>
    <col min="1213" max="1213" width="13.85546875" style="9" customWidth="1"/>
    <col min="1214" max="1214" width="10.85546875" style="9" customWidth="1"/>
    <col min="1215" max="1215" width="14.5703125" style="9" customWidth="1"/>
    <col min="1216" max="1216" width="11" style="9" customWidth="1"/>
    <col min="1217" max="1217" width="10.85546875" style="9" customWidth="1"/>
    <col min="1218" max="1218" width="14.5703125" style="9" customWidth="1"/>
    <col min="1219" max="1220" width="15.5703125" style="9" customWidth="1"/>
    <col min="1221" max="1221" width="17.7109375" style="9" customWidth="1"/>
    <col min="1222" max="1447" width="29.28515625" style="9" customWidth="1"/>
    <col min="1448" max="1448" width="42.42578125" style="9" customWidth="1"/>
    <col min="1449" max="1451" width="12.42578125" style="9" customWidth="1"/>
    <col min="1452" max="1454" width="10.85546875" style="9" customWidth="1"/>
    <col min="1455" max="1457" width="14.5703125" style="9" bestFit="1" customWidth="1"/>
    <col min="1458" max="1460" width="11" style="9" customWidth="1"/>
    <col min="1461" max="1463" width="14.5703125" style="9" customWidth="1"/>
    <col min="1464" max="1466" width="15.28515625" style="9" customWidth="1"/>
    <col min="1467" max="1467" width="15.5703125" style="9"/>
    <col min="1468" max="1468" width="44.5703125" style="9" customWidth="1"/>
    <col min="1469" max="1469" width="13.85546875" style="9" customWidth="1"/>
    <col min="1470" max="1470" width="10.85546875" style="9" customWidth="1"/>
    <col min="1471" max="1471" width="14.5703125" style="9" customWidth="1"/>
    <col min="1472" max="1472" width="11" style="9" customWidth="1"/>
    <col min="1473" max="1473" width="10.85546875" style="9" customWidth="1"/>
    <col min="1474" max="1474" width="14.5703125" style="9" customWidth="1"/>
    <col min="1475" max="1476" width="15.5703125" style="9" customWidth="1"/>
    <col min="1477" max="1477" width="17.7109375" style="9" customWidth="1"/>
    <col min="1478" max="1703" width="29.28515625" style="9" customWidth="1"/>
    <col min="1704" max="1704" width="42.42578125" style="9" customWidth="1"/>
    <col min="1705" max="1707" width="12.42578125" style="9" customWidth="1"/>
    <col min="1708" max="1710" width="10.85546875" style="9" customWidth="1"/>
    <col min="1711" max="1713" width="14.5703125" style="9" bestFit="1" customWidth="1"/>
    <col min="1714" max="1716" width="11" style="9" customWidth="1"/>
    <col min="1717" max="1719" width="14.5703125" style="9" customWidth="1"/>
    <col min="1720" max="1722" width="15.28515625" style="9" customWidth="1"/>
    <col min="1723" max="1723" width="15.5703125" style="9"/>
    <col min="1724" max="1724" width="44.5703125" style="9" customWidth="1"/>
    <col min="1725" max="1725" width="13.85546875" style="9" customWidth="1"/>
    <col min="1726" max="1726" width="10.85546875" style="9" customWidth="1"/>
    <col min="1727" max="1727" width="14.5703125" style="9" customWidth="1"/>
    <col min="1728" max="1728" width="11" style="9" customWidth="1"/>
    <col min="1729" max="1729" width="10.85546875" style="9" customWidth="1"/>
    <col min="1730" max="1730" width="14.5703125" style="9" customWidth="1"/>
    <col min="1731" max="1732" width="15.5703125" style="9" customWidth="1"/>
    <col min="1733" max="1733" width="17.7109375" style="9" customWidth="1"/>
    <col min="1734" max="1959" width="29.28515625" style="9" customWidth="1"/>
    <col min="1960" max="1960" width="42.42578125" style="9" customWidth="1"/>
    <col min="1961" max="1963" width="12.42578125" style="9" customWidth="1"/>
    <col min="1964" max="1966" width="10.85546875" style="9" customWidth="1"/>
    <col min="1967" max="1969" width="14.5703125" style="9" bestFit="1" customWidth="1"/>
    <col min="1970" max="1972" width="11" style="9" customWidth="1"/>
    <col min="1973" max="1975" width="14.5703125" style="9" customWidth="1"/>
    <col min="1976" max="1978" width="15.28515625" style="9" customWidth="1"/>
    <col min="1979" max="1979" width="15.5703125" style="9"/>
    <col min="1980" max="1980" width="44.5703125" style="9" customWidth="1"/>
    <col min="1981" max="1981" width="13.85546875" style="9" customWidth="1"/>
    <col min="1982" max="1982" width="10.85546875" style="9" customWidth="1"/>
    <col min="1983" max="1983" width="14.5703125" style="9" customWidth="1"/>
    <col min="1984" max="1984" width="11" style="9" customWidth="1"/>
    <col min="1985" max="1985" width="10.85546875" style="9" customWidth="1"/>
    <col min="1986" max="1986" width="14.5703125" style="9" customWidth="1"/>
    <col min="1987" max="1988" width="15.5703125" style="9" customWidth="1"/>
    <col min="1989" max="1989" width="17.7109375" style="9" customWidth="1"/>
    <col min="1990" max="2215" width="29.28515625" style="9" customWidth="1"/>
    <col min="2216" max="2216" width="42.42578125" style="9" customWidth="1"/>
    <col min="2217" max="2219" width="12.42578125" style="9" customWidth="1"/>
    <col min="2220" max="2222" width="10.85546875" style="9" customWidth="1"/>
    <col min="2223" max="2225" width="14.5703125" style="9" bestFit="1" customWidth="1"/>
    <col min="2226" max="2228" width="11" style="9" customWidth="1"/>
    <col min="2229" max="2231" width="14.5703125" style="9" customWidth="1"/>
    <col min="2232" max="2234" width="15.28515625" style="9" customWidth="1"/>
    <col min="2235" max="2235" width="15.5703125" style="9"/>
    <col min="2236" max="2236" width="44.5703125" style="9" customWidth="1"/>
    <col min="2237" max="2237" width="13.85546875" style="9" customWidth="1"/>
    <col min="2238" max="2238" width="10.85546875" style="9" customWidth="1"/>
    <col min="2239" max="2239" width="14.5703125" style="9" customWidth="1"/>
    <col min="2240" max="2240" width="11" style="9" customWidth="1"/>
    <col min="2241" max="2241" width="10.85546875" style="9" customWidth="1"/>
    <col min="2242" max="2242" width="14.5703125" style="9" customWidth="1"/>
    <col min="2243" max="2244" width="15.5703125" style="9" customWidth="1"/>
    <col min="2245" max="2245" width="17.7109375" style="9" customWidth="1"/>
    <col min="2246" max="2471" width="29.28515625" style="9" customWidth="1"/>
    <col min="2472" max="2472" width="42.42578125" style="9" customWidth="1"/>
    <col min="2473" max="2475" width="12.42578125" style="9" customWidth="1"/>
    <col min="2476" max="2478" width="10.85546875" style="9" customWidth="1"/>
    <col min="2479" max="2481" width="14.5703125" style="9" bestFit="1" customWidth="1"/>
    <col min="2482" max="2484" width="11" style="9" customWidth="1"/>
    <col min="2485" max="2487" width="14.5703125" style="9" customWidth="1"/>
    <col min="2488" max="2490" width="15.28515625" style="9" customWidth="1"/>
    <col min="2491" max="2491" width="15.5703125" style="9"/>
    <col min="2492" max="2492" width="44.5703125" style="9" customWidth="1"/>
    <col min="2493" max="2493" width="13.85546875" style="9" customWidth="1"/>
    <col min="2494" max="2494" width="10.85546875" style="9" customWidth="1"/>
    <col min="2495" max="2495" width="14.5703125" style="9" customWidth="1"/>
    <col min="2496" max="2496" width="11" style="9" customWidth="1"/>
    <col min="2497" max="2497" width="10.85546875" style="9" customWidth="1"/>
    <col min="2498" max="2498" width="14.5703125" style="9" customWidth="1"/>
    <col min="2499" max="2500" width="15.5703125" style="9" customWidth="1"/>
    <col min="2501" max="2501" width="17.7109375" style="9" customWidth="1"/>
    <col min="2502" max="2727" width="29.28515625" style="9" customWidth="1"/>
    <col min="2728" max="2728" width="42.42578125" style="9" customWidth="1"/>
    <col min="2729" max="2731" width="12.42578125" style="9" customWidth="1"/>
    <col min="2732" max="2734" width="10.85546875" style="9" customWidth="1"/>
    <col min="2735" max="2737" width="14.5703125" style="9" bestFit="1" customWidth="1"/>
    <col min="2738" max="2740" width="11" style="9" customWidth="1"/>
    <col min="2741" max="2743" width="14.5703125" style="9" customWidth="1"/>
    <col min="2744" max="2746" width="15.28515625" style="9" customWidth="1"/>
    <col min="2747" max="2747" width="15.5703125" style="9"/>
    <col min="2748" max="2748" width="44.5703125" style="9" customWidth="1"/>
    <col min="2749" max="2749" width="13.85546875" style="9" customWidth="1"/>
    <col min="2750" max="2750" width="10.85546875" style="9" customWidth="1"/>
    <col min="2751" max="2751" width="14.5703125" style="9" customWidth="1"/>
    <col min="2752" max="2752" width="11" style="9" customWidth="1"/>
    <col min="2753" max="2753" width="10.85546875" style="9" customWidth="1"/>
    <col min="2754" max="2754" width="14.5703125" style="9" customWidth="1"/>
    <col min="2755" max="2756" width="15.5703125" style="9" customWidth="1"/>
    <col min="2757" max="2757" width="17.7109375" style="9" customWidth="1"/>
    <col min="2758" max="2983" width="29.28515625" style="9" customWidth="1"/>
    <col min="2984" max="2984" width="42.42578125" style="9" customWidth="1"/>
    <col min="2985" max="2987" width="12.42578125" style="9" customWidth="1"/>
    <col min="2988" max="2990" width="10.85546875" style="9" customWidth="1"/>
    <col min="2991" max="2993" width="14.5703125" style="9" bestFit="1" customWidth="1"/>
    <col min="2994" max="2996" width="11" style="9" customWidth="1"/>
    <col min="2997" max="2999" width="14.5703125" style="9" customWidth="1"/>
    <col min="3000" max="3002" width="15.28515625" style="9" customWidth="1"/>
    <col min="3003" max="3003" width="15.5703125" style="9"/>
    <col min="3004" max="3004" width="44.5703125" style="9" customWidth="1"/>
    <col min="3005" max="3005" width="13.85546875" style="9" customWidth="1"/>
    <col min="3006" max="3006" width="10.85546875" style="9" customWidth="1"/>
    <col min="3007" max="3007" width="14.5703125" style="9" customWidth="1"/>
    <col min="3008" max="3008" width="11" style="9" customWidth="1"/>
    <col min="3009" max="3009" width="10.85546875" style="9" customWidth="1"/>
    <col min="3010" max="3010" width="14.5703125" style="9" customWidth="1"/>
    <col min="3011" max="3012" width="15.5703125" style="9" customWidth="1"/>
    <col min="3013" max="3013" width="17.7109375" style="9" customWidth="1"/>
    <col min="3014" max="3239" width="29.28515625" style="9" customWidth="1"/>
    <col min="3240" max="3240" width="42.42578125" style="9" customWidth="1"/>
    <col min="3241" max="3243" width="12.42578125" style="9" customWidth="1"/>
    <col min="3244" max="3246" width="10.85546875" style="9" customWidth="1"/>
    <col min="3247" max="3249" width="14.5703125" style="9" bestFit="1" customWidth="1"/>
    <col min="3250" max="3252" width="11" style="9" customWidth="1"/>
    <col min="3253" max="3255" width="14.5703125" style="9" customWidth="1"/>
    <col min="3256" max="3258" width="15.28515625" style="9" customWidth="1"/>
    <col min="3259" max="3259" width="15.5703125" style="9"/>
    <col min="3260" max="3260" width="44.5703125" style="9" customWidth="1"/>
    <col min="3261" max="3261" width="13.85546875" style="9" customWidth="1"/>
    <col min="3262" max="3262" width="10.85546875" style="9" customWidth="1"/>
    <col min="3263" max="3263" width="14.5703125" style="9" customWidth="1"/>
    <col min="3264" max="3264" width="11" style="9" customWidth="1"/>
    <col min="3265" max="3265" width="10.85546875" style="9" customWidth="1"/>
    <col min="3266" max="3266" width="14.5703125" style="9" customWidth="1"/>
    <col min="3267" max="3268" width="15.5703125" style="9" customWidth="1"/>
    <col min="3269" max="3269" width="17.7109375" style="9" customWidth="1"/>
    <col min="3270" max="3495" width="29.28515625" style="9" customWidth="1"/>
    <col min="3496" max="3496" width="42.42578125" style="9" customWidth="1"/>
    <col min="3497" max="3499" width="12.42578125" style="9" customWidth="1"/>
    <col min="3500" max="3502" width="10.85546875" style="9" customWidth="1"/>
    <col min="3503" max="3505" width="14.5703125" style="9" bestFit="1" customWidth="1"/>
    <col min="3506" max="3508" width="11" style="9" customWidth="1"/>
    <col min="3509" max="3511" width="14.5703125" style="9" customWidth="1"/>
    <col min="3512" max="3514" width="15.28515625" style="9" customWidth="1"/>
    <col min="3515" max="3515" width="15.5703125" style="9"/>
    <col min="3516" max="3516" width="44.5703125" style="9" customWidth="1"/>
    <col min="3517" max="3517" width="13.85546875" style="9" customWidth="1"/>
    <col min="3518" max="3518" width="10.85546875" style="9" customWidth="1"/>
    <col min="3519" max="3519" width="14.5703125" style="9" customWidth="1"/>
    <col min="3520" max="3520" width="11" style="9" customWidth="1"/>
    <col min="3521" max="3521" width="10.85546875" style="9" customWidth="1"/>
    <col min="3522" max="3522" width="14.5703125" style="9" customWidth="1"/>
    <col min="3523" max="3524" width="15.5703125" style="9" customWidth="1"/>
    <col min="3525" max="3525" width="17.7109375" style="9" customWidth="1"/>
    <col min="3526" max="3751" width="29.28515625" style="9" customWidth="1"/>
    <col min="3752" max="3752" width="42.42578125" style="9" customWidth="1"/>
    <col min="3753" max="3755" width="12.42578125" style="9" customWidth="1"/>
    <col min="3756" max="3758" width="10.85546875" style="9" customWidth="1"/>
    <col min="3759" max="3761" width="14.5703125" style="9" bestFit="1" customWidth="1"/>
    <col min="3762" max="3764" width="11" style="9" customWidth="1"/>
    <col min="3765" max="3767" width="14.5703125" style="9" customWidth="1"/>
    <col min="3768" max="3770" width="15.28515625" style="9" customWidth="1"/>
    <col min="3771" max="3771" width="15.5703125" style="9"/>
    <col min="3772" max="3772" width="44.5703125" style="9" customWidth="1"/>
    <col min="3773" max="3773" width="13.85546875" style="9" customWidth="1"/>
    <col min="3774" max="3774" width="10.85546875" style="9" customWidth="1"/>
    <col min="3775" max="3775" width="14.5703125" style="9" customWidth="1"/>
    <col min="3776" max="3776" width="11" style="9" customWidth="1"/>
    <col min="3777" max="3777" width="10.85546875" style="9" customWidth="1"/>
    <col min="3778" max="3778" width="14.5703125" style="9" customWidth="1"/>
    <col min="3779" max="3780" width="15.5703125" style="9" customWidth="1"/>
    <col min="3781" max="3781" width="17.7109375" style="9" customWidth="1"/>
    <col min="3782" max="4007" width="29.28515625" style="9" customWidth="1"/>
    <col min="4008" max="4008" width="42.42578125" style="9" customWidth="1"/>
    <col min="4009" max="4011" width="12.42578125" style="9" customWidth="1"/>
    <col min="4012" max="4014" width="10.85546875" style="9" customWidth="1"/>
    <col min="4015" max="4017" width="14.5703125" style="9" bestFit="1" customWidth="1"/>
    <col min="4018" max="4020" width="11" style="9" customWidth="1"/>
    <col min="4021" max="4023" width="14.5703125" style="9" customWidth="1"/>
    <col min="4024" max="4026" width="15.28515625" style="9" customWidth="1"/>
    <col min="4027" max="4027" width="15.5703125" style="9"/>
    <col min="4028" max="4028" width="44.5703125" style="9" customWidth="1"/>
    <col min="4029" max="4029" width="13.85546875" style="9" customWidth="1"/>
    <col min="4030" max="4030" width="10.85546875" style="9" customWidth="1"/>
    <col min="4031" max="4031" width="14.5703125" style="9" customWidth="1"/>
    <col min="4032" max="4032" width="11" style="9" customWidth="1"/>
    <col min="4033" max="4033" width="10.85546875" style="9" customWidth="1"/>
    <col min="4034" max="4034" width="14.5703125" style="9" customWidth="1"/>
    <col min="4035" max="4036" width="15.5703125" style="9" customWidth="1"/>
    <col min="4037" max="4037" width="17.7109375" style="9" customWidth="1"/>
    <col min="4038" max="4263" width="29.28515625" style="9" customWidth="1"/>
    <col min="4264" max="4264" width="42.42578125" style="9" customWidth="1"/>
    <col min="4265" max="4267" width="12.42578125" style="9" customWidth="1"/>
    <col min="4268" max="4270" width="10.85546875" style="9" customWidth="1"/>
    <col min="4271" max="4273" width="14.5703125" style="9" bestFit="1" customWidth="1"/>
    <col min="4274" max="4276" width="11" style="9" customWidth="1"/>
    <col min="4277" max="4279" width="14.5703125" style="9" customWidth="1"/>
    <col min="4280" max="4282" width="15.28515625" style="9" customWidth="1"/>
    <col min="4283" max="4283" width="15.5703125" style="9"/>
    <col min="4284" max="4284" width="44.5703125" style="9" customWidth="1"/>
    <col min="4285" max="4285" width="13.85546875" style="9" customWidth="1"/>
    <col min="4286" max="4286" width="10.85546875" style="9" customWidth="1"/>
    <col min="4287" max="4287" width="14.5703125" style="9" customWidth="1"/>
    <col min="4288" max="4288" width="11" style="9" customWidth="1"/>
    <col min="4289" max="4289" width="10.85546875" style="9" customWidth="1"/>
    <col min="4290" max="4290" width="14.5703125" style="9" customWidth="1"/>
    <col min="4291" max="4292" width="15.5703125" style="9" customWidth="1"/>
    <col min="4293" max="4293" width="17.7109375" style="9" customWidth="1"/>
    <col min="4294" max="4519" width="29.28515625" style="9" customWidth="1"/>
    <col min="4520" max="4520" width="42.42578125" style="9" customWidth="1"/>
    <col min="4521" max="4523" width="12.42578125" style="9" customWidth="1"/>
    <col min="4524" max="4526" width="10.85546875" style="9" customWidth="1"/>
    <col min="4527" max="4529" width="14.5703125" style="9" bestFit="1" customWidth="1"/>
    <col min="4530" max="4532" width="11" style="9" customWidth="1"/>
    <col min="4533" max="4535" width="14.5703125" style="9" customWidth="1"/>
    <col min="4536" max="4538" width="15.28515625" style="9" customWidth="1"/>
    <col min="4539" max="4539" width="15.5703125" style="9"/>
    <col min="4540" max="4540" width="44.5703125" style="9" customWidth="1"/>
    <col min="4541" max="4541" width="13.85546875" style="9" customWidth="1"/>
    <col min="4542" max="4542" width="10.85546875" style="9" customWidth="1"/>
    <col min="4543" max="4543" width="14.5703125" style="9" customWidth="1"/>
    <col min="4544" max="4544" width="11" style="9" customWidth="1"/>
    <col min="4545" max="4545" width="10.85546875" style="9" customWidth="1"/>
    <col min="4546" max="4546" width="14.5703125" style="9" customWidth="1"/>
    <col min="4547" max="4548" width="15.5703125" style="9" customWidth="1"/>
    <col min="4549" max="4549" width="17.7109375" style="9" customWidth="1"/>
    <col min="4550" max="4775" width="29.28515625" style="9" customWidth="1"/>
    <col min="4776" max="4776" width="42.42578125" style="9" customWidth="1"/>
    <col min="4777" max="4779" width="12.42578125" style="9" customWidth="1"/>
    <col min="4780" max="4782" width="10.85546875" style="9" customWidth="1"/>
    <col min="4783" max="4785" width="14.5703125" style="9" bestFit="1" customWidth="1"/>
    <col min="4786" max="4788" width="11" style="9" customWidth="1"/>
    <col min="4789" max="4791" width="14.5703125" style="9" customWidth="1"/>
    <col min="4792" max="4794" width="15.28515625" style="9" customWidth="1"/>
    <col min="4795" max="4795" width="15.5703125" style="9"/>
    <col min="4796" max="4796" width="44.5703125" style="9" customWidth="1"/>
    <col min="4797" max="4797" width="13.85546875" style="9" customWidth="1"/>
    <col min="4798" max="4798" width="10.85546875" style="9" customWidth="1"/>
    <col min="4799" max="4799" width="14.5703125" style="9" customWidth="1"/>
    <col min="4800" max="4800" width="11" style="9" customWidth="1"/>
    <col min="4801" max="4801" width="10.85546875" style="9" customWidth="1"/>
    <col min="4802" max="4802" width="14.5703125" style="9" customWidth="1"/>
    <col min="4803" max="4804" width="15.5703125" style="9" customWidth="1"/>
    <col min="4805" max="4805" width="17.7109375" style="9" customWidth="1"/>
    <col min="4806" max="5031" width="29.28515625" style="9" customWidth="1"/>
    <col min="5032" max="5032" width="42.42578125" style="9" customWidth="1"/>
    <col min="5033" max="5035" width="12.42578125" style="9" customWidth="1"/>
    <col min="5036" max="5038" width="10.85546875" style="9" customWidth="1"/>
    <col min="5039" max="5041" width="14.5703125" style="9" bestFit="1" customWidth="1"/>
    <col min="5042" max="5044" width="11" style="9" customWidth="1"/>
    <col min="5045" max="5047" width="14.5703125" style="9" customWidth="1"/>
    <col min="5048" max="5050" width="15.28515625" style="9" customWidth="1"/>
    <col min="5051" max="5051" width="15.5703125" style="9"/>
    <col min="5052" max="5052" width="44.5703125" style="9" customWidth="1"/>
    <col min="5053" max="5053" width="13.85546875" style="9" customWidth="1"/>
    <col min="5054" max="5054" width="10.85546875" style="9" customWidth="1"/>
    <col min="5055" max="5055" width="14.5703125" style="9" customWidth="1"/>
    <col min="5056" max="5056" width="11" style="9" customWidth="1"/>
    <col min="5057" max="5057" width="10.85546875" style="9" customWidth="1"/>
    <col min="5058" max="5058" width="14.5703125" style="9" customWidth="1"/>
    <col min="5059" max="5060" width="15.5703125" style="9" customWidth="1"/>
    <col min="5061" max="5061" width="17.7109375" style="9" customWidth="1"/>
    <col min="5062" max="5287" width="29.28515625" style="9" customWidth="1"/>
    <col min="5288" max="5288" width="42.42578125" style="9" customWidth="1"/>
    <col min="5289" max="5291" width="12.42578125" style="9" customWidth="1"/>
    <col min="5292" max="5294" width="10.85546875" style="9" customWidth="1"/>
    <col min="5295" max="5297" width="14.5703125" style="9" bestFit="1" customWidth="1"/>
    <col min="5298" max="5300" width="11" style="9" customWidth="1"/>
    <col min="5301" max="5303" width="14.5703125" style="9" customWidth="1"/>
    <col min="5304" max="5306" width="15.28515625" style="9" customWidth="1"/>
    <col min="5307" max="5307" width="15.5703125" style="9"/>
    <col min="5308" max="5308" width="44.5703125" style="9" customWidth="1"/>
    <col min="5309" max="5309" width="13.85546875" style="9" customWidth="1"/>
    <col min="5310" max="5310" width="10.85546875" style="9" customWidth="1"/>
    <col min="5311" max="5311" width="14.5703125" style="9" customWidth="1"/>
    <col min="5312" max="5312" width="11" style="9" customWidth="1"/>
    <col min="5313" max="5313" width="10.85546875" style="9" customWidth="1"/>
    <col min="5314" max="5314" width="14.5703125" style="9" customWidth="1"/>
    <col min="5315" max="5316" width="15.5703125" style="9" customWidth="1"/>
    <col min="5317" max="5317" width="17.7109375" style="9" customWidth="1"/>
    <col min="5318" max="5543" width="29.28515625" style="9" customWidth="1"/>
    <col min="5544" max="5544" width="42.42578125" style="9" customWidth="1"/>
    <col min="5545" max="5547" width="12.42578125" style="9" customWidth="1"/>
    <col min="5548" max="5550" width="10.85546875" style="9" customWidth="1"/>
    <col min="5551" max="5553" width="14.5703125" style="9" bestFit="1" customWidth="1"/>
    <col min="5554" max="5556" width="11" style="9" customWidth="1"/>
    <col min="5557" max="5559" width="14.5703125" style="9" customWidth="1"/>
    <col min="5560" max="5562" width="15.28515625" style="9" customWidth="1"/>
    <col min="5563" max="5563" width="15.5703125" style="9"/>
    <col min="5564" max="5564" width="44.5703125" style="9" customWidth="1"/>
    <col min="5565" max="5565" width="13.85546875" style="9" customWidth="1"/>
    <col min="5566" max="5566" width="10.85546875" style="9" customWidth="1"/>
    <col min="5567" max="5567" width="14.5703125" style="9" customWidth="1"/>
    <col min="5568" max="5568" width="11" style="9" customWidth="1"/>
    <col min="5569" max="5569" width="10.85546875" style="9" customWidth="1"/>
    <col min="5570" max="5570" width="14.5703125" style="9" customWidth="1"/>
    <col min="5571" max="5572" width="15.5703125" style="9" customWidth="1"/>
    <col min="5573" max="5573" width="17.7109375" style="9" customWidth="1"/>
    <col min="5574" max="5799" width="29.28515625" style="9" customWidth="1"/>
    <col min="5800" max="5800" width="42.42578125" style="9" customWidth="1"/>
    <col min="5801" max="5803" width="12.42578125" style="9" customWidth="1"/>
    <col min="5804" max="5806" width="10.85546875" style="9" customWidth="1"/>
    <col min="5807" max="5809" width="14.5703125" style="9" bestFit="1" customWidth="1"/>
    <col min="5810" max="5812" width="11" style="9" customWidth="1"/>
    <col min="5813" max="5815" width="14.5703125" style="9" customWidth="1"/>
    <col min="5816" max="5818" width="15.28515625" style="9" customWidth="1"/>
    <col min="5819" max="5819" width="15.5703125" style="9"/>
    <col min="5820" max="5820" width="44.5703125" style="9" customWidth="1"/>
    <col min="5821" max="5821" width="13.85546875" style="9" customWidth="1"/>
    <col min="5822" max="5822" width="10.85546875" style="9" customWidth="1"/>
    <col min="5823" max="5823" width="14.5703125" style="9" customWidth="1"/>
    <col min="5824" max="5824" width="11" style="9" customWidth="1"/>
    <col min="5825" max="5825" width="10.85546875" style="9" customWidth="1"/>
    <col min="5826" max="5826" width="14.5703125" style="9" customWidth="1"/>
    <col min="5827" max="5828" width="15.5703125" style="9" customWidth="1"/>
    <col min="5829" max="5829" width="17.7109375" style="9" customWidth="1"/>
    <col min="5830" max="6055" width="29.28515625" style="9" customWidth="1"/>
    <col min="6056" max="6056" width="42.42578125" style="9" customWidth="1"/>
    <col min="6057" max="6059" width="12.42578125" style="9" customWidth="1"/>
    <col min="6060" max="6062" width="10.85546875" style="9" customWidth="1"/>
    <col min="6063" max="6065" width="14.5703125" style="9" bestFit="1" customWidth="1"/>
    <col min="6066" max="6068" width="11" style="9" customWidth="1"/>
    <col min="6069" max="6071" width="14.5703125" style="9" customWidth="1"/>
    <col min="6072" max="6074" width="15.28515625" style="9" customWidth="1"/>
    <col min="6075" max="6075" width="15.5703125" style="9"/>
    <col min="6076" max="6076" width="44.5703125" style="9" customWidth="1"/>
    <col min="6077" max="6077" width="13.85546875" style="9" customWidth="1"/>
    <col min="6078" max="6078" width="10.85546875" style="9" customWidth="1"/>
    <col min="6079" max="6079" width="14.5703125" style="9" customWidth="1"/>
    <col min="6080" max="6080" width="11" style="9" customWidth="1"/>
    <col min="6081" max="6081" width="10.85546875" style="9" customWidth="1"/>
    <col min="6082" max="6082" width="14.5703125" style="9" customWidth="1"/>
    <col min="6083" max="6084" width="15.5703125" style="9" customWidth="1"/>
    <col min="6085" max="6085" width="17.7109375" style="9" customWidth="1"/>
    <col min="6086" max="6311" width="29.28515625" style="9" customWidth="1"/>
    <col min="6312" max="6312" width="42.42578125" style="9" customWidth="1"/>
    <col min="6313" max="6315" width="12.42578125" style="9" customWidth="1"/>
    <col min="6316" max="6318" width="10.85546875" style="9" customWidth="1"/>
    <col min="6319" max="6321" width="14.5703125" style="9" bestFit="1" customWidth="1"/>
    <col min="6322" max="6324" width="11" style="9" customWidth="1"/>
    <col min="6325" max="6327" width="14.5703125" style="9" customWidth="1"/>
    <col min="6328" max="6330" width="15.28515625" style="9" customWidth="1"/>
    <col min="6331" max="6331" width="15.5703125" style="9"/>
    <col min="6332" max="6332" width="44.5703125" style="9" customWidth="1"/>
    <col min="6333" max="6333" width="13.85546875" style="9" customWidth="1"/>
    <col min="6334" max="6334" width="10.85546875" style="9" customWidth="1"/>
    <col min="6335" max="6335" width="14.5703125" style="9" customWidth="1"/>
    <col min="6336" max="6336" width="11" style="9" customWidth="1"/>
    <col min="6337" max="6337" width="10.85546875" style="9" customWidth="1"/>
    <col min="6338" max="6338" width="14.5703125" style="9" customWidth="1"/>
    <col min="6339" max="6340" width="15.5703125" style="9" customWidth="1"/>
    <col min="6341" max="6341" width="17.7109375" style="9" customWidth="1"/>
    <col min="6342" max="6567" width="29.28515625" style="9" customWidth="1"/>
    <col min="6568" max="6568" width="42.42578125" style="9" customWidth="1"/>
    <col min="6569" max="6571" width="12.42578125" style="9" customWidth="1"/>
    <col min="6572" max="6574" width="10.85546875" style="9" customWidth="1"/>
    <col min="6575" max="6577" width="14.5703125" style="9" bestFit="1" customWidth="1"/>
    <col min="6578" max="6580" width="11" style="9" customWidth="1"/>
    <col min="6581" max="6583" width="14.5703125" style="9" customWidth="1"/>
    <col min="6584" max="6586" width="15.28515625" style="9" customWidth="1"/>
    <col min="6587" max="6587" width="15.5703125" style="9"/>
    <col min="6588" max="6588" width="44.5703125" style="9" customWidth="1"/>
    <col min="6589" max="6589" width="13.85546875" style="9" customWidth="1"/>
    <col min="6590" max="6590" width="10.85546875" style="9" customWidth="1"/>
    <col min="6591" max="6591" width="14.5703125" style="9" customWidth="1"/>
    <col min="6592" max="6592" width="11" style="9" customWidth="1"/>
    <col min="6593" max="6593" width="10.85546875" style="9" customWidth="1"/>
    <col min="6594" max="6594" width="14.5703125" style="9" customWidth="1"/>
    <col min="6595" max="6596" width="15.5703125" style="9" customWidth="1"/>
    <col min="6597" max="6597" width="17.7109375" style="9" customWidth="1"/>
    <col min="6598" max="6823" width="29.28515625" style="9" customWidth="1"/>
    <col min="6824" max="6824" width="42.42578125" style="9" customWidth="1"/>
    <col min="6825" max="6827" width="12.42578125" style="9" customWidth="1"/>
    <col min="6828" max="6830" width="10.85546875" style="9" customWidth="1"/>
    <col min="6831" max="6833" width="14.5703125" style="9" bestFit="1" customWidth="1"/>
    <col min="6834" max="6836" width="11" style="9" customWidth="1"/>
    <col min="6837" max="6839" width="14.5703125" style="9" customWidth="1"/>
    <col min="6840" max="6842" width="15.28515625" style="9" customWidth="1"/>
    <col min="6843" max="6843" width="15.5703125" style="9"/>
    <col min="6844" max="6844" width="44.5703125" style="9" customWidth="1"/>
    <col min="6845" max="6845" width="13.85546875" style="9" customWidth="1"/>
    <col min="6846" max="6846" width="10.85546875" style="9" customWidth="1"/>
    <col min="6847" max="6847" width="14.5703125" style="9" customWidth="1"/>
    <col min="6848" max="6848" width="11" style="9" customWidth="1"/>
    <col min="6849" max="6849" width="10.85546875" style="9" customWidth="1"/>
    <col min="6850" max="6850" width="14.5703125" style="9" customWidth="1"/>
    <col min="6851" max="6852" width="15.5703125" style="9" customWidth="1"/>
    <col min="6853" max="6853" width="17.7109375" style="9" customWidth="1"/>
    <col min="6854" max="7079" width="29.28515625" style="9" customWidth="1"/>
    <col min="7080" max="7080" width="42.42578125" style="9" customWidth="1"/>
    <col min="7081" max="7083" width="12.42578125" style="9" customWidth="1"/>
    <col min="7084" max="7086" width="10.85546875" style="9" customWidth="1"/>
    <col min="7087" max="7089" width="14.5703125" style="9" bestFit="1" customWidth="1"/>
    <col min="7090" max="7092" width="11" style="9" customWidth="1"/>
    <col min="7093" max="7095" width="14.5703125" style="9" customWidth="1"/>
    <col min="7096" max="7098" width="15.28515625" style="9" customWidth="1"/>
    <col min="7099" max="7099" width="15.5703125" style="9"/>
    <col min="7100" max="7100" width="44.5703125" style="9" customWidth="1"/>
    <col min="7101" max="7101" width="13.85546875" style="9" customWidth="1"/>
    <col min="7102" max="7102" width="10.85546875" style="9" customWidth="1"/>
    <col min="7103" max="7103" width="14.5703125" style="9" customWidth="1"/>
    <col min="7104" max="7104" width="11" style="9" customWidth="1"/>
    <col min="7105" max="7105" width="10.85546875" style="9" customWidth="1"/>
    <col min="7106" max="7106" width="14.5703125" style="9" customWidth="1"/>
    <col min="7107" max="7108" width="15.5703125" style="9" customWidth="1"/>
    <col min="7109" max="7109" width="17.7109375" style="9" customWidth="1"/>
    <col min="7110" max="7335" width="29.28515625" style="9" customWidth="1"/>
    <col min="7336" max="7336" width="42.42578125" style="9" customWidth="1"/>
    <col min="7337" max="7339" width="12.42578125" style="9" customWidth="1"/>
    <col min="7340" max="7342" width="10.85546875" style="9" customWidth="1"/>
    <col min="7343" max="7345" width="14.5703125" style="9" bestFit="1" customWidth="1"/>
    <col min="7346" max="7348" width="11" style="9" customWidth="1"/>
    <col min="7349" max="7351" width="14.5703125" style="9" customWidth="1"/>
    <col min="7352" max="7354" width="15.28515625" style="9" customWidth="1"/>
    <col min="7355" max="7355" width="15.5703125" style="9"/>
    <col min="7356" max="7356" width="44.5703125" style="9" customWidth="1"/>
    <col min="7357" max="7357" width="13.85546875" style="9" customWidth="1"/>
    <col min="7358" max="7358" width="10.85546875" style="9" customWidth="1"/>
    <col min="7359" max="7359" width="14.5703125" style="9" customWidth="1"/>
    <col min="7360" max="7360" width="11" style="9" customWidth="1"/>
    <col min="7361" max="7361" width="10.85546875" style="9" customWidth="1"/>
    <col min="7362" max="7362" width="14.5703125" style="9" customWidth="1"/>
    <col min="7363" max="7364" width="15.5703125" style="9" customWidth="1"/>
    <col min="7365" max="7365" width="17.7109375" style="9" customWidth="1"/>
    <col min="7366" max="7591" width="29.28515625" style="9" customWidth="1"/>
    <col min="7592" max="7592" width="42.42578125" style="9" customWidth="1"/>
    <col min="7593" max="7595" width="12.42578125" style="9" customWidth="1"/>
    <col min="7596" max="7598" width="10.85546875" style="9" customWidth="1"/>
    <col min="7599" max="7601" width="14.5703125" style="9" bestFit="1" customWidth="1"/>
    <col min="7602" max="7604" width="11" style="9" customWidth="1"/>
    <col min="7605" max="7607" width="14.5703125" style="9" customWidth="1"/>
    <col min="7608" max="7610" width="15.28515625" style="9" customWidth="1"/>
    <col min="7611" max="7611" width="15.5703125" style="9"/>
    <col min="7612" max="7612" width="44.5703125" style="9" customWidth="1"/>
    <col min="7613" max="7613" width="13.85546875" style="9" customWidth="1"/>
    <col min="7614" max="7614" width="10.85546875" style="9" customWidth="1"/>
    <col min="7615" max="7615" width="14.5703125" style="9" customWidth="1"/>
    <col min="7616" max="7616" width="11" style="9" customWidth="1"/>
    <col min="7617" max="7617" width="10.85546875" style="9" customWidth="1"/>
    <col min="7618" max="7618" width="14.5703125" style="9" customWidth="1"/>
    <col min="7619" max="7620" width="15.5703125" style="9" customWidth="1"/>
    <col min="7621" max="7621" width="17.7109375" style="9" customWidth="1"/>
    <col min="7622" max="7847" width="29.28515625" style="9" customWidth="1"/>
    <col min="7848" max="7848" width="42.42578125" style="9" customWidth="1"/>
    <col min="7849" max="7851" width="12.42578125" style="9" customWidth="1"/>
    <col min="7852" max="7854" width="10.85546875" style="9" customWidth="1"/>
    <col min="7855" max="7857" width="14.5703125" style="9" bestFit="1" customWidth="1"/>
    <col min="7858" max="7860" width="11" style="9" customWidth="1"/>
    <col min="7861" max="7863" width="14.5703125" style="9" customWidth="1"/>
    <col min="7864" max="7866" width="15.28515625" style="9" customWidth="1"/>
    <col min="7867" max="7867" width="15.5703125" style="9"/>
    <col min="7868" max="7868" width="44.5703125" style="9" customWidth="1"/>
    <col min="7869" max="7869" width="13.85546875" style="9" customWidth="1"/>
    <col min="7870" max="7870" width="10.85546875" style="9" customWidth="1"/>
    <col min="7871" max="7871" width="14.5703125" style="9" customWidth="1"/>
    <col min="7872" max="7872" width="11" style="9" customWidth="1"/>
    <col min="7873" max="7873" width="10.85546875" style="9" customWidth="1"/>
    <col min="7874" max="7874" width="14.5703125" style="9" customWidth="1"/>
    <col min="7875" max="7876" width="15.5703125" style="9" customWidth="1"/>
    <col min="7877" max="7877" width="17.7109375" style="9" customWidth="1"/>
    <col min="7878" max="8103" width="29.28515625" style="9" customWidth="1"/>
    <col min="8104" max="8104" width="42.42578125" style="9" customWidth="1"/>
    <col min="8105" max="8107" width="12.42578125" style="9" customWidth="1"/>
    <col min="8108" max="8110" width="10.85546875" style="9" customWidth="1"/>
    <col min="8111" max="8113" width="14.5703125" style="9" bestFit="1" customWidth="1"/>
    <col min="8114" max="8116" width="11" style="9" customWidth="1"/>
    <col min="8117" max="8119" width="14.5703125" style="9" customWidth="1"/>
    <col min="8120" max="8122" width="15.28515625" style="9" customWidth="1"/>
    <col min="8123" max="8123" width="15.5703125" style="9"/>
    <col min="8124" max="8124" width="44.5703125" style="9" customWidth="1"/>
    <col min="8125" max="8125" width="13.85546875" style="9" customWidth="1"/>
    <col min="8126" max="8126" width="10.85546875" style="9" customWidth="1"/>
    <col min="8127" max="8127" width="14.5703125" style="9" customWidth="1"/>
    <col min="8128" max="8128" width="11" style="9" customWidth="1"/>
    <col min="8129" max="8129" width="10.85546875" style="9" customWidth="1"/>
    <col min="8130" max="8130" width="14.5703125" style="9" customWidth="1"/>
    <col min="8131" max="8132" width="15.5703125" style="9" customWidth="1"/>
    <col min="8133" max="8133" width="17.7109375" style="9" customWidth="1"/>
    <col min="8134" max="8359" width="29.28515625" style="9" customWidth="1"/>
    <col min="8360" max="8360" width="42.42578125" style="9" customWidth="1"/>
    <col min="8361" max="8363" width="12.42578125" style="9" customWidth="1"/>
    <col min="8364" max="8366" width="10.85546875" style="9" customWidth="1"/>
    <col min="8367" max="8369" width="14.5703125" style="9" bestFit="1" customWidth="1"/>
    <col min="8370" max="8372" width="11" style="9" customWidth="1"/>
    <col min="8373" max="8375" width="14.5703125" style="9" customWidth="1"/>
    <col min="8376" max="8378" width="15.28515625" style="9" customWidth="1"/>
    <col min="8379" max="8379" width="15.5703125" style="9"/>
    <col min="8380" max="8380" width="44.5703125" style="9" customWidth="1"/>
    <col min="8381" max="8381" width="13.85546875" style="9" customWidth="1"/>
    <col min="8382" max="8382" width="10.85546875" style="9" customWidth="1"/>
    <col min="8383" max="8383" width="14.5703125" style="9" customWidth="1"/>
    <col min="8384" max="8384" width="11" style="9" customWidth="1"/>
    <col min="8385" max="8385" width="10.85546875" style="9" customWidth="1"/>
    <col min="8386" max="8386" width="14.5703125" style="9" customWidth="1"/>
    <col min="8387" max="8388" width="15.5703125" style="9" customWidth="1"/>
    <col min="8389" max="8389" width="17.7109375" style="9" customWidth="1"/>
    <col min="8390" max="8615" width="29.28515625" style="9" customWidth="1"/>
    <col min="8616" max="8616" width="42.42578125" style="9" customWidth="1"/>
    <col min="8617" max="8619" width="12.42578125" style="9" customWidth="1"/>
    <col min="8620" max="8622" width="10.85546875" style="9" customWidth="1"/>
    <col min="8623" max="8625" width="14.5703125" style="9" bestFit="1" customWidth="1"/>
    <col min="8626" max="8628" width="11" style="9" customWidth="1"/>
    <col min="8629" max="8631" width="14.5703125" style="9" customWidth="1"/>
    <col min="8632" max="8634" width="15.28515625" style="9" customWidth="1"/>
    <col min="8635" max="8635" width="15.5703125" style="9"/>
    <col min="8636" max="8636" width="44.5703125" style="9" customWidth="1"/>
    <col min="8637" max="8637" width="13.85546875" style="9" customWidth="1"/>
    <col min="8638" max="8638" width="10.85546875" style="9" customWidth="1"/>
    <col min="8639" max="8639" width="14.5703125" style="9" customWidth="1"/>
    <col min="8640" max="8640" width="11" style="9" customWidth="1"/>
    <col min="8641" max="8641" width="10.85546875" style="9" customWidth="1"/>
    <col min="8642" max="8642" width="14.5703125" style="9" customWidth="1"/>
    <col min="8643" max="8644" width="15.5703125" style="9" customWidth="1"/>
    <col min="8645" max="8645" width="17.7109375" style="9" customWidth="1"/>
    <col min="8646" max="8871" width="29.28515625" style="9" customWidth="1"/>
    <col min="8872" max="8872" width="42.42578125" style="9" customWidth="1"/>
    <col min="8873" max="8875" width="12.42578125" style="9" customWidth="1"/>
    <col min="8876" max="8878" width="10.85546875" style="9" customWidth="1"/>
    <col min="8879" max="8881" width="14.5703125" style="9" bestFit="1" customWidth="1"/>
    <col min="8882" max="8884" width="11" style="9" customWidth="1"/>
    <col min="8885" max="8887" width="14.5703125" style="9" customWidth="1"/>
    <col min="8888" max="8890" width="15.28515625" style="9" customWidth="1"/>
    <col min="8891" max="8891" width="15.5703125" style="9"/>
    <col min="8892" max="8892" width="44.5703125" style="9" customWidth="1"/>
    <col min="8893" max="8893" width="13.85546875" style="9" customWidth="1"/>
    <col min="8894" max="8894" width="10.85546875" style="9" customWidth="1"/>
    <col min="8895" max="8895" width="14.5703125" style="9" customWidth="1"/>
    <col min="8896" max="8896" width="11" style="9" customWidth="1"/>
    <col min="8897" max="8897" width="10.85546875" style="9" customWidth="1"/>
    <col min="8898" max="8898" width="14.5703125" style="9" customWidth="1"/>
    <col min="8899" max="8900" width="15.5703125" style="9" customWidth="1"/>
    <col min="8901" max="8901" width="17.7109375" style="9" customWidth="1"/>
    <col min="8902" max="9127" width="29.28515625" style="9" customWidth="1"/>
    <col min="9128" max="9128" width="42.42578125" style="9" customWidth="1"/>
    <col min="9129" max="9131" width="12.42578125" style="9" customWidth="1"/>
    <col min="9132" max="9134" width="10.85546875" style="9" customWidth="1"/>
    <col min="9135" max="9137" width="14.5703125" style="9" bestFit="1" customWidth="1"/>
    <col min="9138" max="9140" width="11" style="9" customWidth="1"/>
    <col min="9141" max="9143" width="14.5703125" style="9" customWidth="1"/>
    <col min="9144" max="9146" width="15.28515625" style="9" customWidth="1"/>
    <col min="9147" max="9147" width="15.5703125" style="9"/>
    <col min="9148" max="9148" width="44.5703125" style="9" customWidth="1"/>
    <col min="9149" max="9149" width="13.85546875" style="9" customWidth="1"/>
    <col min="9150" max="9150" width="10.85546875" style="9" customWidth="1"/>
    <col min="9151" max="9151" width="14.5703125" style="9" customWidth="1"/>
    <col min="9152" max="9152" width="11" style="9" customWidth="1"/>
    <col min="9153" max="9153" width="10.85546875" style="9" customWidth="1"/>
    <col min="9154" max="9154" width="14.5703125" style="9" customWidth="1"/>
    <col min="9155" max="9156" width="15.5703125" style="9" customWidth="1"/>
    <col min="9157" max="9157" width="17.7109375" style="9" customWidth="1"/>
    <col min="9158" max="9383" width="29.28515625" style="9" customWidth="1"/>
    <col min="9384" max="9384" width="42.42578125" style="9" customWidth="1"/>
    <col min="9385" max="9387" width="12.42578125" style="9" customWidth="1"/>
    <col min="9388" max="9390" width="10.85546875" style="9" customWidth="1"/>
    <col min="9391" max="9393" width="14.5703125" style="9" bestFit="1" customWidth="1"/>
    <col min="9394" max="9396" width="11" style="9" customWidth="1"/>
    <col min="9397" max="9399" width="14.5703125" style="9" customWidth="1"/>
    <col min="9400" max="9402" width="15.28515625" style="9" customWidth="1"/>
    <col min="9403" max="9403" width="15.5703125" style="9"/>
    <col min="9404" max="9404" width="44.5703125" style="9" customWidth="1"/>
    <col min="9405" max="9405" width="13.85546875" style="9" customWidth="1"/>
    <col min="9406" max="9406" width="10.85546875" style="9" customWidth="1"/>
    <col min="9407" max="9407" width="14.5703125" style="9" customWidth="1"/>
    <col min="9408" max="9408" width="11" style="9" customWidth="1"/>
    <col min="9409" max="9409" width="10.85546875" style="9" customWidth="1"/>
    <col min="9410" max="9410" width="14.5703125" style="9" customWidth="1"/>
    <col min="9411" max="9412" width="15.5703125" style="9" customWidth="1"/>
    <col min="9413" max="9413" width="17.7109375" style="9" customWidth="1"/>
    <col min="9414" max="9639" width="29.28515625" style="9" customWidth="1"/>
    <col min="9640" max="9640" width="42.42578125" style="9" customWidth="1"/>
    <col min="9641" max="9643" width="12.42578125" style="9" customWidth="1"/>
    <col min="9644" max="9646" width="10.85546875" style="9" customWidth="1"/>
    <col min="9647" max="9649" width="14.5703125" style="9" bestFit="1" customWidth="1"/>
    <col min="9650" max="9652" width="11" style="9" customWidth="1"/>
    <col min="9653" max="9655" width="14.5703125" style="9" customWidth="1"/>
    <col min="9656" max="9658" width="15.28515625" style="9" customWidth="1"/>
    <col min="9659" max="9659" width="15.5703125" style="9"/>
    <col min="9660" max="9660" width="44.5703125" style="9" customWidth="1"/>
    <col min="9661" max="9661" width="13.85546875" style="9" customWidth="1"/>
    <col min="9662" max="9662" width="10.85546875" style="9" customWidth="1"/>
    <col min="9663" max="9663" width="14.5703125" style="9" customWidth="1"/>
    <col min="9664" max="9664" width="11" style="9" customWidth="1"/>
    <col min="9665" max="9665" width="10.85546875" style="9" customWidth="1"/>
    <col min="9666" max="9666" width="14.5703125" style="9" customWidth="1"/>
    <col min="9667" max="9668" width="15.5703125" style="9" customWidth="1"/>
    <col min="9669" max="9669" width="17.7109375" style="9" customWidth="1"/>
    <col min="9670" max="9895" width="29.28515625" style="9" customWidth="1"/>
    <col min="9896" max="9896" width="42.42578125" style="9" customWidth="1"/>
    <col min="9897" max="9899" width="12.42578125" style="9" customWidth="1"/>
    <col min="9900" max="9902" width="10.85546875" style="9" customWidth="1"/>
    <col min="9903" max="9905" width="14.5703125" style="9" bestFit="1" customWidth="1"/>
    <col min="9906" max="9908" width="11" style="9" customWidth="1"/>
    <col min="9909" max="9911" width="14.5703125" style="9" customWidth="1"/>
    <col min="9912" max="9914" width="15.28515625" style="9" customWidth="1"/>
    <col min="9915" max="9915" width="15.5703125" style="9"/>
    <col min="9916" max="9916" width="44.5703125" style="9" customWidth="1"/>
    <col min="9917" max="9917" width="13.85546875" style="9" customWidth="1"/>
    <col min="9918" max="9918" width="10.85546875" style="9" customWidth="1"/>
    <col min="9919" max="9919" width="14.5703125" style="9" customWidth="1"/>
    <col min="9920" max="9920" width="11" style="9" customWidth="1"/>
    <col min="9921" max="9921" width="10.85546875" style="9" customWidth="1"/>
    <col min="9922" max="9922" width="14.5703125" style="9" customWidth="1"/>
    <col min="9923" max="9924" width="15.5703125" style="9" customWidth="1"/>
    <col min="9925" max="9925" width="17.7109375" style="9" customWidth="1"/>
    <col min="9926" max="10151" width="29.28515625" style="9" customWidth="1"/>
    <col min="10152" max="10152" width="42.42578125" style="9" customWidth="1"/>
    <col min="10153" max="10155" width="12.42578125" style="9" customWidth="1"/>
    <col min="10156" max="10158" width="10.85546875" style="9" customWidth="1"/>
    <col min="10159" max="10161" width="14.5703125" style="9" bestFit="1" customWidth="1"/>
    <col min="10162" max="10164" width="11" style="9" customWidth="1"/>
    <col min="10165" max="10167" width="14.5703125" style="9" customWidth="1"/>
    <col min="10168" max="10170" width="15.28515625" style="9" customWidth="1"/>
    <col min="10171" max="10171" width="15.5703125" style="9"/>
    <col min="10172" max="10172" width="44.5703125" style="9" customWidth="1"/>
    <col min="10173" max="10173" width="13.85546875" style="9" customWidth="1"/>
    <col min="10174" max="10174" width="10.85546875" style="9" customWidth="1"/>
    <col min="10175" max="10175" width="14.5703125" style="9" customWidth="1"/>
    <col min="10176" max="10176" width="11" style="9" customWidth="1"/>
    <col min="10177" max="10177" width="10.85546875" style="9" customWidth="1"/>
    <col min="10178" max="10178" width="14.5703125" style="9" customWidth="1"/>
    <col min="10179" max="10180" width="15.5703125" style="9" customWidth="1"/>
    <col min="10181" max="10181" width="17.7109375" style="9" customWidth="1"/>
    <col min="10182" max="10407" width="29.28515625" style="9" customWidth="1"/>
    <col min="10408" max="10408" width="42.42578125" style="9" customWidth="1"/>
    <col min="10409" max="10411" width="12.42578125" style="9" customWidth="1"/>
    <col min="10412" max="10414" width="10.85546875" style="9" customWidth="1"/>
    <col min="10415" max="10417" width="14.5703125" style="9" bestFit="1" customWidth="1"/>
    <col min="10418" max="10420" width="11" style="9" customWidth="1"/>
    <col min="10421" max="10423" width="14.5703125" style="9" customWidth="1"/>
    <col min="10424" max="10426" width="15.28515625" style="9" customWidth="1"/>
    <col min="10427" max="10427" width="15.5703125" style="9"/>
    <col min="10428" max="10428" width="44.5703125" style="9" customWidth="1"/>
    <col min="10429" max="10429" width="13.85546875" style="9" customWidth="1"/>
    <col min="10430" max="10430" width="10.85546875" style="9" customWidth="1"/>
    <col min="10431" max="10431" width="14.5703125" style="9" customWidth="1"/>
    <col min="10432" max="10432" width="11" style="9" customWidth="1"/>
    <col min="10433" max="10433" width="10.85546875" style="9" customWidth="1"/>
    <col min="10434" max="10434" width="14.5703125" style="9" customWidth="1"/>
    <col min="10435" max="10436" width="15.5703125" style="9" customWidth="1"/>
    <col min="10437" max="10437" width="17.7109375" style="9" customWidth="1"/>
    <col min="10438" max="10663" width="29.28515625" style="9" customWidth="1"/>
    <col min="10664" max="10664" width="42.42578125" style="9" customWidth="1"/>
    <col min="10665" max="10667" width="12.42578125" style="9" customWidth="1"/>
    <col min="10668" max="10670" width="10.85546875" style="9" customWidth="1"/>
    <col min="10671" max="10673" width="14.5703125" style="9" bestFit="1" customWidth="1"/>
    <col min="10674" max="10676" width="11" style="9" customWidth="1"/>
    <col min="10677" max="10679" width="14.5703125" style="9" customWidth="1"/>
    <col min="10680" max="10682" width="15.28515625" style="9" customWidth="1"/>
    <col min="10683" max="10683" width="15.5703125" style="9"/>
    <col min="10684" max="10684" width="44.5703125" style="9" customWidth="1"/>
    <col min="10685" max="10685" width="13.85546875" style="9" customWidth="1"/>
    <col min="10686" max="10686" width="10.85546875" style="9" customWidth="1"/>
    <col min="10687" max="10687" width="14.5703125" style="9" customWidth="1"/>
    <col min="10688" max="10688" width="11" style="9" customWidth="1"/>
    <col min="10689" max="10689" width="10.85546875" style="9" customWidth="1"/>
    <col min="10690" max="10690" width="14.5703125" style="9" customWidth="1"/>
    <col min="10691" max="10692" width="15.5703125" style="9" customWidth="1"/>
    <col min="10693" max="10693" width="17.7109375" style="9" customWidth="1"/>
    <col min="10694" max="10919" width="29.28515625" style="9" customWidth="1"/>
    <col min="10920" max="10920" width="42.42578125" style="9" customWidth="1"/>
    <col min="10921" max="10923" width="12.42578125" style="9" customWidth="1"/>
    <col min="10924" max="10926" width="10.85546875" style="9" customWidth="1"/>
    <col min="10927" max="10929" width="14.5703125" style="9" bestFit="1" customWidth="1"/>
    <col min="10930" max="10932" width="11" style="9" customWidth="1"/>
    <col min="10933" max="10935" width="14.5703125" style="9" customWidth="1"/>
    <col min="10936" max="10938" width="15.28515625" style="9" customWidth="1"/>
    <col min="10939" max="10939" width="15.5703125" style="9"/>
    <col min="10940" max="10940" width="44.5703125" style="9" customWidth="1"/>
    <col min="10941" max="10941" width="13.85546875" style="9" customWidth="1"/>
    <col min="10942" max="10942" width="10.85546875" style="9" customWidth="1"/>
    <col min="10943" max="10943" width="14.5703125" style="9" customWidth="1"/>
    <col min="10944" max="10944" width="11" style="9" customWidth="1"/>
    <col min="10945" max="10945" width="10.85546875" style="9" customWidth="1"/>
    <col min="10946" max="10946" width="14.5703125" style="9" customWidth="1"/>
    <col min="10947" max="10948" width="15.5703125" style="9" customWidth="1"/>
    <col min="10949" max="10949" width="17.7109375" style="9" customWidth="1"/>
    <col min="10950" max="11175" width="29.28515625" style="9" customWidth="1"/>
    <col min="11176" max="11176" width="42.42578125" style="9" customWidth="1"/>
    <col min="11177" max="11179" width="12.42578125" style="9" customWidth="1"/>
    <col min="11180" max="11182" width="10.85546875" style="9" customWidth="1"/>
    <col min="11183" max="11185" width="14.5703125" style="9" bestFit="1" customWidth="1"/>
    <col min="11186" max="11188" width="11" style="9" customWidth="1"/>
    <col min="11189" max="11191" width="14.5703125" style="9" customWidth="1"/>
    <col min="11192" max="11194" width="15.28515625" style="9" customWidth="1"/>
    <col min="11195" max="11195" width="15.5703125" style="9"/>
    <col min="11196" max="11196" width="44.5703125" style="9" customWidth="1"/>
    <col min="11197" max="11197" width="13.85546875" style="9" customWidth="1"/>
    <col min="11198" max="11198" width="10.85546875" style="9" customWidth="1"/>
    <col min="11199" max="11199" width="14.5703125" style="9" customWidth="1"/>
    <col min="11200" max="11200" width="11" style="9" customWidth="1"/>
    <col min="11201" max="11201" width="10.85546875" style="9" customWidth="1"/>
    <col min="11202" max="11202" width="14.5703125" style="9" customWidth="1"/>
    <col min="11203" max="11204" width="15.5703125" style="9" customWidth="1"/>
    <col min="11205" max="11205" width="17.7109375" style="9" customWidth="1"/>
    <col min="11206" max="11431" width="29.28515625" style="9" customWidth="1"/>
    <col min="11432" max="11432" width="42.42578125" style="9" customWidth="1"/>
    <col min="11433" max="11435" width="12.42578125" style="9" customWidth="1"/>
    <col min="11436" max="11438" width="10.85546875" style="9" customWidth="1"/>
    <col min="11439" max="11441" width="14.5703125" style="9" bestFit="1" customWidth="1"/>
    <col min="11442" max="11444" width="11" style="9" customWidth="1"/>
    <col min="11445" max="11447" width="14.5703125" style="9" customWidth="1"/>
    <col min="11448" max="11450" width="15.28515625" style="9" customWidth="1"/>
    <col min="11451" max="11451" width="15.5703125" style="9"/>
    <col min="11452" max="11452" width="44.5703125" style="9" customWidth="1"/>
    <col min="11453" max="11453" width="13.85546875" style="9" customWidth="1"/>
    <col min="11454" max="11454" width="10.85546875" style="9" customWidth="1"/>
    <col min="11455" max="11455" width="14.5703125" style="9" customWidth="1"/>
    <col min="11456" max="11456" width="11" style="9" customWidth="1"/>
    <col min="11457" max="11457" width="10.85546875" style="9" customWidth="1"/>
    <col min="11458" max="11458" width="14.5703125" style="9" customWidth="1"/>
    <col min="11459" max="11460" width="15.5703125" style="9" customWidth="1"/>
    <col min="11461" max="11461" width="17.7109375" style="9" customWidth="1"/>
    <col min="11462" max="11687" width="29.28515625" style="9" customWidth="1"/>
    <col min="11688" max="11688" width="42.42578125" style="9" customWidth="1"/>
    <col min="11689" max="11691" width="12.42578125" style="9" customWidth="1"/>
    <col min="11692" max="11694" width="10.85546875" style="9" customWidth="1"/>
    <col min="11695" max="11697" width="14.5703125" style="9" bestFit="1" customWidth="1"/>
    <col min="11698" max="11700" width="11" style="9" customWidth="1"/>
    <col min="11701" max="11703" width="14.5703125" style="9" customWidth="1"/>
    <col min="11704" max="11706" width="15.28515625" style="9" customWidth="1"/>
    <col min="11707" max="11707" width="15.5703125" style="9"/>
    <col min="11708" max="11708" width="44.5703125" style="9" customWidth="1"/>
    <col min="11709" max="11709" width="13.85546875" style="9" customWidth="1"/>
    <col min="11710" max="11710" width="10.85546875" style="9" customWidth="1"/>
    <col min="11711" max="11711" width="14.5703125" style="9" customWidth="1"/>
    <col min="11712" max="11712" width="11" style="9" customWidth="1"/>
    <col min="11713" max="11713" width="10.85546875" style="9" customWidth="1"/>
    <col min="11714" max="11714" width="14.5703125" style="9" customWidth="1"/>
    <col min="11715" max="11716" width="15.5703125" style="9" customWidth="1"/>
    <col min="11717" max="11717" width="17.7109375" style="9" customWidth="1"/>
    <col min="11718" max="11943" width="29.28515625" style="9" customWidth="1"/>
    <col min="11944" max="11944" width="42.42578125" style="9" customWidth="1"/>
    <col min="11945" max="11947" width="12.42578125" style="9" customWidth="1"/>
    <col min="11948" max="11950" width="10.85546875" style="9" customWidth="1"/>
    <col min="11951" max="11953" width="14.5703125" style="9" bestFit="1" customWidth="1"/>
    <col min="11954" max="11956" width="11" style="9" customWidth="1"/>
    <col min="11957" max="11959" width="14.5703125" style="9" customWidth="1"/>
    <col min="11960" max="11962" width="15.28515625" style="9" customWidth="1"/>
    <col min="11963" max="11963" width="15.5703125" style="9"/>
    <col min="11964" max="11964" width="44.5703125" style="9" customWidth="1"/>
    <col min="11965" max="11965" width="13.85546875" style="9" customWidth="1"/>
    <col min="11966" max="11966" width="10.85546875" style="9" customWidth="1"/>
    <col min="11967" max="11967" width="14.5703125" style="9" customWidth="1"/>
    <col min="11968" max="11968" width="11" style="9" customWidth="1"/>
    <col min="11969" max="11969" width="10.85546875" style="9" customWidth="1"/>
    <col min="11970" max="11970" width="14.5703125" style="9" customWidth="1"/>
    <col min="11971" max="11972" width="15.5703125" style="9" customWidth="1"/>
    <col min="11973" max="11973" width="17.7109375" style="9" customWidth="1"/>
    <col min="11974" max="12199" width="29.28515625" style="9" customWidth="1"/>
    <col min="12200" max="12200" width="42.42578125" style="9" customWidth="1"/>
    <col min="12201" max="12203" width="12.42578125" style="9" customWidth="1"/>
    <col min="12204" max="12206" width="10.85546875" style="9" customWidth="1"/>
    <col min="12207" max="12209" width="14.5703125" style="9" bestFit="1" customWidth="1"/>
    <col min="12210" max="12212" width="11" style="9" customWidth="1"/>
    <col min="12213" max="12215" width="14.5703125" style="9" customWidth="1"/>
    <col min="12216" max="12218" width="15.28515625" style="9" customWidth="1"/>
    <col min="12219" max="12219" width="15.5703125" style="9"/>
    <col min="12220" max="12220" width="44.5703125" style="9" customWidth="1"/>
    <col min="12221" max="12221" width="13.85546875" style="9" customWidth="1"/>
    <col min="12222" max="12222" width="10.85546875" style="9" customWidth="1"/>
    <col min="12223" max="12223" width="14.5703125" style="9" customWidth="1"/>
    <col min="12224" max="12224" width="11" style="9" customWidth="1"/>
    <col min="12225" max="12225" width="10.85546875" style="9" customWidth="1"/>
    <col min="12226" max="12226" width="14.5703125" style="9" customWidth="1"/>
    <col min="12227" max="12228" width="15.5703125" style="9" customWidth="1"/>
    <col min="12229" max="12229" width="17.7109375" style="9" customWidth="1"/>
    <col min="12230" max="12455" width="29.28515625" style="9" customWidth="1"/>
    <col min="12456" max="12456" width="42.42578125" style="9" customWidth="1"/>
    <col min="12457" max="12459" width="12.42578125" style="9" customWidth="1"/>
    <col min="12460" max="12462" width="10.85546875" style="9" customWidth="1"/>
    <col min="12463" max="12465" width="14.5703125" style="9" bestFit="1" customWidth="1"/>
    <col min="12466" max="12468" width="11" style="9" customWidth="1"/>
    <col min="12469" max="12471" width="14.5703125" style="9" customWidth="1"/>
    <col min="12472" max="12474" width="15.28515625" style="9" customWidth="1"/>
    <col min="12475" max="12475" width="15.5703125" style="9"/>
    <col min="12476" max="12476" width="44.5703125" style="9" customWidth="1"/>
    <col min="12477" max="12477" width="13.85546875" style="9" customWidth="1"/>
    <col min="12478" max="12478" width="10.85546875" style="9" customWidth="1"/>
    <col min="12479" max="12479" width="14.5703125" style="9" customWidth="1"/>
    <col min="12480" max="12480" width="11" style="9" customWidth="1"/>
    <col min="12481" max="12481" width="10.85546875" style="9" customWidth="1"/>
    <col min="12482" max="12482" width="14.5703125" style="9" customWidth="1"/>
    <col min="12483" max="12484" width="15.5703125" style="9" customWidth="1"/>
    <col min="12485" max="12485" width="17.7109375" style="9" customWidth="1"/>
    <col min="12486" max="12711" width="29.28515625" style="9" customWidth="1"/>
    <col min="12712" max="12712" width="42.42578125" style="9" customWidth="1"/>
    <col min="12713" max="12715" width="12.42578125" style="9" customWidth="1"/>
    <col min="12716" max="12718" width="10.85546875" style="9" customWidth="1"/>
    <col min="12719" max="12721" width="14.5703125" style="9" bestFit="1" customWidth="1"/>
    <col min="12722" max="12724" width="11" style="9" customWidth="1"/>
    <col min="12725" max="12727" width="14.5703125" style="9" customWidth="1"/>
    <col min="12728" max="12730" width="15.28515625" style="9" customWidth="1"/>
    <col min="12731" max="12731" width="15.5703125" style="9"/>
    <col min="12732" max="12732" width="44.5703125" style="9" customWidth="1"/>
    <col min="12733" max="12733" width="13.85546875" style="9" customWidth="1"/>
    <col min="12734" max="12734" width="10.85546875" style="9" customWidth="1"/>
    <col min="12735" max="12735" width="14.5703125" style="9" customWidth="1"/>
    <col min="12736" max="12736" width="11" style="9" customWidth="1"/>
    <col min="12737" max="12737" width="10.85546875" style="9" customWidth="1"/>
    <col min="12738" max="12738" width="14.5703125" style="9" customWidth="1"/>
    <col min="12739" max="12740" width="15.5703125" style="9" customWidth="1"/>
    <col min="12741" max="12741" width="17.7109375" style="9" customWidth="1"/>
    <col min="12742" max="12967" width="29.28515625" style="9" customWidth="1"/>
    <col min="12968" max="12968" width="42.42578125" style="9" customWidth="1"/>
    <col min="12969" max="12971" width="12.42578125" style="9" customWidth="1"/>
    <col min="12972" max="12974" width="10.85546875" style="9" customWidth="1"/>
    <col min="12975" max="12977" width="14.5703125" style="9" bestFit="1" customWidth="1"/>
    <col min="12978" max="12980" width="11" style="9" customWidth="1"/>
    <col min="12981" max="12983" width="14.5703125" style="9" customWidth="1"/>
    <col min="12984" max="12986" width="15.28515625" style="9" customWidth="1"/>
    <col min="12987" max="12987" width="15.5703125" style="9"/>
    <col min="12988" max="12988" width="44.5703125" style="9" customWidth="1"/>
    <col min="12989" max="12989" width="13.85546875" style="9" customWidth="1"/>
    <col min="12990" max="12990" width="10.85546875" style="9" customWidth="1"/>
    <col min="12991" max="12991" width="14.5703125" style="9" customWidth="1"/>
    <col min="12992" max="12992" width="11" style="9" customWidth="1"/>
    <col min="12993" max="12993" width="10.85546875" style="9" customWidth="1"/>
    <col min="12994" max="12994" width="14.5703125" style="9" customWidth="1"/>
    <col min="12995" max="12996" width="15.5703125" style="9" customWidth="1"/>
    <col min="12997" max="12997" width="17.7109375" style="9" customWidth="1"/>
    <col min="12998" max="13223" width="29.28515625" style="9" customWidth="1"/>
    <col min="13224" max="13224" width="42.42578125" style="9" customWidth="1"/>
    <col min="13225" max="13227" width="12.42578125" style="9" customWidth="1"/>
    <col min="13228" max="13230" width="10.85546875" style="9" customWidth="1"/>
    <col min="13231" max="13233" width="14.5703125" style="9" bestFit="1" customWidth="1"/>
    <col min="13234" max="13236" width="11" style="9" customWidth="1"/>
    <col min="13237" max="13239" width="14.5703125" style="9" customWidth="1"/>
    <col min="13240" max="13242" width="15.28515625" style="9" customWidth="1"/>
    <col min="13243" max="13243" width="15.5703125" style="9"/>
    <col min="13244" max="13244" width="44.5703125" style="9" customWidth="1"/>
    <col min="13245" max="13245" width="13.85546875" style="9" customWidth="1"/>
    <col min="13246" max="13246" width="10.85546875" style="9" customWidth="1"/>
    <col min="13247" max="13247" width="14.5703125" style="9" customWidth="1"/>
    <col min="13248" max="13248" width="11" style="9" customWidth="1"/>
    <col min="13249" max="13249" width="10.85546875" style="9" customWidth="1"/>
    <col min="13250" max="13250" width="14.5703125" style="9" customWidth="1"/>
    <col min="13251" max="13252" width="15.5703125" style="9" customWidth="1"/>
    <col min="13253" max="13253" width="17.7109375" style="9" customWidth="1"/>
    <col min="13254" max="13479" width="29.28515625" style="9" customWidth="1"/>
    <col min="13480" max="13480" width="42.42578125" style="9" customWidth="1"/>
    <col min="13481" max="13483" width="12.42578125" style="9" customWidth="1"/>
    <col min="13484" max="13486" width="10.85546875" style="9" customWidth="1"/>
    <col min="13487" max="13489" width="14.5703125" style="9" bestFit="1" customWidth="1"/>
    <col min="13490" max="13492" width="11" style="9" customWidth="1"/>
    <col min="13493" max="13495" width="14.5703125" style="9" customWidth="1"/>
    <col min="13496" max="13498" width="15.28515625" style="9" customWidth="1"/>
    <col min="13499" max="13499" width="15.5703125" style="9"/>
    <col min="13500" max="13500" width="44.5703125" style="9" customWidth="1"/>
    <col min="13501" max="13501" width="13.85546875" style="9" customWidth="1"/>
    <col min="13502" max="13502" width="10.85546875" style="9" customWidth="1"/>
    <col min="13503" max="13503" width="14.5703125" style="9" customWidth="1"/>
    <col min="13504" max="13504" width="11" style="9" customWidth="1"/>
    <col min="13505" max="13505" width="10.85546875" style="9" customWidth="1"/>
    <col min="13506" max="13506" width="14.5703125" style="9" customWidth="1"/>
    <col min="13507" max="13508" width="15.5703125" style="9" customWidth="1"/>
    <col min="13509" max="13509" width="17.7109375" style="9" customWidth="1"/>
    <col min="13510" max="13735" width="29.28515625" style="9" customWidth="1"/>
    <col min="13736" max="13736" width="42.42578125" style="9" customWidth="1"/>
    <col min="13737" max="13739" width="12.42578125" style="9" customWidth="1"/>
    <col min="13740" max="13742" width="10.85546875" style="9" customWidth="1"/>
    <col min="13743" max="13745" width="14.5703125" style="9" bestFit="1" customWidth="1"/>
    <col min="13746" max="13748" width="11" style="9" customWidth="1"/>
    <col min="13749" max="13751" width="14.5703125" style="9" customWidth="1"/>
    <col min="13752" max="13754" width="15.28515625" style="9" customWidth="1"/>
    <col min="13755" max="13755" width="15.5703125" style="9"/>
    <col min="13756" max="13756" width="44.5703125" style="9" customWidth="1"/>
    <col min="13757" max="13757" width="13.85546875" style="9" customWidth="1"/>
    <col min="13758" max="13758" width="10.85546875" style="9" customWidth="1"/>
    <col min="13759" max="13759" width="14.5703125" style="9" customWidth="1"/>
    <col min="13760" max="13760" width="11" style="9" customWidth="1"/>
    <col min="13761" max="13761" width="10.85546875" style="9" customWidth="1"/>
    <col min="13762" max="13762" width="14.5703125" style="9" customWidth="1"/>
    <col min="13763" max="13764" width="15.5703125" style="9" customWidth="1"/>
    <col min="13765" max="13765" width="17.7109375" style="9" customWidth="1"/>
    <col min="13766" max="13991" width="29.28515625" style="9" customWidth="1"/>
    <col min="13992" max="13992" width="42.42578125" style="9" customWidth="1"/>
    <col min="13993" max="13995" width="12.42578125" style="9" customWidth="1"/>
    <col min="13996" max="13998" width="10.85546875" style="9" customWidth="1"/>
    <col min="13999" max="14001" width="14.5703125" style="9" bestFit="1" customWidth="1"/>
    <col min="14002" max="14004" width="11" style="9" customWidth="1"/>
    <col min="14005" max="14007" width="14.5703125" style="9" customWidth="1"/>
    <col min="14008" max="14010" width="15.28515625" style="9" customWidth="1"/>
    <col min="14011" max="14011" width="15.5703125" style="9"/>
    <col min="14012" max="14012" width="44.5703125" style="9" customWidth="1"/>
    <col min="14013" max="14013" width="13.85546875" style="9" customWidth="1"/>
    <col min="14014" max="14014" width="10.85546875" style="9" customWidth="1"/>
    <col min="14015" max="14015" width="14.5703125" style="9" customWidth="1"/>
    <col min="14016" max="14016" width="11" style="9" customWidth="1"/>
    <col min="14017" max="14017" width="10.85546875" style="9" customWidth="1"/>
    <col min="14018" max="14018" width="14.5703125" style="9" customWidth="1"/>
    <col min="14019" max="14020" width="15.5703125" style="9" customWidth="1"/>
    <col min="14021" max="14021" width="17.7109375" style="9" customWidth="1"/>
    <col min="14022" max="14247" width="29.28515625" style="9" customWidth="1"/>
    <col min="14248" max="14248" width="42.42578125" style="9" customWidth="1"/>
    <col min="14249" max="14251" width="12.42578125" style="9" customWidth="1"/>
    <col min="14252" max="14254" width="10.85546875" style="9" customWidth="1"/>
    <col min="14255" max="14257" width="14.5703125" style="9" bestFit="1" customWidth="1"/>
    <col min="14258" max="14260" width="11" style="9" customWidth="1"/>
    <col min="14261" max="14263" width="14.5703125" style="9" customWidth="1"/>
    <col min="14264" max="14266" width="15.28515625" style="9" customWidth="1"/>
    <col min="14267" max="14267" width="15.5703125" style="9"/>
    <col min="14268" max="14268" width="44.5703125" style="9" customWidth="1"/>
    <col min="14269" max="14269" width="13.85546875" style="9" customWidth="1"/>
    <col min="14270" max="14270" width="10.85546875" style="9" customWidth="1"/>
    <col min="14271" max="14271" width="14.5703125" style="9" customWidth="1"/>
    <col min="14272" max="14272" width="11" style="9" customWidth="1"/>
    <col min="14273" max="14273" width="10.85546875" style="9" customWidth="1"/>
    <col min="14274" max="14274" width="14.5703125" style="9" customWidth="1"/>
    <col min="14275" max="14276" width="15.5703125" style="9" customWidth="1"/>
    <col min="14277" max="14277" width="17.7109375" style="9" customWidth="1"/>
    <col min="14278" max="14503" width="29.28515625" style="9" customWidth="1"/>
    <col min="14504" max="14504" width="42.42578125" style="9" customWidth="1"/>
    <col min="14505" max="14507" width="12.42578125" style="9" customWidth="1"/>
    <col min="14508" max="14510" width="10.85546875" style="9" customWidth="1"/>
    <col min="14511" max="14513" width="14.5703125" style="9" bestFit="1" customWidth="1"/>
    <col min="14514" max="14516" width="11" style="9" customWidth="1"/>
    <col min="14517" max="14519" width="14.5703125" style="9" customWidth="1"/>
    <col min="14520" max="14522" width="15.28515625" style="9" customWidth="1"/>
    <col min="14523" max="14523" width="15.5703125" style="9"/>
    <col min="14524" max="14524" width="44.5703125" style="9" customWidth="1"/>
    <col min="14525" max="14525" width="13.85546875" style="9" customWidth="1"/>
    <col min="14526" max="14526" width="10.85546875" style="9" customWidth="1"/>
    <col min="14527" max="14527" width="14.5703125" style="9" customWidth="1"/>
    <col min="14528" max="14528" width="11" style="9" customWidth="1"/>
    <col min="14529" max="14529" width="10.85546875" style="9" customWidth="1"/>
    <col min="14530" max="14530" width="14.5703125" style="9" customWidth="1"/>
    <col min="14531" max="14532" width="15.5703125" style="9" customWidth="1"/>
    <col min="14533" max="14533" width="17.7109375" style="9" customWidth="1"/>
    <col min="14534" max="14759" width="29.28515625" style="9" customWidth="1"/>
    <col min="14760" max="14760" width="42.42578125" style="9" customWidth="1"/>
    <col min="14761" max="14763" width="12.42578125" style="9" customWidth="1"/>
    <col min="14764" max="14766" width="10.85546875" style="9" customWidth="1"/>
    <col min="14767" max="14769" width="14.5703125" style="9" bestFit="1" customWidth="1"/>
    <col min="14770" max="14772" width="11" style="9" customWidth="1"/>
    <col min="14773" max="14775" width="14.5703125" style="9" customWidth="1"/>
    <col min="14776" max="14778" width="15.28515625" style="9" customWidth="1"/>
    <col min="14779" max="14779" width="15.5703125" style="9"/>
    <col min="14780" max="14780" width="44.5703125" style="9" customWidth="1"/>
    <col min="14781" max="14781" width="13.85546875" style="9" customWidth="1"/>
    <col min="14782" max="14782" width="10.85546875" style="9" customWidth="1"/>
    <col min="14783" max="14783" width="14.5703125" style="9" customWidth="1"/>
    <col min="14784" max="14784" width="11" style="9" customWidth="1"/>
    <col min="14785" max="14785" width="10.85546875" style="9" customWidth="1"/>
    <col min="14786" max="14786" width="14.5703125" style="9" customWidth="1"/>
    <col min="14787" max="14788" width="15.5703125" style="9" customWidth="1"/>
    <col min="14789" max="14789" width="17.7109375" style="9" customWidth="1"/>
    <col min="14790" max="15015" width="29.28515625" style="9" customWidth="1"/>
    <col min="15016" max="15016" width="42.42578125" style="9" customWidth="1"/>
    <col min="15017" max="15019" width="12.42578125" style="9" customWidth="1"/>
    <col min="15020" max="15022" width="10.85546875" style="9" customWidth="1"/>
    <col min="15023" max="15025" width="14.5703125" style="9" bestFit="1" customWidth="1"/>
    <col min="15026" max="15028" width="11" style="9" customWidth="1"/>
    <col min="15029" max="15031" width="14.5703125" style="9" customWidth="1"/>
    <col min="15032" max="15034" width="15.28515625" style="9" customWidth="1"/>
    <col min="15035" max="15035" width="15.5703125" style="9"/>
    <col min="15036" max="15036" width="44.5703125" style="9" customWidth="1"/>
    <col min="15037" max="15037" width="13.85546875" style="9" customWidth="1"/>
    <col min="15038" max="15038" width="10.85546875" style="9" customWidth="1"/>
    <col min="15039" max="15039" width="14.5703125" style="9" customWidth="1"/>
    <col min="15040" max="15040" width="11" style="9" customWidth="1"/>
    <col min="15041" max="15041" width="10.85546875" style="9" customWidth="1"/>
    <col min="15042" max="15042" width="14.5703125" style="9" customWidth="1"/>
    <col min="15043" max="15044" width="15.5703125" style="9" customWidth="1"/>
    <col min="15045" max="15045" width="17.7109375" style="9" customWidth="1"/>
    <col min="15046" max="15271" width="29.28515625" style="9" customWidth="1"/>
    <col min="15272" max="15272" width="42.42578125" style="9" customWidth="1"/>
    <col min="15273" max="15275" width="12.42578125" style="9" customWidth="1"/>
    <col min="15276" max="15278" width="10.85546875" style="9" customWidth="1"/>
    <col min="15279" max="15281" width="14.5703125" style="9" bestFit="1" customWidth="1"/>
    <col min="15282" max="15284" width="11" style="9" customWidth="1"/>
    <col min="15285" max="15287" width="14.5703125" style="9" customWidth="1"/>
    <col min="15288" max="15290" width="15.28515625" style="9" customWidth="1"/>
    <col min="15291" max="15291" width="15.5703125" style="9"/>
    <col min="15292" max="15292" width="44.5703125" style="9" customWidth="1"/>
    <col min="15293" max="15293" width="13.85546875" style="9" customWidth="1"/>
    <col min="15294" max="15294" width="10.85546875" style="9" customWidth="1"/>
    <col min="15295" max="15295" width="14.5703125" style="9" customWidth="1"/>
    <col min="15296" max="15296" width="11" style="9" customWidth="1"/>
    <col min="15297" max="15297" width="10.85546875" style="9" customWidth="1"/>
    <col min="15298" max="15298" width="14.5703125" style="9" customWidth="1"/>
    <col min="15299" max="15300" width="15.5703125" style="9" customWidth="1"/>
    <col min="15301" max="15301" width="17.7109375" style="9" customWidth="1"/>
    <col min="15302" max="15527" width="29.28515625" style="9" customWidth="1"/>
    <col min="15528" max="15528" width="42.42578125" style="9" customWidth="1"/>
    <col min="15529" max="15531" width="12.42578125" style="9" customWidth="1"/>
    <col min="15532" max="15534" width="10.85546875" style="9" customWidth="1"/>
    <col min="15535" max="15537" width="14.5703125" style="9" bestFit="1" customWidth="1"/>
    <col min="15538" max="15540" width="11" style="9" customWidth="1"/>
    <col min="15541" max="15543" width="14.5703125" style="9" customWidth="1"/>
    <col min="15544" max="15546" width="15.28515625" style="9" customWidth="1"/>
    <col min="15547" max="15547" width="15.5703125" style="9"/>
    <col min="15548" max="15548" width="44.5703125" style="9" customWidth="1"/>
    <col min="15549" max="15549" width="13.85546875" style="9" customWidth="1"/>
    <col min="15550" max="15550" width="10.85546875" style="9" customWidth="1"/>
    <col min="15551" max="15551" width="14.5703125" style="9" customWidth="1"/>
    <col min="15552" max="15552" width="11" style="9" customWidth="1"/>
    <col min="15553" max="15553" width="10.85546875" style="9" customWidth="1"/>
    <col min="15554" max="15554" width="14.5703125" style="9" customWidth="1"/>
    <col min="15555" max="15556" width="15.5703125" style="9" customWidth="1"/>
    <col min="15557" max="15557" width="17.7109375" style="9" customWidth="1"/>
    <col min="15558" max="15783" width="29.28515625" style="9" customWidth="1"/>
    <col min="15784" max="15784" width="42.42578125" style="9" customWidth="1"/>
    <col min="15785" max="15787" width="12.42578125" style="9" customWidth="1"/>
    <col min="15788" max="15790" width="10.85546875" style="9" customWidth="1"/>
    <col min="15791" max="15793" width="14.5703125" style="9" bestFit="1" customWidth="1"/>
    <col min="15794" max="15796" width="11" style="9" customWidth="1"/>
    <col min="15797" max="15799" width="14.5703125" style="9" customWidth="1"/>
    <col min="15800" max="15802" width="15.28515625" style="9" customWidth="1"/>
    <col min="15803" max="15803" width="15.5703125" style="9"/>
    <col min="15804" max="15804" width="44.5703125" style="9" customWidth="1"/>
    <col min="15805" max="15805" width="13.85546875" style="9" customWidth="1"/>
    <col min="15806" max="15806" width="10.85546875" style="9" customWidth="1"/>
    <col min="15807" max="15807" width="14.5703125" style="9" customWidth="1"/>
    <col min="15808" max="15808" width="11" style="9" customWidth="1"/>
    <col min="15809" max="15809" width="10.85546875" style="9" customWidth="1"/>
    <col min="15810" max="15810" width="14.5703125" style="9" customWidth="1"/>
    <col min="15811" max="15812" width="15.5703125" style="9" customWidth="1"/>
    <col min="15813" max="15813" width="17.7109375" style="9" customWidth="1"/>
    <col min="15814" max="16039" width="29.28515625" style="9" customWidth="1"/>
    <col min="16040" max="16040" width="42.42578125" style="9" customWidth="1"/>
    <col min="16041" max="16043" width="12.42578125" style="9" customWidth="1"/>
    <col min="16044" max="16046" width="10.85546875" style="9" customWidth="1"/>
    <col min="16047" max="16049" width="14.5703125" style="9" bestFit="1" customWidth="1"/>
    <col min="16050" max="16052" width="11" style="9" customWidth="1"/>
    <col min="16053" max="16055" width="14.5703125" style="9" customWidth="1"/>
    <col min="16056" max="16058" width="15.28515625" style="9" customWidth="1"/>
    <col min="16059" max="16059" width="15.5703125" style="9"/>
    <col min="16060" max="16060" width="44.5703125" style="9" customWidth="1"/>
    <col min="16061" max="16061" width="13.85546875" style="9" customWidth="1"/>
    <col min="16062" max="16062" width="10.85546875" style="9" customWidth="1"/>
    <col min="16063" max="16063" width="14.5703125" style="9" customWidth="1"/>
    <col min="16064" max="16064" width="11" style="9" customWidth="1"/>
    <col min="16065" max="16065" width="10.85546875" style="9" customWidth="1"/>
    <col min="16066" max="16066" width="14.5703125" style="9" customWidth="1"/>
    <col min="16067" max="16068" width="15.5703125" style="9" customWidth="1"/>
    <col min="16069" max="16069" width="17.7109375" style="9" customWidth="1"/>
    <col min="16070" max="16295" width="29.28515625" style="9" customWidth="1"/>
    <col min="16296" max="16296" width="42.42578125" style="9" customWidth="1"/>
    <col min="16297" max="16384" width="12.42578125" style="9" customWidth="1"/>
  </cols>
  <sheetData>
    <row r="1" spans="1:187">
      <c r="A1" s="6"/>
    </row>
    <row r="2" spans="1:187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2"/>
      <c r="U2" s="12"/>
      <c r="V2" s="12"/>
      <c r="W2" s="12"/>
      <c r="X2" s="12"/>
      <c r="Y2" s="12"/>
      <c r="Z2" s="13"/>
      <c r="AA2" s="13"/>
      <c r="AB2" s="14" t="s">
        <v>5</v>
      </c>
    </row>
    <row r="3" spans="1:187">
      <c r="A3" s="15" t="s">
        <v>6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</row>
    <row r="4" spans="1:187" s="16" customFormat="1">
      <c r="A4" s="17">
        <v>2022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</row>
    <row r="5" spans="1:187" s="16" customFormat="1">
      <c r="A5" s="18"/>
      <c r="B5" s="15"/>
      <c r="C5" s="15"/>
      <c r="D5" s="15"/>
      <c r="E5" s="19"/>
      <c r="F5" s="19"/>
      <c r="G5" s="19"/>
      <c r="H5" s="19"/>
      <c r="I5" s="19"/>
      <c r="J5" s="20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</row>
    <row r="6" spans="1:187" s="10" customFormat="1" ht="63">
      <c r="A6" s="21" t="s">
        <v>7</v>
      </c>
      <c r="B6" s="22" t="s">
        <v>8</v>
      </c>
      <c r="C6" s="22" t="s">
        <v>8</v>
      </c>
      <c r="D6" s="22" t="s">
        <v>8</v>
      </c>
      <c r="E6" s="23" t="s">
        <v>9</v>
      </c>
      <c r="F6" s="23" t="s">
        <v>9</v>
      </c>
      <c r="G6" s="23" t="s">
        <v>9</v>
      </c>
      <c r="H6" s="23" t="s">
        <v>10</v>
      </c>
      <c r="I6" s="23" t="s">
        <v>10</v>
      </c>
      <c r="J6" s="23" t="s">
        <v>10</v>
      </c>
      <c r="K6" s="23" t="s">
        <v>11</v>
      </c>
      <c r="L6" s="23" t="s">
        <v>11</v>
      </c>
      <c r="M6" s="23" t="s">
        <v>11</v>
      </c>
      <c r="N6" s="23" t="s">
        <v>12</v>
      </c>
      <c r="O6" s="23" t="s">
        <v>12</v>
      </c>
      <c r="P6" s="23" t="s">
        <v>12</v>
      </c>
      <c r="Q6" s="23" t="s">
        <v>13</v>
      </c>
      <c r="R6" s="23" t="s">
        <v>13</v>
      </c>
      <c r="S6" s="23" t="s">
        <v>13</v>
      </c>
      <c r="T6" s="23" t="s">
        <v>14</v>
      </c>
      <c r="U6" s="23" t="s">
        <v>14</v>
      </c>
      <c r="V6" s="23" t="s">
        <v>14</v>
      </c>
      <c r="W6" s="23" t="s">
        <v>15</v>
      </c>
      <c r="X6" s="23" t="s">
        <v>15</v>
      </c>
      <c r="Y6" s="23" t="s">
        <v>15</v>
      </c>
      <c r="Z6" s="23" t="s">
        <v>16</v>
      </c>
      <c r="AA6" s="23" t="s">
        <v>16</v>
      </c>
      <c r="AB6" s="23" t="s">
        <v>16</v>
      </c>
    </row>
    <row r="7" spans="1:187" s="10" customFormat="1">
      <c r="A7" s="24"/>
      <c r="B7" s="25" t="s">
        <v>17</v>
      </c>
      <c r="C7" s="25" t="s">
        <v>18</v>
      </c>
      <c r="D7" s="25" t="s">
        <v>19</v>
      </c>
      <c r="E7" s="25" t="s">
        <v>17</v>
      </c>
      <c r="F7" s="25" t="s">
        <v>18</v>
      </c>
      <c r="G7" s="25" t="s">
        <v>19</v>
      </c>
      <c r="H7" s="25" t="s">
        <v>17</v>
      </c>
      <c r="I7" s="25" t="s">
        <v>18</v>
      </c>
      <c r="J7" s="25" t="s">
        <v>19</v>
      </c>
      <c r="K7" s="25" t="s">
        <v>17</v>
      </c>
      <c r="L7" s="25" t="s">
        <v>18</v>
      </c>
      <c r="M7" s="25" t="s">
        <v>19</v>
      </c>
      <c r="N7" s="25" t="s">
        <v>17</v>
      </c>
      <c r="O7" s="25" t="s">
        <v>18</v>
      </c>
      <c r="P7" s="25" t="s">
        <v>19</v>
      </c>
      <c r="Q7" s="25" t="s">
        <v>17</v>
      </c>
      <c r="R7" s="25" t="s">
        <v>18</v>
      </c>
      <c r="S7" s="25" t="s">
        <v>19</v>
      </c>
      <c r="T7" s="25" t="s">
        <v>17</v>
      </c>
      <c r="U7" s="25" t="s">
        <v>18</v>
      </c>
      <c r="V7" s="25" t="s">
        <v>19</v>
      </c>
      <c r="W7" s="25" t="s">
        <v>17</v>
      </c>
      <c r="X7" s="25" t="s">
        <v>18</v>
      </c>
      <c r="Y7" s="25" t="s">
        <v>19</v>
      </c>
      <c r="Z7" s="25" t="s">
        <v>17</v>
      </c>
      <c r="AA7" s="25" t="s">
        <v>18</v>
      </c>
      <c r="AB7" s="25" t="s">
        <v>19</v>
      </c>
    </row>
    <row r="8" spans="1:187" s="28" customFormat="1">
      <c r="A8" s="26" t="s">
        <v>0</v>
      </c>
      <c r="B8" s="27">
        <f t="shared" ref="B8:D71" si="0">E8+H8+K8+N8+Q8+T8+W8+Z8</f>
        <v>53854280</v>
      </c>
      <c r="C8" s="27">
        <f t="shared" si="0"/>
        <v>55048444</v>
      </c>
      <c r="D8" s="27">
        <f t="shared" si="0"/>
        <v>1194164</v>
      </c>
      <c r="E8" s="27">
        <f>SUM(E9,E90,E341,E361,E365)</f>
        <v>3371851</v>
      </c>
      <c r="F8" s="27">
        <f>SUM(F9,F90,F341,F361,F365)</f>
        <v>3371851</v>
      </c>
      <c r="G8" s="27">
        <f t="shared" ref="G8:G71" si="1">F8-E8</f>
        <v>0</v>
      </c>
      <c r="H8" s="27">
        <f>SUM(H9,H90,H341,H361,H365)</f>
        <v>1123772</v>
      </c>
      <c r="I8" s="27">
        <f>SUM(I9,I90,I341,I361,I365)</f>
        <v>1122710</v>
      </c>
      <c r="J8" s="27">
        <f t="shared" ref="J8:J69" si="2">I8-H8</f>
        <v>-1062</v>
      </c>
      <c r="K8" s="27">
        <f>SUM(K9,K90,K341,K361,K365)</f>
        <v>2575972</v>
      </c>
      <c r="L8" s="27">
        <f>SUM(L9,L90,L341,L361,L365)</f>
        <v>2847941</v>
      </c>
      <c r="M8" s="27">
        <f t="shared" ref="M8:M69" si="3">L8-K8</f>
        <v>271969</v>
      </c>
      <c r="N8" s="27">
        <f>SUM(N9,N90,N341,N361,N365)</f>
        <v>24199889</v>
      </c>
      <c r="O8" s="27">
        <f>SUM(O9,O90,O341,O361,O365)</f>
        <v>24207861</v>
      </c>
      <c r="P8" s="27">
        <f t="shared" ref="P8:P69" si="4">O8-N8</f>
        <v>7972</v>
      </c>
      <c r="Q8" s="27">
        <f>SUM(Q9,Q90,Q341,Q361,Q365)</f>
        <v>1266316</v>
      </c>
      <c r="R8" s="27">
        <f>SUM(R9,R90,R341,R361,R365)</f>
        <v>1255148</v>
      </c>
      <c r="S8" s="27">
        <f t="shared" ref="S8:S69" si="5">R8-Q8</f>
        <v>-11168</v>
      </c>
      <c r="T8" s="27">
        <f>SUM(T9,T90,T341,T361,T365)</f>
        <v>7509932</v>
      </c>
      <c r="U8" s="27">
        <f>SUM(U9,U90,U341,U361,U365)</f>
        <v>7509932</v>
      </c>
      <c r="V8" s="27">
        <f t="shared" ref="V8:V69" si="6">U8-T8</f>
        <v>0</v>
      </c>
      <c r="W8" s="27">
        <f>SUM(W9,W90,W341,W361,W365)</f>
        <v>2712652</v>
      </c>
      <c r="X8" s="27">
        <f>SUM(X9,X90,X341,X361,X365)</f>
        <v>4816753</v>
      </c>
      <c r="Y8" s="27">
        <f t="shared" ref="Y8:Y69" si="7">X8-W8</f>
        <v>2104101</v>
      </c>
      <c r="Z8" s="27">
        <f>SUM(Z9,Z90,Z341,Z361,Z365)</f>
        <v>11093896</v>
      </c>
      <c r="AA8" s="27">
        <f>SUM(AA9,AA90,AA341,AA361,AA365)</f>
        <v>9916248</v>
      </c>
      <c r="AB8" s="27">
        <f t="shared" ref="AB8:AB69" si="8">AA8-Z8</f>
        <v>-1177648</v>
      </c>
    </row>
    <row r="9" spans="1:187" s="28" customFormat="1">
      <c r="A9" s="29" t="s">
        <v>20</v>
      </c>
      <c r="B9" s="30">
        <f t="shared" si="0"/>
        <v>27970614</v>
      </c>
      <c r="C9" s="30">
        <f t="shared" si="0"/>
        <v>28621452</v>
      </c>
      <c r="D9" s="30">
        <f t="shared" si="0"/>
        <v>650838</v>
      </c>
      <c r="E9" s="30">
        <f>SUM(E10,E21,E36,E54,E75,E86,E49,E61)</f>
        <v>2749468</v>
      </c>
      <c r="F9" s="30">
        <f>SUM(F10,F21,F36,F54,F75,F86,F49,F61)</f>
        <v>2749468</v>
      </c>
      <c r="G9" s="30">
        <f t="shared" si="1"/>
        <v>0</v>
      </c>
      <c r="H9" s="30">
        <f>SUM(H10,H21,H36,H54,H75,H86,H49,H61)</f>
        <v>1092436</v>
      </c>
      <c r="I9" s="30">
        <f>SUM(I10,I21,I36,I54,I75,I86,I49,I61)</f>
        <v>1092436</v>
      </c>
      <c r="J9" s="30">
        <f t="shared" si="2"/>
        <v>0</v>
      </c>
      <c r="K9" s="30">
        <f>SUM(K10,K21,K36,K54,K75,K86,K49,K61)</f>
        <v>608571</v>
      </c>
      <c r="L9" s="30">
        <f>SUM(L10,L21,L36,L54,L75,L86,L49,L61)</f>
        <v>639415</v>
      </c>
      <c r="M9" s="30">
        <f t="shared" si="3"/>
        <v>30844</v>
      </c>
      <c r="N9" s="30">
        <f>SUM(N10,N21,N36,N54,N75,N86,N49,N61)</f>
        <v>12638077</v>
      </c>
      <c r="O9" s="30">
        <f>SUM(O10,O21,O36,O54,O75,O86,O49,O61)</f>
        <v>12638627</v>
      </c>
      <c r="P9" s="30">
        <f t="shared" si="4"/>
        <v>550</v>
      </c>
      <c r="Q9" s="30">
        <f>SUM(Q10,Q21,Q36,Q54,Q75,Q86,Q49,Q61)</f>
        <v>806175</v>
      </c>
      <c r="R9" s="30">
        <f>SUM(R10,R21,R36,R54,R75,R86,R49,R61)</f>
        <v>806895</v>
      </c>
      <c r="S9" s="30">
        <f t="shared" si="5"/>
        <v>720</v>
      </c>
      <c r="T9" s="30">
        <f>SUM(T10,T21,T36,T54,T75,T86,T49,T61)</f>
        <v>2438364</v>
      </c>
      <c r="U9" s="30">
        <f>SUM(U10,U21,U36,U54,U75,U86,U49,U61)</f>
        <v>2438364</v>
      </c>
      <c r="V9" s="30">
        <f t="shared" si="6"/>
        <v>0</v>
      </c>
      <c r="W9" s="30">
        <f>SUM(W10,W21,W36,W54,W75,W86,W49,W61)</f>
        <v>2147121</v>
      </c>
      <c r="X9" s="30">
        <f>SUM(X10,X21,X36,X54,X75,X86,X49,X61)</f>
        <v>3503611</v>
      </c>
      <c r="Y9" s="30">
        <f t="shared" si="7"/>
        <v>1356490</v>
      </c>
      <c r="Z9" s="30">
        <f>SUM(Z10,Z21,Z36,Z54,Z75,Z86,Z49,Z61)</f>
        <v>5490402</v>
      </c>
      <c r="AA9" s="30">
        <f>SUM(AA10,AA21,AA36,AA54,AA75,AA86,AA49,AA61)</f>
        <v>4752636</v>
      </c>
      <c r="AB9" s="30">
        <f t="shared" si="8"/>
        <v>-737766</v>
      </c>
    </row>
    <row r="10" spans="1:187" s="11" customFormat="1">
      <c r="A10" s="29" t="s">
        <v>21</v>
      </c>
      <c r="B10" s="30">
        <f t="shared" si="0"/>
        <v>420619</v>
      </c>
      <c r="C10" s="30">
        <f t="shared" si="0"/>
        <v>420557</v>
      </c>
      <c r="D10" s="30">
        <f t="shared" si="0"/>
        <v>-62</v>
      </c>
      <c r="E10" s="30">
        <f>SUM(E11)</f>
        <v>12840</v>
      </c>
      <c r="F10" s="30">
        <f>SUM(F11)</f>
        <v>12840</v>
      </c>
      <c r="G10" s="30">
        <f t="shared" si="1"/>
        <v>0</v>
      </c>
      <c r="H10" s="30">
        <f>SUM(H11)</f>
        <v>131001</v>
      </c>
      <c r="I10" s="30">
        <f>SUM(I11)</f>
        <v>131001</v>
      </c>
      <c r="J10" s="30">
        <f t="shared" si="2"/>
        <v>0</v>
      </c>
      <c r="K10" s="30">
        <f>SUM(K11)</f>
        <v>70418</v>
      </c>
      <c r="L10" s="30">
        <f>SUM(L11)</f>
        <v>70356</v>
      </c>
      <c r="M10" s="30">
        <f t="shared" si="3"/>
        <v>-62</v>
      </c>
      <c r="N10" s="30">
        <f>SUM(N11)</f>
        <v>0</v>
      </c>
      <c r="O10" s="30">
        <f>SUM(O11)</f>
        <v>0</v>
      </c>
      <c r="P10" s="30">
        <f t="shared" si="4"/>
        <v>0</v>
      </c>
      <c r="Q10" s="30">
        <f>SUM(Q11)</f>
        <v>0</v>
      </c>
      <c r="R10" s="30">
        <f>SUM(R11)</f>
        <v>0</v>
      </c>
      <c r="S10" s="30">
        <f t="shared" si="5"/>
        <v>0</v>
      </c>
      <c r="T10" s="30">
        <f>SUM(T11)</f>
        <v>0</v>
      </c>
      <c r="U10" s="30">
        <f>SUM(U11)</f>
        <v>0</v>
      </c>
      <c r="V10" s="30">
        <f t="shared" si="6"/>
        <v>0</v>
      </c>
      <c r="W10" s="30">
        <f>SUM(W11)</f>
        <v>0</v>
      </c>
      <c r="X10" s="30">
        <f>SUM(X11)</f>
        <v>0</v>
      </c>
      <c r="Y10" s="30">
        <f t="shared" si="7"/>
        <v>0</v>
      </c>
      <c r="Z10" s="30">
        <f>SUM(Z11)</f>
        <v>206360</v>
      </c>
      <c r="AA10" s="30">
        <f>SUM(AA11)</f>
        <v>206360</v>
      </c>
      <c r="AB10" s="30">
        <f t="shared" si="8"/>
        <v>0</v>
      </c>
    </row>
    <row r="11" spans="1:187" s="28" customFormat="1">
      <c r="A11" s="29" t="s">
        <v>22</v>
      </c>
      <c r="B11" s="31">
        <f t="shared" si="0"/>
        <v>420619</v>
      </c>
      <c r="C11" s="31">
        <f t="shared" si="0"/>
        <v>420557</v>
      </c>
      <c r="D11" s="31">
        <f t="shared" si="0"/>
        <v>-62</v>
      </c>
      <c r="E11" s="31">
        <f>SUM(E12:E20)</f>
        <v>12840</v>
      </c>
      <c r="F11" s="31">
        <f>SUM(F12:F20)</f>
        <v>12840</v>
      </c>
      <c r="G11" s="31">
        <f t="shared" si="1"/>
        <v>0</v>
      </c>
      <c r="H11" s="31">
        <f>SUM(H12:H20)</f>
        <v>131001</v>
      </c>
      <c r="I11" s="31">
        <f>SUM(I12:I20)</f>
        <v>131001</v>
      </c>
      <c r="J11" s="31">
        <f t="shared" si="2"/>
        <v>0</v>
      </c>
      <c r="K11" s="31">
        <f>SUM(K12:K20)</f>
        <v>70418</v>
      </c>
      <c r="L11" s="31">
        <f>SUM(L12:L20)</f>
        <v>70356</v>
      </c>
      <c r="M11" s="31">
        <f t="shared" si="3"/>
        <v>-62</v>
      </c>
      <c r="N11" s="31">
        <f>SUM(N12:N20)</f>
        <v>0</v>
      </c>
      <c r="O11" s="31">
        <f>SUM(O12:O20)</f>
        <v>0</v>
      </c>
      <c r="P11" s="31">
        <f t="shared" si="4"/>
        <v>0</v>
      </c>
      <c r="Q11" s="31">
        <f>SUM(Q12:Q20)</f>
        <v>0</v>
      </c>
      <c r="R11" s="31">
        <f>SUM(R12:R20)</f>
        <v>0</v>
      </c>
      <c r="S11" s="31">
        <f t="shared" si="5"/>
        <v>0</v>
      </c>
      <c r="T11" s="31">
        <f>SUM(T12:T20)</f>
        <v>0</v>
      </c>
      <c r="U11" s="31">
        <f>SUM(U12:U20)</f>
        <v>0</v>
      </c>
      <c r="V11" s="31">
        <f t="shared" si="6"/>
        <v>0</v>
      </c>
      <c r="W11" s="31">
        <f>SUM(W12:W20)</f>
        <v>0</v>
      </c>
      <c r="X11" s="31">
        <f>SUM(X12:X20)</f>
        <v>0</v>
      </c>
      <c r="Y11" s="31">
        <f t="shared" si="7"/>
        <v>0</v>
      </c>
      <c r="Z11" s="31">
        <f>SUM(Z12:Z20)</f>
        <v>206360</v>
      </c>
      <c r="AA11" s="31">
        <f>SUM(AA12:AA20)</f>
        <v>206360</v>
      </c>
      <c r="AB11" s="31">
        <f t="shared" si="8"/>
        <v>0</v>
      </c>
    </row>
    <row r="12" spans="1:187" s="11" customFormat="1" ht="31.5">
      <c r="A12" s="32" t="s">
        <v>23</v>
      </c>
      <c r="B12" s="33">
        <f t="shared" si="0"/>
        <v>8616</v>
      </c>
      <c r="C12" s="33">
        <f t="shared" si="0"/>
        <v>8615</v>
      </c>
      <c r="D12" s="33">
        <f t="shared" si="0"/>
        <v>-1</v>
      </c>
      <c r="E12" s="33">
        <v>0</v>
      </c>
      <c r="F12" s="33">
        <v>0</v>
      </c>
      <c r="G12" s="33">
        <f t="shared" si="1"/>
        <v>0</v>
      </c>
      <c r="H12" s="33">
        <v>0</v>
      </c>
      <c r="I12" s="33">
        <v>0</v>
      </c>
      <c r="J12" s="33">
        <f t="shared" si="2"/>
        <v>0</v>
      </c>
      <c r="K12" s="33">
        <v>8616</v>
      </c>
      <c r="L12" s="33">
        <f>8616-1</f>
        <v>8615</v>
      </c>
      <c r="M12" s="33">
        <f t="shared" si="3"/>
        <v>-1</v>
      </c>
      <c r="N12" s="33"/>
      <c r="O12" s="33"/>
      <c r="P12" s="33">
        <f t="shared" si="4"/>
        <v>0</v>
      </c>
      <c r="Q12" s="33"/>
      <c r="R12" s="33"/>
      <c r="S12" s="33">
        <f t="shared" si="5"/>
        <v>0</v>
      </c>
      <c r="T12" s="33"/>
      <c r="U12" s="33"/>
      <c r="V12" s="33">
        <f t="shared" si="6"/>
        <v>0</v>
      </c>
      <c r="W12" s="33"/>
      <c r="X12" s="33"/>
      <c r="Y12" s="33">
        <f t="shared" si="7"/>
        <v>0</v>
      </c>
      <c r="Z12" s="33"/>
      <c r="AA12" s="33"/>
      <c r="AB12" s="33">
        <f t="shared" si="8"/>
        <v>0</v>
      </c>
    </row>
    <row r="13" spans="1:187" s="11" customFormat="1" ht="31.5">
      <c r="A13" s="32" t="s">
        <v>24</v>
      </c>
      <c r="B13" s="33">
        <f t="shared" si="0"/>
        <v>3548</v>
      </c>
      <c r="C13" s="33">
        <f t="shared" si="0"/>
        <v>3548</v>
      </c>
      <c r="D13" s="33">
        <f t="shared" si="0"/>
        <v>0</v>
      </c>
      <c r="E13" s="33">
        <v>0</v>
      </c>
      <c r="F13" s="33">
        <v>0</v>
      </c>
      <c r="G13" s="33">
        <f t="shared" si="1"/>
        <v>0</v>
      </c>
      <c r="H13" s="33">
        <v>0</v>
      </c>
      <c r="I13" s="33">
        <v>0</v>
      </c>
      <c r="J13" s="33">
        <f t="shared" si="2"/>
        <v>0</v>
      </c>
      <c r="K13" s="33">
        <v>3548</v>
      </c>
      <c r="L13" s="33">
        <v>3548</v>
      </c>
      <c r="M13" s="33">
        <f t="shared" si="3"/>
        <v>0</v>
      </c>
      <c r="N13" s="33"/>
      <c r="O13" s="33"/>
      <c r="P13" s="33">
        <f t="shared" si="4"/>
        <v>0</v>
      </c>
      <c r="Q13" s="33"/>
      <c r="R13" s="33"/>
      <c r="S13" s="33">
        <f t="shared" si="5"/>
        <v>0</v>
      </c>
      <c r="T13" s="33"/>
      <c r="U13" s="33"/>
      <c r="V13" s="33">
        <f t="shared" si="6"/>
        <v>0</v>
      </c>
      <c r="W13" s="33"/>
      <c r="X13" s="33"/>
      <c r="Y13" s="33">
        <f t="shared" si="7"/>
        <v>0</v>
      </c>
      <c r="Z13" s="33"/>
      <c r="AA13" s="33"/>
      <c r="AB13" s="33">
        <f t="shared" si="8"/>
        <v>0</v>
      </c>
    </row>
    <row r="14" spans="1:187" s="11" customFormat="1" ht="31.5">
      <c r="A14" s="32" t="s">
        <v>25</v>
      </c>
      <c r="B14" s="33">
        <f t="shared" si="0"/>
        <v>14706</v>
      </c>
      <c r="C14" s="33">
        <f t="shared" si="0"/>
        <v>14706</v>
      </c>
      <c r="D14" s="33">
        <f t="shared" si="0"/>
        <v>0</v>
      </c>
      <c r="E14" s="33">
        <v>0</v>
      </c>
      <c r="F14" s="33">
        <v>0</v>
      </c>
      <c r="G14" s="33">
        <f t="shared" si="1"/>
        <v>0</v>
      </c>
      <c r="H14" s="33">
        <v>0</v>
      </c>
      <c r="I14" s="33">
        <v>0</v>
      </c>
      <c r="J14" s="33">
        <f t="shared" si="2"/>
        <v>0</v>
      </c>
      <c r="K14" s="33">
        <v>14706</v>
      </c>
      <c r="L14" s="33">
        <v>14706</v>
      </c>
      <c r="M14" s="33">
        <f t="shared" si="3"/>
        <v>0</v>
      </c>
      <c r="N14" s="33"/>
      <c r="O14" s="33"/>
      <c r="P14" s="33">
        <f t="shared" si="4"/>
        <v>0</v>
      </c>
      <c r="Q14" s="33"/>
      <c r="R14" s="33"/>
      <c r="S14" s="33">
        <f t="shared" si="5"/>
        <v>0</v>
      </c>
      <c r="T14" s="33"/>
      <c r="U14" s="33"/>
      <c r="V14" s="33">
        <f t="shared" si="6"/>
        <v>0</v>
      </c>
      <c r="W14" s="33"/>
      <c r="X14" s="33"/>
      <c r="Y14" s="33">
        <f t="shared" si="7"/>
        <v>0</v>
      </c>
      <c r="Z14" s="33"/>
      <c r="AA14" s="33"/>
      <c r="AB14" s="33">
        <f t="shared" si="8"/>
        <v>0</v>
      </c>
    </row>
    <row r="15" spans="1:187" s="11" customFormat="1" ht="31.5">
      <c r="A15" s="32" t="s">
        <v>26</v>
      </c>
      <c r="B15" s="33">
        <f t="shared" si="0"/>
        <v>3333</v>
      </c>
      <c r="C15" s="33">
        <f t="shared" si="0"/>
        <v>3333</v>
      </c>
      <c r="D15" s="33">
        <f t="shared" si="0"/>
        <v>0</v>
      </c>
      <c r="E15" s="33">
        <v>0</v>
      </c>
      <c r="F15" s="33">
        <v>0</v>
      </c>
      <c r="G15" s="33">
        <f t="shared" si="1"/>
        <v>0</v>
      </c>
      <c r="H15" s="33">
        <v>0</v>
      </c>
      <c r="I15" s="33">
        <v>0</v>
      </c>
      <c r="J15" s="33">
        <f t="shared" si="2"/>
        <v>0</v>
      </c>
      <c r="K15" s="33">
        <v>3333</v>
      </c>
      <c r="L15" s="33">
        <v>3333</v>
      </c>
      <c r="M15" s="33">
        <f t="shared" si="3"/>
        <v>0</v>
      </c>
      <c r="N15" s="33"/>
      <c r="O15" s="33"/>
      <c r="P15" s="33">
        <f t="shared" si="4"/>
        <v>0</v>
      </c>
      <c r="Q15" s="33"/>
      <c r="R15" s="33"/>
      <c r="S15" s="33">
        <f t="shared" si="5"/>
        <v>0</v>
      </c>
      <c r="T15" s="33"/>
      <c r="U15" s="33"/>
      <c r="V15" s="33">
        <f t="shared" si="6"/>
        <v>0</v>
      </c>
      <c r="W15" s="33"/>
      <c r="X15" s="33"/>
      <c r="Y15" s="33">
        <f t="shared" si="7"/>
        <v>0</v>
      </c>
      <c r="Z15" s="33"/>
      <c r="AA15" s="33"/>
      <c r="AB15" s="33">
        <f t="shared" si="8"/>
        <v>0</v>
      </c>
    </row>
    <row r="16" spans="1:187" s="11" customFormat="1" ht="31.5">
      <c r="A16" s="32" t="s">
        <v>27</v>
      </c>
      <c r="B16" s="33">
        <f t="shared" si="0"/>
        <v>11395</v>
      </c>
      <c r="C16" s="33">
        <f t="shared" si="0"/>
        <v>11395</v>
      </c>
      <c r="D16" s="33">
        <f t="shared" si="0"/>
        <v>0</v>
      </c>
      <c r="E16" s="33">
        <v>0</v>
      </c>
      <c r="F16" s="33">
        <v>0</v>
      </c>
      <c r="G16" s="33">
        <f t="shared" si="1"/>
        <v>0</v>
      </c>
      <c r="H16" s="33">
        <v>0</v>
      </c>
      <c r="I16" s="33">
        <v>0</v>
      </c>
      <c r="J16" s="33">
        <f t="shared" si="2"/>
        <v>0</v>
      </c>
      <c r="K16" s="33">
        <v>11395</v>
      </c>
      <c r="L16" s="33">
        <v>11395</v>
      </c>
      <c r="M16" s="33">
        <f t="shared" si="3"/>
        <v>0</v>
      </c>
      <c r="N16" s="33"/>
      <c r="O16" s="33"/>
      <c r="P16" s="33">
        <f t="shared" si="4"/>
        <v>0</v>
      </c>
      <c r="Q16" s="33"/>
      <c r="R16" s="33"/>
      <c r="S16" s="33">
        <f t="shared" si="5"/>
        <v>0</v>
      </c>
      <c r="T16" s="33"/>
      <c r="U16" s="33"/>
      <c r="V16" s="33">
        <f t="shared" si="6"/>
        <v>0</v>
      </c>
      <c r="W16" s="33"/>
      <c r="X16" s="33"/>
      <c r="Y16" s="33">
        <f t="shared" si="7"/>
        <v>0</v>
      </c>
      <c r="Z16" s="33"/>
      <c r="AA16" s="33"/>
      <c r="AB16" s="33">
        <f t="shared" si="8"/>
        <v>0</v>
      </c>
    </row>
    <row r="17" spans="1:188" s="11" customFormat="1" ht="31.5">
      <c r="A17" s="32" t="s">
        <v>28</v>
      </c>
      <c r="B17" s="33">
        <f t="shared" si="0"/>
        <v>23820</v>
      </c>
      <c r="C17" s="33">
        <f t="shared" si="0"/>
        <v>23759</v>
      </c>
      <c r="D17" s="33">
        <f t="shared" si="0"/>
        <v>-61</v>
      </c>
      <c r="E17" s="33">
        <v>0</v>
      </c>
      <c r="F17" s="33">
        <v>0</v>
      </c>
      <c r="G17" s="33">
        <f t="shared" si="1"/>
        <v>0</v>
      </c>
      <c r="H17" s="33">
        <v>0</v>
      </c>
      <c r="I17" s="33">
        <v>0</v>
      </c>
      <c r="J17" s="33">
        <f t="shared" si="2"/>
        <v>0</v>
      </c>
      <c r="K17" s="33">
        <f>15820+8000</f>
        <v>23820</v>
      </c>
      <c r="L17" s="33">
        <f>15820+8000-61</f>
        <v>23759</v>
      </c>
      <c r="M17" s="33">
        <f t="shared" si="3"/>
        <v>-61</v>
      </c>
      <c r="N17" s="33"/>
      <c r="O17" s="33"/>
      <c r="P17" s="33">
        <f t="shared" si="4"/>
        <v>0</v>
      </c>
      <c r="Q17" s="33"/>
      <c r="R17" s="33"/>
      <c r="S17" s="33">
        <f t="shared" si="5"/>
        <v>0</v>
      </c>
      <c r="T17" s="33"/>
      <c r="U17" s="33"/>
      <c r="V17" s="33">
        <f t="shared" si="6"/>
        <v>0</v>
      </c>
      <c r="W17" s="33"/>
      <c r="X17" s="33"/>
      <c r="Y17" s="33">
        <f t="shared" si="7"/>
        <v>0</v>
      </c>
      <c r="Z17" s="33"/>
      <c r="AA17" s="33"/>
      <c r="AB17" s="33">
        <f t="shared" si="8"/>
        <v>0</v>
      </c>
    </row>
    <row r="18" spans="1:188" s="11" customFormat="1" ht="31.5">
      <c r="A18" s="32" t="s">
        <v>29</v>
      </c>
      <c r="B18" s="33">
        <f t="shared" si="0"/>
        <v>5000</v>
      </c>
      <c r="C18" s="33">
        <f t="shared" si="0"/>
        <v>5000</v>
      </c>
      <c r="D18" s="33">
        <f t="shared" si="0"/>
        <v>0</v>
      </c>
      <c r="E18" s="33">
        <v>0</v>
      </c>
      <c r="F18" s="33">
        <v>0</v>
      </c>
      <c r="G18" s="33">
        <f t="shared" si="1"/>
        <v>0</v>
      </c>
      <c r="H18" s="33">
        <v>0</v>
      </c>
      <c r="I18" s="33">
        <v>0</v>
      </c>
      <c r="J18" s="33">
        <f t="shared" si="2"/>
        <v>0</v>
      </c>
      <c r="K18" s="33">
        <v>5000</v>
      </c>
      <c r="L18" s="33">
        <v>5000</v>
      </c>
      <c r="M18" s="33">
        <f t="shared" si="3"/>
        <v>0</v>
      </c>
      <c r="N18" s="33"/>
      <c r="O18" s="33"/>
      <c r="P18" s="33">
        <f t="shared" si="4"/>
        <v>0</v>
      </c>
      <c r="Q18" s="33"/>
      <c r="R18" s="33"/>
      <c r="S18" s="33">
        <f t="shared" si="5"/>
        <v>0</v>
      </c>
      <c r="T18" s="33"/>
      <c r="U18" s="33"/>
      <c r="V18" s="33">
        <f t="shared" si="6"/>
        <v>0</v>
      </c>
      <c r="W18" s="33"/>
      <c r="X18" s="33"/>
      <c r="Y18" s="33">
        <f t="shared" si="7"/>
        <v>0</v>
      </c>
      <c r="Z18" s="33"/>
      <c r="AA18" s="33"/>
      <c r="AB18" s="33">
        <f t="shared" si="8"/>
        <v>0</v>
      </c>
    </row>
    <row r="19" spans="1:188" s="11" customFormat="1" ht="63">
      <c r="A19" s="32" t="s">
        <v>30</v>
      </c>
      <c r="B19" s="33">
        <f t="shared" si="0"/>
        <v>219200</v>
      </c>
      <c r="C19" s="33">
        <f t="shared" si="0"/>
        <v>219200</v>
      </c>
      <c r="D19" s="33">
        <f t="shared" si="0"/>
        <v>0</v>
      </c>
      <c r="E19" s="33">
        <f>13200+200000+3000+3000-206360</f>
        <v>12840</v>
      </c>
      <c r="F19" s="33">
        <f>13200+200000+3000+3000-206360</f>
        <v>12840</v>
      </c>
      <c r="G19" s="33">
        <f t="shared" si="1"/>
        <v>0</v>
      </c>
      <c r="H19" s="33"/>
      <c r="I19" s="33"/>
      <c r="J19" s="33">
        <f t="shared" si="2"/>
        <v>0</v>
      </c>
      <c r="K19" s="33"/>
      <c r="L19" s="33"/>
      <c r="M19" s="33">
        <f t="shared" si="3"/>
        <v>0</v>
      </c>
      <c r="N19" s="33"/>
      <c r="O19" s="33"/>
      <c r="P19" s="33">
        <f t="shared" si="4"/>
        <v>0</v>
      </c>
      <c r="Q19" s="33"/>
      <c r="R19" s="33"/>
      <c r="S19" s="33">
        <f t="shared" si="5"/>
        <v>0</v>
      </c>
      <c r="T19" s="33"/>
      <c r="U19" s="33"/>
      <c r="V19" s="33">
        <f t="shared" si="6"/>
        <v>0</v>
      </c>
      <c r="W19" s="33"/>
      <c r="X19" s="33"/>
      <c r="Y19" s="33">
        <f t="shared" si="7"/>
        <v>0</v>
      </c>
      <c r="Z19" s="33">
        <v>206360</v>
      </c>
      <c r="AA19" s="33">
        <v>206360</v>
      </c>
      <c r="AB19" s="33">
        <f t="shared" si="8"/>
        <v>0</v>
      </c>
    </row>
    <row r="20" spans="1:188" s="11" customFormat="1" ht="31.5">
      <c r="A20" s="32" t="s">
        <v>32</v>
      </c>
      <c r="B20" s="33">
        <f t="shared" si="0"/>
        <v>131001</v>
      </c>
      <c r="C20" s="33">
        <f t="shared" si="0"/>
        <v>131001</v>
      </c>
      <c r="D20" s="33">
        <f t="shared" si="0"/>
        <v>0</v>
      </c>
      <c r="E20" s="33"/>
      <c r="F20" s="33"/>
      <c r="G20" s="33">
        <f t="shared" si="1"/>
        <v>0</v>
      </c>
      <c r="H20" s="33">
        <f>47490+70572+12939</f>
        <v>131001</v>
      </c>
      <c r="I20" s="33">
        <f>47490+70572+12939</f>
        <v>131001</v>
      </c>
      <c r="J20" s="33">
        <f t="shared" si="2"/>
        <v>0</v>
      </c>
      <c r="K20" s="33"/>
      <c r="L20" s="33"/>
      <c r="M20" s="33">
        <f t="shared" si="3"/>
        <v>0</v>
      </c>
      <c r="N20" s="33"/>
      <c r="O20" s="33"/>
      <c r="P20" s="33">
        <f t="shared" si="4"/>
        <v>0</v>
      </c>
      <c r="Q20" s="33"/>
      <c r="R20" s="33"/>
      <c r="S20" s="33">
        <f t="shared" si="5"/>
        <v>0</v>
      </c>
      <c r="T20" s="33"/>
      <c r="U20" s="33"/>
      <c r="V20" s="33">
        <f t="shared" si="6"/>
        <v>0</v>
      </c>
      <c r="W20" s="33"/>
      <c r="X20" s="33"/>
      <c r="Y20" s="33">
        <f t="shared" si="7"/>
        <v>0</v>
      </c>
      <c r="Z20" s="33"/>
      <c r="AA20" s="33"/>
      <c r="AB20" s="33">
        <f t="shared" si="8"/>
        <v>0</v>
      </c>
    </row>
    <row r="21" spans="1:188" s="28" customFormat="1">
      <c r="A21" s="34" t="s">
        <v>33</v>
      </c>
      <c r="B21" s="31">
        <f t="shared" si="0"/>
        <v>530403</v>
      </c>
      <c r="C21" s="31">
        <f t="shared" si="0"/>
        <v>947144</v>
      </c>
      <c r="D21" s="31">
        <f t="shared" si="0"/>
        <v>416741</v>
      </c>
      <c r="E21" s="31">
        <f>SUM(E22)</f>
        <v>0</v>
      </c>
      <c r="F21" s="31">
        <f>SUM(F22)</f>
        <v>0</v>
      </c>
      <c r="G21" s="31">
        <f t="shared" si="1"/>
        <v>0</v>
      </c>
      <c r="H21" s="31">
        <f>SUM(H22)</f>
        <v>0</v>
      </c>
      <c r="I21" s="31">
        <f>SUM(I22)</f>
        <v>0</v>
      </c>
      <c r="J21" s="31">
        <f t="shared" si="2"/>
        <v>0</v>
      </c>
      <c r="K21" s="31">
        <f>SUM(K22)</f>
        <v>0</v>
      </c>
      <c r="L21" s="31">
        <f>SUM(L22)</f>
        <v>0</v>
      </c>
      <c r="M21" s="31">
        <f t="shared" si="3"/>
        <v>0</v>
      </c>
      <c r="N21" s="31">
        <f>SUM(N22)</f>
        <v>0</v>
      </c>
      <c r="O21" s="31">
        <f>SUM(O22)</f>
        <v>0</v>
      </c>
      <c r="P21" s="31">
        <f t="shared" si="4"/>
        <v>0</v>
      </c>
      <c r="Q21" s="31">
        <f>SUM(Q22)</f>
        <v>0</v>
      </c>
      <c r="R21" s="31">
        <f>SUM(R22)</f>
        <v>0</v>
      </c>
      <c r="S21" s="31">
        <f t="shared" si="5"/>
        <v>0</v>
      </c>
      <c r="T21" s="31">
        <f>SUM(T22)</f>
        <v>294823</v>
      </c>
      <c r="U21" s="31">
        <f>SUM(U22)</f>
        <v>294823</v>
      </c>
      <c r="V21" s="31">
        <f t="shared" si="6"/>
        <v>0</v>
      </c>
      <c r="W21" s="31">
        <f>SUM(W22)</f>
        <v>0</v>
      </c>
      <c r="X21" s="31">
        <f>SUM(X22)</f>
        <v>416741</v>
      </c>
      <c r="Y21" s="31">
        <f t="shared" si="7"/>
        <v>416741</v>
      </c>
      <c r="Z21" s="31">
        <f>SUM(Z22)</f>
        <v>235580</v>
      </c>
      <c r="AA21" s="31">
        <f>SUM(AA22)</f>
        <v>235580</v>
      </c>
      <c r="AB21" s="31">
        <f t="shared" si="8"/>
        <v>0</v>
      </c>
    </row>
    <row r="22" spans="1:188" s="28" customFormat="1">
      <c r="A22" s="29" t="s">
        <v>22</v>
      </c>
      <c r="B22" s="31">
        <f t="shared" si="0"/>
        <v>530403</v>
      </c>
      <c r="C22" s="31">
        <f t="shared" si="0"/>
        <v>947144</v>
      </c>
      <c r="D22" s="31">
        <f t="shared" si="0"/>
        <v>416741</v>
      </c>
      <c r="E22" s="31">
        <f>SUM(E23:E35)</f>
        <v>0</v>
      </c>
      <c r="F22" s="31">
        <f>SUM(F23:F35)</f>
        <v>0</v>
      </c>
      <c r="G22" s="31">
        <f t="shared" si="1"/>
        <v>0</v>
      </c>
      <c r="H22" s="31">
        <f>SUM(H23:H35)</f>
        <v>0</v>
      </c>
      <c r="I22" s="31">
        <f>SUM(I23:I35)</f>
        <v>0</v>
      </c>
      <c r="J22" s="31">
        <f t="shared" si="2"/>
        <v>0</v>
      </c>
      <c r="K22" s="31">
        <f>SUM(K23:K35)</f>
        <v>0</v>
      </c>
      <c r="L22" s="31">
        <f>SUM(L23:L35)</f>
        <v>0</v>
      </c>
      <c r="M22" s="31">
        <f t="shared" si="3"/>
        <v>0</v>
      </c>
      <c r="N22" s="31">
        <f>SUM(N23:N35)</f>
        <v>0</v>
      </c>
      <c r="O22" s="31">
        <f>SUM(O23:O35)</f>
        <v>0</v>
      </c>
      <c r="P22" s="31">
        <f t="shared" si="4"/>
        <v>0</v>
      </c>
      <c r="Q22" s="31">
        <f>SUM(Q23:Q35)</f>
        <v>0</v>
      </c>
      <c r="R22" s="31">
        <f>SUM(R23:R35)</f>
        <v>0</v>
      </c>
      <c r="S22" s="31">
        <f t="shared" si="5"/>
        <v>0</v>
      </c>
      <c r="T22" s="31">
        <f>SUM(T23:T35)</f>
        <v>294823</v>
      </c>
      <c r="U22" s="31">
        <f>SUM(U23:U35)</f>
        <v>294823</v>
      </c>
      <c r="V22" s="31">
        <f t="shared" si="6"/>
        <v>0</v>
      </c>
      <c r="W22" s="31">
        <f>SUM(W23:W35)</f>
        <v>0</v>
      </c>
      <c r="X22" s="31">
        <f>SUM(X23:X35)</f>
        <v>416741</v>
      </c>
      <c r="Y22" s="31">
        <f t="shared" si="7"/>
        <v>416741</v>
      </c>
      <c r="Z22" s="31">
        <f>SUM(Z23:Z35)</f>
        <v>235580</v>
      </c>
      <c r="AA22" s="31">
        <f>SUM(AA23:AA35)</f>
        <v>235580</v>
      </c>
      <c r="AB22" s="31">
        <f t="shared" si="8"/>
        <v>0</v>
      </c>
    </row>
    <row r="23" spans="1:188" s="11" customFormat="1">
      <c r="A23" s="35" t="s">
        <v>34</v>
      </c>
      <c r="B23" s="36">
        <f t="shared" si="0"/>
        <v>110000</v>
      </c>
      <c r="C23" s="36">
        <f t="shared" si="0"/>
        <v>110000</v>
      </c>
      <c r="D23" s="36">
        <f t="shared" si="0"/>
        <v>0</v>
      </c>
      <c r="E23" s="36">
        <v>0</v>
      </c>
      <c r="F23" s="36">
        <v>0</v>
      </c>
      <c r="G23" s="36">
        <f t="shared" si="1"/>
        <v>0</v>
      </c>
      <c r="H23" s="36">
        <v>0</v>
      </c>
      <c r="I23" s="36">
        <v>0</v>
      </c>
      <c r="J23" s="36">
        <f t="shared" si="2"/>
        <v>0</v>
      </c>
      <c r="K23" s="36">
        <v>0</v>
      </c>
      <c r="L23" s="36">
        <v>0</v>
      </c>
      <c r="M23" s="36">
        <f t="shared" si="3"/>
        <v>0</v>
      </c>
      <c r="N23" s="36"/>
      <c r="O23" s="36"/>
      <c r="P23" s="36">
        <f t="shared" si="4"/>
        <v>0</v>
      </c>
      <c r="Q23" s="36"/>
      <c r="R23" s="36"/>
      <c r="S23" s="36">
        <f t="shared" si="5"/>
        <v>0</v>
      </c>
      <c r="T23" s="36">
        <v>0</v>
      </c>
      <c r="U23" s="36">
        <v>0</v>
      </c>
      <c r="V23" s="36">
        <f t="shared" si="6"/>
        <v>0</v>
      </c>
      <c r="W23" s="36"/>
      <c r="X23" s="36"/>
      <c r="Y23" s="36">
        <f t="shared" si="7"/>
        <v>0</v>
      </c>
      <c r="Z23" s="36">
        <f>110000</f>
        <v>110000</v>
      </c>
      <c r="AA23" s="36">
        <f>110000</f>
        <v>110000</v>
      </c>
      <c r="AB23" s="36">
        <f t="shared" si="8"/>
        <v>0</v>
      </c>
    </row>
    <row r="24" spans="1:188" s="11" customFormat="1">
      <c r="A24" s="37" t="s">
        <v>35</v>
      </c>
      <c r="B24" s="36">
        <f t="shared" si="0"/>
        <v>54000</v>
      </c>
      <c r="C24" s="36">
        <f t="shared" si="0"/>
        <v>54000</v>
      </c>
      <c r="D24" s="36">
        <f t="shared" si="0"/>
        <v>0</v>
      </c>
      <c r="E24" s="36">
        <v>0</v>
      </c>
      <c r="F24" s="36">
        <v>0</v>
      </c>
      <c r="G24" s="36">
        <f t="shared" si="1"/>
        <v>0</v>
      </c>
      <c r="H24" s="36">
        <v>0</v>
      </c>
      <c r="I24" s="36">
        <v>0</v>
      </c>
      <c r="J24" s="36">
        <f t="shared" si="2"/>
        <v>0</v>
      </c>
      <c r="K24" s="36"/>
      <c r="L24" s="36"/>
      <c r="M24" s="36">
        <f t="shared" si="3"/>
        <v>0</v>
      </c>
      <c r="N24" s="36">
        <v>0</v>
      </c>
      <c r="O24" s="36">
        <v>0</v>
      </c>
      <c r="P24" s="36">
        <f t="shared" si="4"/>
        <v>0</v>
      </c>
      <c r="Q24" s="36">
        <f>54000-54000</f>
        <v>0</v>
      </c>
      <c r="R24" s="36">
        <f>54000-54000</f>
        <v>0</v>
      </c>
      <c r="S24" s="36">
        <f t="shared" si="5"/>
        <v>0</v>
      </c>
      <c r="T24" s="36">
        <v>0</v>
      </c>
      <c r="U24" s="36">
        <v>0</v>
      </c>
      <c r="V24" s="36">
        <f t="shared" si="6"/>
        <v>0</v>
      </c>
      <c r="W24" s="36">
        <v>0</v>
      </c>
      <c r="X24" s="36">
        <v>0</v>
      </c>
      <c r="Y24" s="36">
        <f t="shared" si="7"/>
        <v>0</v>
      </c>
      <c r="Z24" s="36">
        <f>54000</f>
        <v>54000</v>
      </c>
      <c r="AA24" s="36">
        <f>54000</f>
        <v>54000</v>
      </c>
      <c r="AB24" s="36">
        <f t="shared" si="8"/>
        <v>0</v>
      </c>
    </row>
    <row r="25" spans="1:188" s="11" customFormat="1">
      <c r="A25" s="37" t="s">
        <v>36</v>
      </c>
      <c r="B25" s="36">
        <f t="shared" si="0"/>
        <v>39400</v>
      </c>
      <c r="C25" s="36">
        <f t="shared" si="0"/>
        <v>39400</v>
      </c>
      <c r="D25" s="36">
        <f t="shared" si="0"/>
        <v>0</v>
      </c>
      <c r="E25" s="36">
        <v>0</v>
      </c>
      <c r="F25" s="36">
        <v>0</v>
      </c>
      <c r="G25" s="36">
        <f t="shared" si="1"/>
        <v>0</v>
      </c>
      <c r="H25" s="36">
        <v>0</v>
      </c>
      <c r="I25" s="36">
        <v>0</v>
      </c>
      <c r="J25" s="36">
        <f t="shared" si="2"/>
        <v>0</v>
      </c>
      <c r="K25" s="36"/>
      <c r="L25" s="36"/>
      <c r="M25" s="36">
        <f t="shared" si="3"/>
        <v>0</v>
      </c>
      <c r="N25" s="36">
        <v>0</v>
      </c>
      <c r="O25" s="36">
        <v>0</v>
      </c>
      <c r="P25" s="36">
        <f t="shared" si="4"/>
        <v>0</v>
      </c>
      <c r="Q25" s="36">
        <f>39400-39400</f>
        <v>0</v>
      </c>
      <c r="R25" s="36">
        <f>39400-39400</f>
        <v>0</v>
      </c>
      <c r="S25" s="36">
        <f t="shared" si="5"/>
        <v>0</v>
      </c>
      <c r="T25" s="36">
        <v>0</v>
      </c>
      <c r="U25" s="36">
        <v>0</v>
      </c>
      <c r="V25" s="36">
        <f t="shared" si="6"/>
        <v>0</v>
      </c>
      <c r="W25" s="36">
        <v>0</v>
      </c>
      <c r="X25" s="36">
        <v>0</v>
      </c>
      <c r="Y25" s="36">
        <f t="shared" si="7"/>
        <v>0</v>
      </c>
      <c r="Z25" s="36">
        <v>39400</v>
      </c>
      <c r="AA25" s="36">
        <v>39400</v>
      </c>
      <c r="AB25" s="36">
        <f t="shared" si="8"/>
        <v>0</v>
      </c>
    </row>
    <row r="26" spans="1:188" s="11" customFormat="1" ht="31.5">
      <c r="A26" s="37" t="s">
        <v>37</v>
      </c>
      <c r="B26" s="36">
        <f t="shared" si="0"/>
        <v>22180</v>
      </c>
      <c r="C26" s="36">
        <f t="shared" si="0"/>
        <v>22180</v>
      </c>
      <c r="D26" s="36">
        <f t="shared" si="0"/>
        <v>0</v>
      </c>
      <c r="E26" s="36">
        <v>0</v>
      </c>
      <c r="F26" s="36">
        <v>0</v>
      </c>
      <c r="G26" s="36">
        <f t="shared" si="1"/>
        <v>0</v>
      </c>
      <c r="H26" s="36">
        <v>0</v>
      </c>
      <c r="I26" s="36">
        <v>0</v>
      </c>
      <c r="J26" s="36">
        <f t="shared" si="2"/>
        <v>0</v>
      </c>
      <c r="K26" s="36"/>
      <c r="L26" s="36"/>
      <c r="M26" s="36">
        <f t="shared" si="3"/>
        <v>0</v>
      </c>
      <c r="N26" s="36">
        <v>0</v>
      </c>
      <c r="O26" s="36">
        <v>0</v>
      </c>
      <c r="P26" s="36">
        <f t="shared" si="4"/>
        <v>0</v>
      </c>
      <c r="Q26" s="36">
        <f>22180-22180</f>
        <v>0</v>
      </c>
      <c r="R26" s="36">
        <f>22180-22180</f>
        <v>0</v>
      </c>
      <c r="S26" s="36">
        <f t="shared" si="5"/>
        <v>0</v>
      </c>
      <c r="T26" s="36">
        <v>0</v>
      </c>
      <c r="U26" s="36">
        <v>0</v>
      </c>
      <c r="V26" s="36">
        <f t="shared" si="6"/>
        <v>0</v>
      </c>
      <c r="W26" s="36">
        <v>0</v>
      </c>
      <c r="X26" s="36">
        <v>0</v>
      </c>
      <c r="Y26" s="36">
        <f t="shared" si="7"/>
        <v>0</v>
      </c>
      <c r="Z26" s="36">
        <v>22180</v>
      </c>
      <c r="AA26" s="36">
        <v>22180</v>
      </c>
      <c r="AB26" s="36">
        <f t="shared" si="8"/>
        <v>0</v>
      </c>
    </row>
    <row r="27" spans="1:188" s="11" customFormat="1" ht="63">
      <c r="A27" s="37" t="s">
        <v>38</v>
      </c>
      <c r="B27" s="36">
        <f t="shared" si="0"/>
        <v>0</v>
      </c>
      <c r="C27" s="36">
        <f t="shared" si="0"/>
        <v>416741</v>
      </c>
      <c r="D27" s="36">
        <f t="shared" si="0"/>
        <v>416741</v>
      </c>
      <c r="E27" s="36">
        <f>639749-639749</f>
        <v>0</v>
      </c>
      <c r="F27" s="36">
        <f>639749-639749</f>
        <v>0</v>
      </c>
      <c r="G27" s="36">
        <f t="shared" si="1"/>
        <v>0</v>
      </c>
      <c r="H27" s="36"/>
      <c r="I27" s="36"/>
      <c r="J27" s="36">
        <f t="shared" si="2"/>
        <v>0</v>
      </c>
      <c r="K27" s="36"/>
      <c r="L27" s="36"/>
      <c r="M27" s="36">
        <f t="shared" si="3"/>
        <v>0</v>
      </c>
      <c r="N27" s="36"/>
      <c r="O27" s="36"/>
      <c r="P27" s="36">
        <f t="shared" si="4"/>
        <v>0</v>
      </c>
      <c r="Q27" s="36"/>
      <c r="R27" s="36"/>
      <c r="S27" s="36">
        <f t="shared" si="5"/>
        <v>0</v>
      </c>
      <c r="T27" s="36"/>
      <c r="U27" s="36"/>
      <c r="V27" s="36">
        <f t="shared" si="6"/>
        <v>0</v>
      </c>
      <c r="W27" s="43">
        <v>0</v>
      </c>
      <c r="X27" s="43">
        <v>416741</v>
      </c>
      <c r="Y27" s="36">
        <f t="shared" si="7"/>
        <v>416741</v>
      </c>
      <c r="Z27" s="43">
        <v>0</v>
      </c>
      <c r="AA27" s="43">
        <v>0</v>
      </c>
      <c r="AB27" s="36">
        <f t="shared" si="8"/>
        <v>0</v>
      </c>
      <c r="FM27" s="28"/>
      <c r="FN27" s="28"/>
      <c r="FO27" s="28"/>
      <c r="FP27" s="28"/>
      <c r="FQ27" s="28"/>
      <c r="FR27" s="28"/>
      <c r="FS27" s="28"/>
      <c r="FT27" s="28"/>
      <c r="FU27" s="28"/>
      <c r="FV27" s="28"/>
      <c r="FW27" s="28"/>
      <c r="FX27" s="28"/>
      <c r="FY27" s="28"/>
      <c r="FZ27" s="28"/>
      <c r="GA27" s="28"/>
      <c r="GB27" s="28"/>
      <c r="GC27" s="28"/>
      <c r="GD27" s="28"/>
      <c r="GE27" s="28"/>
      <c r="GF27" s="28"/>
    </row>
    <row r="28" spans="1:188" s="11" customFormat="1">
      <c r="A28" s="35" t="s">
        <v>39</v>
      </c>
      <c r="B28" s="36">
        <f t="shared" si="0"/>
        <v>10000</v>
      </c>
      <c r="C28" s="36">
        <f t="shared" si="0"/>
        <v>10000</v>
      </c>
      <c r="D28" s="36">
        <f t="shared" si="0"/>
        <v>0</v>
      </c>
      <c r="E28" s="36">
        <v>0</v>
      </c>
      <c r="F28" s="36">
        <v>0</v>
      </c>
      <c r="G28" s="36">
        <f t="shared" si="1"/>
        <v>0</v>
      </c>
      <c r="H28" s="36">
        <v>0</v>
      </c>
      <c r="I28" s="36">
        <v>0</v>
      </c>
      <c r="J28" s="36">
        <f t="shared" si="2"/>
        <v>0</v>
      </c>
      <c r="K28" s="36">
        <v>0</v>
      </c>
      <c r="L28" s="36">
        <v>0</v>
      </c>
      <c r="M28" s="36">
        <f t="shared" si="3"/>
        <v>0</v>
      </c>
      <c r="N28" s="36"/>
      <c r="O28" s="36"/>
      <c r="P28" s="36">
        <f t="shared" si="4"/>
        <v>0</v>
      </c>
      <c r="Q28" s="36">
        <f>10000-10000</f>
        <v>0</v>
      </c>
      <c r="R28" s="36">
        <f>10000-10000</f>
        <v>0</v>
      </c>
      <c r="S28" s="36">
        <f t="shared" si="5"/>
        <v>0</v>
      </c>
      <c r="T28" s="36">
        <v>0</v>
      </c>
      <c r="U28" s="36">
        <v>0</v>
      </c>
      <c r="V28" s="36">
        <f t="shared" si="6"/>
        <v>0</v>
      </c>
      <c r="W28" s="36"/>
      <c r="X28" s="36"/>
      <c r="Y28" s="36">
        <f t="shared" si="7"/>
        <v>0</v>
      </c>
      <c r="Z28" s="36">
        <v>10000</v>
      </c>
      <c r="AA28" s="36">
        <v>10000</v>
      </c>
      <c r="AB28" s="36">
        <f t="shared" si="8"/>
        <v>0</v>
      </c>
      <c r="AC28" s="10"/>
    </row>
    <row r="29" spans="1:188" s="11" customFormat="1" ht="31.5">
      <c r="A29" s="38" t="s">
        <v>40</v>
      </c>
      <c r="B29" s="36">
        <f t="shared" si="0"/>
        <v>21270</v>
      </c>
      <c r="C29" s="36">
        <f t="shared" si="0"/>
        <v>21270</v>
      </c>
      <c r="D29" s="36">
        <f t="shared" si="0"/>
        <v>0</v>
      </c>
      <c r="E29" s="36">
        <v>0</v>
      </c>
      <c r="F29" s="36">
        <v>0</v>
      </c>
      <c r="G29" s="36">
        <f t="shared" si="1"/>
        <v>0</v>
      </c>
      <c r="H29" s="36">
        <v>0</v>
      </c>
      <c r="I29" s="36">
        <v>0</v>
      </c>
      <c r="J29" s="36">
        <f t="shared" si="2"/>
        <v>0</v>
      </c>
      <c r="K29" s="36">
        <v>0</v>
      </c>
      <c r="L29" s="36">
        <v>0</v>
      </c>
      <c r="M29" s="36">
        <f t="shared" si="3"/>
        <v>0</v>
      </c>
      <c r="N29" s="36"/>
      <c r="O29" s="36"/>
      <c r="P29" s="36">
        <f t="shared" si="4"/>
        <v>0</v>
      </c>
      <c r="Q29" s="36"/>
      <c r="R29" s="36"/>
      <c r="S29" s="36">
        <f t="shared" si="5"/>
        <v>0</v>
      </c>
      <c r="T29" s="36">
        <v>21270</v>
      </c>
      <c r="U29" s="36">
        <v>21270</v>
      </c>
      <c r="V29" s="36">
        <f t="shared" si="6"/>
        <v>0</v>
      </c>
      <c r="W29" s="36"/>
      <c r="X29" s="36"/>
      <c r="Y29" s="36">
        <f t="shared" si="7"/>
        <v>0</v>
      </c>
      <c r="Z29" s="36"/>
      <c r="AA29" s="36"/>
      <c r="AB29" s="36">
        <f t="shared" si="8"/>
        <v>0</v>
      </c>
    </row>
    <row r="30" spans="1:188" s="11" customFormat="1" ht="47.25">
      <c r="A30" s="38" t="s">
        <v>41</v>
      </c>
      <c r="B30" s="36">
        <f t="shared" si="0"/>
        <v>1645</v>
      </c>
      <c r="C30" s="36">
        <f t="shared" si="0"/>
        <v>1645</v>
      </c>
      <c r="D30" s="36">
        <f t="shared" si="0"/>
        <v>0</v>
      </c>
      <c r="E30" s="36">
        <v>0</v>
      </c>
      <c r="F30" s="36">
        <v>0</v>
      </c>
      <c r="G30" s="36">
        <f t="shared" si="1"/>
        <v>0</v>
      </c>
      <c r="H30" s="36">
        <v>0</v>
      </c>
      <c r="I30" s="36">
        <v>0</v>
      </c>
      <c r="J30" s="36">
        <f t="shared" si="2"/>
        <v>0</v>
      </c>
      <c r="K30" s="36">
        <v>0</v>
      </c>
      <c r="L30" s="36">
        <v>0</v>
      </c>
      <c r="M30" s="36">
        <f t="shared" si="3"/>
        <v>0</v>
      </c>
      <c r="N30" s="36"/>
      <c r="O30" s="36"/>
      <c r="P30" s="36">
        <f t="shared" si="4"/>
        <v>0</v>
      </c>
      <c r="Q30" s="36"/>
      <c r="R30" s="36"/>
      <c r="S30" s="36">
        <f t="shared" si="5"/>
        <v>0</v>
      </c>
      <c r="T30" s="36">
        <v>1645</v>
      </c>
      <c r="U30" s="36">
        <v>1645</v>
      </c>
      <c r="V30" s="36">
        <f t="shared" si="6"/>
        <v>0</v>
      </c>
      <c r="W30" s="36"/>
      <c r="X30" s="36"/>
      <c r="Y30" s="36">
        <f t="shared" si="7"/>
        <v>0</v>
      </c>
      <c r="Z30" s="36"/>
      <c r="AA30" s="36"/>
      <c r="AB30" s="36">
        <f t="shared" si="8"/>
        <v>0</v>
      </c>
    </row>
    <row r="31" spans="1:188" s="11" customFormat="1" ht="31.5">
      <c r="A31" s="38" t="s">
        <v>42</v>
      </c>
      <c r="B31" s="36">
        <f t="shared" si="0"/>
        <v>79916</v>
      </c>
      <c r="C31" s="36">
        <f t="shared" si="0"/>
        <v>79916</v>
      </c>
      <c r="D31" s="36">
        <f t="shared" si="0"/>
        <v>0</v>
      </c>
      <c r="E31" s="36">
        <v>0</v>
      </c>
      <c r="F31" s="36">
        <v>0</v>
      </c>
      <c r="G31" s="36">
        <f t="shared" si="1"/>
        <v>0</v>
      </c>
      <c r="H31" s="36">
        <v>0</v>
      </c>
      <c r="I31" s="36">
        <v>0</v>
      </c>
      <c r="J31" s="36">
        <f t="shared" si="2"/>
        <v>0</v>
      </c>
      <c r="K31" s="36">
        <v>0</v>
      </c>
      <c r="L31" s="36">
        <v>0</v>
      </c>
      <c r="M31" s="36">
        <f t="shared" si="3"/>
        <v>0</v>
      </c>
      <c r="N31" s="36"/>
      <c r="O31" s="36"/>
      <c r="P31" s="36">
        <f t="shared" si="4"/>
        <v>0</v>
      </c>
      <c r="Q31" s="36"/>
      <c r="R31" s="36"/>
      <c r="S31" s="36">
        <f t="shared" si="5"/>
        <v>0</v>
      </c>
      <c r="T31" s="36">
        <v>79916</v>
      </c>
      <c r="U31" s="36">
        <v>79916</v>
      </c>
      <c r="V31" s="36">
        <f t="shared" si="6"/>
        <v>0</v>
      </c>
      <c r="W31" s="36"/>
      <c r="X31" s="36"/>
      <c r="Y31" s="36">
        <f t="shared" si="7"/>
        <v>0</v>
      </c>
      <c r="Z31" s="36"/>
      <c r="AA31" s="36"/>
      <c r="AB31" s="36">
        <f t="shared" si="8"/>
        <v>0</v>
      </c>
    </row>
    <row r="32" spans="1:188" s="11" customFormat="1" ht="78.75">
      <c r="A32" s="38" t="s">
        <v>43</v>
      </c>
      <c r="B32" s="36">
        <f t="shared" si="0"/>
        <v>15596</v>
      </c>
      <c r="C32" s="36">
        <f t="shared" si="0"/>
        <v>15596</v>
      </c>
      <c r="D32" s="36">
        <f t="shared" si="0"/>
        <v>0</v>
      </c>
      <c r="E32" s="36">
        <v>0</v>
      </c>
      <c r="F32" s="36">
        <v>0</v>
      </c>
      <c r="G32" s="36">
        <f t="shared" si="1"/>
        <v>0</v>
      </c>
      <c r="H32" s="36">
        <v>0</v>
      </c>
      <c r="I32" s="36">
        <v>0</v>
      </c>
      <c r="J32" s="36">
        <f t="shared" si="2"/>
        <v>0</v>
      </c>
      <c r="K32" s="36">
        <v>0</v>
      </c>
      <c r="L32" s="36">
        <v>0</v>
      </c>
      <c r="M32" s="36">
        <f t="shared" si="3"/>
        <v>0</v>
      </c>
      <c r="N32" s="36"/>
      <c r="O32" s="36"/>
      <c r="P32" s="36">
        <f t="shared" si="4"/>
        <v>0</v>
      </c>
      <c r="Q32" s="36"/>
      <c r="R32" s="36"/>
      <c r="S32" s="36">
        <f t="shared" si="5"/>
        <v>0</v>
      </c>
      <c r="T32" s="36">
        <v>15596</v>
      </c>
      <c r="U32" s="36">
        <v>15596</v>
      </c>
      <c r="V32" s="36">
        <f t="shared" si="6"/>
        <v>0</v>
      </c>
      <c r="W32" s="36"/>
      <c r="X32" s="36"/>
      <c r="Y32" s="36">
        <f t="shared" si="7"/>
        <v>0</v>
      </c>
      <c r="Z32" s="36"/>
      <c r="AA32" s="36"/>
      <c r="AB32" s="36">
        <f t="shared" si="8"/>
        <v>0</v>
      </c>
    </row>
    <row r="33" spans="1:187" s="11" customFormat="1" ht="63">
      <c r="A33" s="35" t="s">
        <v>44</v>
      </c>
      <c r="B33" s="33">
        <f t="shared" si="0"/>
        <v>1526</v>
      </c>
      <c r="C33" s="33">
        <f t="shared" si="0"/>
        <v>1526</v>
      </c>
      <c r="D33" s="33">
        <f t="shared" si="0"/>
        <v>0</v>
      </c>
      <c r="E33" s="33">
        <v>0</v>
      </c>
      <c r="F33" s="33">
        <v>0</v>
      </c>
      <c r="G33" s="33">
        <f t="shared" si="1"/>
        <v>0</v>
      </c>
      <c r="H33" s="33">
        <v>0</v>
      </c>
      <c r="I33" s="33">
        <v>0</v>
      </c>
      <c r="J33" s="33">
        <f t="shared" si="2"/>
        <v>0</v>
      </c>
      <c r="K33" s="33">
        <v>0</v>
      </c>
      <c r="L33" s="33">
        <v>0</v>
      </c>
      <c r="M33" s="33">
        <f t="shared" si="3"/>
        <v>0</v>
      </c>
      <c r="N33" s="33"/>
      <c r="O33" s="33"/>
      <c r="P33" s="33">
        <f t="shared" si="4"/>
        <v>0</v>
      </c>
      <c r="Q33" s="33"/>
      <c r="R33" s="33"/>
      <c r="S33" s="33">
        <f t="shared" si="5"/>
        <v>0</v>
      </c>
      <c r="T33" s="33">
        <f>9516-7990</f>
        <v>1526</v>
      </c>
      <c r="U33" s="33">
        <f>9516-7990</f>
        <v>1526</v>
      </c>
      <c r="V33" s="33">
        <f t="shared" si="6"/>
        <v>0</v>
      </c>
      <c r="W33" s="33"/>
      <c r="X33" s="33"/>
      <c r="Y33" s="33">
        <f t="shared" si="7"/>
        <v>0</v>
      </c>
      <c r="Z33" s="33"/>
      <c r="AA33" s="33"/>
      <c r="AB33" s="33">
        <f t="shared" si="8"/>
        <v>0</v>
      </c>
    </row>
    <row r="34" spans="1:187" s="11" customFormat="1" ht="94.5">
      <c r="A34" s="38" t="s">
        <v>45</v>
      </c>
      <c r="B34" s="36">
        <f t="shared" si="0"/>
        <v>122493</v>
      </c>
      <c r="C34" s="36">
        <f t="shared" si="0"/>
        <v>122493</v>
      </c>
      <c r="D34" s="36">
        <f t="shared" si="0"/>
        <v>0</v>
      </c>
      <c r="E34" s="36">
        <f>50000-50000</f>
        <v>0</v>
      </c>
      <c r="F34" s="36">
        <f>50000-50000</f>
        <v>0</v>
      </c>
      <c r="G34" s="36">
        <f t="shared" si="1"/>
        <v>0</v>
      </c>
      <c r="H34" s="36">
        <v>0</v>
      </c>
      <c r="I34" s="36">
        <v>0</v>
      </c>
      <c r="J34" s="36">
        <f t="shared" si="2"/>
        <v>0</v>
      </c>
      <c r="K34" s="36">
        <v>0</v>
      </c>
      <c r="L34" s="36">
        <v>0</v>
      </c>
      <c r="M34" s="36">
        <f t="shared" si="3"/>
        <v>0</v>
      </c>
      <c r="N34" s="36"/>
      <c r="O34" s="36"/>
      <c r="P34" s="36">
        <f t="shared" si="4"/>
        <v>0</v>
      </c>
      <c r="Q34" s="36"/>
      <c r="R34" s="36"/>
      <c r="S34" s="36">
        <f t="shared" si="5"/>
        <v>0</v>
      </c>
      <c r="T34" s="36">
        <f>72493+50000</f>
        <v>122493</v>
      </c>
      <c r="U34" s="36">
        <f>72493+50000</f>
        <v>122493</v>
      </c>
      <c r="V34" s="36">
        <f t="shared" si="6"/>
        <v>0</v>
      </c>
      <c r="W34" s="36"/>
      <c r="X34" s="36"/>
      <c r="Y34" s="36">
        <f t="shared" si="7"/>
        <v>0</v>
      </c>
      <c r="Z34" s="36"/>
      <c r="AA34" s="36"/>
      <c r="AB34" s="36">
        <f t="shared" si="8"/>
        <v>0</v>
      </c>
    </row>
    <row r="35" spans="1:187" s="11" customFormat="1" ht="47.25">
      <c r="A35" s="35" t="s">
        <v>46</v>
      </c>
      <c r="B35" s="33">
        <f t="shared" si="0"/>
        <v>52377</v>
      </c>
      <c r="C35" s="33">
        <f t="shared" si="0"/>
        <v>52377</v>
      </c>
      <c r="D35" s="33">
        <f t="shared" si="0"/>
        <v>0</v>
      </c>
      <c r="E35" s="33">
        <v>0</v>
      </c>
      <c r="F35" s="33">
        <v>0</v>
      </c>
      <c r="G35" s="33">
        <f t="shared" si="1"/>
        <v>0</v>
      </c>
      <c r="H35" s="33">
        <v>0</v>
      </c>
      <c r="I35" s="33">
        <v>0</v>
      </c>
      <c r="J35" s="33">
        <f t="shared" si="2"/>
        <v>0</v>
      </c>
      <c r="K35" s="33">
        <v>0</v>
      </c>
      <c r="L35" s="33">
        <v>0</v>
      </c>
      <c r="M35" s="33">
        <f t="shared" si="3"/>
        <v>0</v>
      </c>
      <c r="N35" s="33"/>
      <c r="O35" s="33"/>
      <c r="P35" s="33">
        <f t="shared" si="4"/>
        <v>0</v>
      </c>
      <c r="Q35" s="33"/>
      <c r="R35" s="33"/>
      <c r="S35" s="33">
        <f t="shared" si="5"/>
        <v>0</v>
      </c>
      <c r="T35" s="33">
        <f>2066+50311</f>
        <v>52377</v>
      </c>
      <c r="U35" s="33">
        <f>2066+50311</f>
        <v>52377</v>
      </c>
      <c r="V35" s="33">
        <f t="shared" si="6"/>
        <v>0</v>
      </c>
      <c r="W35" s="33">
        <f>50311-50311</f>
        <v>0</v>
      </c>
      <c r="X35" s="33">
        <f>50311-50311</f>
        <v>0</v>
      </c>
      <c r="Y35" s="33">
        <f t="shared" si="7"/>
        <v>0</v>
      </c>
      <c r="Z35" s="33">
        <f>50312-50312</f>
        <v>0</v>
      </c>
      <c r="AA35" s="33">
        <f>50312-50312</f>
        <v>0</v>
      </c>
      <c r="AB35" s="33">
        <f t="shared" si="8"/>
        <v>0</v>
      </c>
    </row>
    <row r="36" spans="1:187" s="11" customFormat="1">
      <c r="A36" s="29" t="s">
        <v>47</v>
      </c>
      <c r="B36" s="30">
        <f t="shared" si="0"/>
        <v>2819077</v>
      </c>
      <c r="C36" s="30">
        <f t="shared" si="0"/>
        <v>3059426</v>
      </c>
      <c r="D36" s="30">
        <f t="shared" si="0"/>
        <v>240349</v>
      </c>
      <c r="E36" s="30">
        <f>SUM(E37)</f>
        <v>0</v>
      </c>
      <c r="F36" s="30">
        <f>SUM(F37)</f>
        <v>0</v>
      </c>
      <c r="G36" s="30">
        <f t="shared" si="1"/>
        <v>0</v>
      </c>
      <c r="H36" s="30">
        <f>SUM(H37)</f>
        <v>0</v>
      </c>
      <c r="I36" s="30">
        <f>SUM(I37)</f>
        <v>0</v>
      </c>
      <c r="J36" s="30">
        <f t="shared" si="2"/>
        <v>0</v>
      </c>
      <c r="K36" s="30">
        <f>SUM(K37)</f>
        <v>86154</v>
      </c>
      <c r="L36" s="30">
        <f>SUM(L37)</f>
        <v>124520</v>
      </c>
      <c r="M36" s="30">
        <f t="shared" si="3"/>
        <v>38366</v>
      </c>
      <c r="N36" s="30">
        <f>SUM(N37)</f>
        <v>0</v>
      </c>
      <c r="O36" s="30">
        <f>SUM(O37)</f>
        <v>0</v>
      </c>
      <c r="P36" s="30">
        <f t="shared" si="4"/>
        <v>0</v>
      </c>
      <c r="Q36" s="30">
        <f>SUM(Q37)</f>
        <v>436571</v>
      </c>
      <c r="R36" s="30">
        <f>SUM(R37)</f>
        <v>436571</v>
      </c>
      <c r="S36" s="30">
        <f t="shared" si="5"/>
        <v>0</v>
      </c>
      <c r="T36" s="30">
        <f>SUM(T37)</f>
        <v>17769</v>
      </c>
      <c r="U36" s="30">
        <f>SUM(U37)</f>
        <v>17769</v>
      </c>
      <c r="V36" s="30">
        <f t="shared" si="6"/>
        <v>0</v>
      </c>
      <c r="W36" s="30">
        <f>SUM(W37)</f>
        <v>1418998</v>
      </c>
      <c r="X36" s="30">
        <f>SUM(X37)</f>
        <v>1630624</v>
      </c>
      <c r="Y36" s="30">
        <f t="shared" si="7"/>
        <v>211626</v>
      </c>
      <c r="Z36" s="30">
        <f>SUM(Z37)</f>
        <v>859585</v>
      </c>
      <c r="AA36" s="30">
        <f>SUM(AA37)</f>
        <v>849942</v>
      </c>
      <c r="AB36" s="30">
        <f t="shared" si="8"/>
        <v>-9643</v>
      </c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28"/>
      <c r="BW36" s="28"/>
      <c r="BX36" s="28"/>
      <c r="BY36" s="28"/>
      <c r="BZ36" s="28"/>
      <c r="CA36" s="28"/>
      <c r="CB36" s="28"/>
      <c r="CC36" s="28"/>
      <c r="CD36" s="28"/>
      <c r="CE36" s="28"/>
      <c r="CF36" s="28"/>
      <c r="CG36" s="28"/>
      <c r="CH36" s="28"/>
      <c r="CI36" s="28"/>
      <c r="CJ36" s="28"/>
      <c r="CK36" s="28"/>
      <c r="CL36" s="28"/>
      <c r="CM36" s="28"/>
      <c r="CN36" s="28"/>
      <c r="CO36" s="28"/>
      <c r="CP36" s="28"/>
      <c r="CQ36" s="28"/>
      <c r="CR36" s="28"/>
      <c r="CS36" s="28"/>
      <c r="CT36" s="28"/>
      <c r="CU36" s="28"/>
      <c r="CV36" s="28"/>
      <c r="CW36" s="28"/>
      <c r="CX36" s="28"/>
      <c r="CY36" s="28"/>
      <c r="CZ36" s="28"/>
      <c r="DA36" s="28"/>
      <c r="DB36" s="28"/>
      <c r="DC36" s="28"/>
      <c r="DD36" s="28"/>
      <c r="DE36" s="28"/>
      <c r="DF36" s="28"/>
      <c r="DG36" s="28"/>
      <c r="DH36" s="28"/>
      <c r="DI36" s="28"/>
      <c r="DJ36" s="28"/>
      <c r="DK36" s="28"/>
      <c r="DL36" s="28"/>
      <c r="DM36" s="28"/>
      <c r="DN36" s="28"/>
      <c r="DO36" s="28"/>
      <c r="DP36" s="28"/>
      <c r="DQ36" s="28"/>
      <c r="DR36" s="28"/>
      <c r="DS36" s="28"/>
      <c r="DT36" s="28"/>
      <c r="DU36" s="28"/>
      <c r="DV36" s="28"/>
      <c r="DW36" s="28"/>
      <c r="DX36" s="28"/>
      <c r="DY36" s="28"/>
      <c r="DZ36" s="28"/>
      <c r="EA36" s="28"/>
      <c r="EB36" s="28"/>
      <c r="EC36" s="28"/>
      <c r="ED36" s="28"/>
      <c r="EE36" s="28"/>
      <c r="EF36" s="28"/>
      <c r="EG36" s="28"/>
      <c r="EH36" s="28"/>
      <c r="EI36" s="28"/>
      <c r="EJ36" s="28"/>
      <c r="EK36" s="28"/>
      <c r="EL36" s="28"/>
      <c r="EM36" s="28"/>
      <c r="EN36" s="28"/>
      <c r="EO36" s="28"/>
      <c r="EP36" s="28"/>
      <c r="EQ36" s="28"/>
      <c r="ER36" s="28"/>
      <c r="ES36" s="28"/>
      <c r="ET36" s="28"/>
      <c r="EU36" s="28"/>
      <c r="EV36" s="28"/>
      <c r="EW36" s="28"/>
      <c r="EX36" s="28"/>
      <c r="EY36" s="28"/>
      <c r="EZ36" s="28"/>
      <c r="FA36" s="28"/>
      <c r="FB36" s="28"/>
      <c r="FC36" s="28"/>
      <c r="FD36" s="28"/>
      <c r="FE36" s="28"/>
      <c r="FF36" s="28"/>
      <c r="FG36" s="28"/>
      <c r="FH36" s="28"/>
      <c r="FI36" s="28"/>
      <c r="FJ36" s="28"/>
      <c r="FK36" s="28"/>
      <c r="FL36" s="28"/>
      <c r="FM36" s="28"/>
      <c r="FN36" s="28"/>
      <c r="FO36" s="28"/>
      <c r="FP36" s="28"/>
      <c r="FQ36" s="28"/>
      <c r="FR36" s="28"/>
      <c r="FS36" s="28"/>
      <c r="FT36" s="28"/>
      <c r="FU36" s="28"/>
      <c r="FV36" s="28"/>
      <c r="FW36" s="28"/>
      <c r="FX36" s="28"/>
      <c r="FY36" s="28"/>
      <c r="FZ36" s="28"/>
      <c r="GA36" s="28"/>
      <c r="GB36" s="28"/>
      <c r="GC36" s="28"/>
      <c r="GD36" s="28"/>
      <c r="GE36" s="28"/>
    </row>
    <row r="37" spans="1:187" s="11" customFormat="1">
      <c r="A37" s="29" t="s">
        <v>22</v>
      </c>
      <c r="B37" s="30">
        <f t="shared" si="0"/>
        <v>2819077</v>
      </c>
      <c r="C37" s="30">
        <f t="shared" si="0"/>
        <v>3059426</v>
      </c>
      <c r="D37" s="30">
        <f t="shared" si="0"/>
        <v>240349</v>
      </c>
      <c r="E37" s="30">
        <f>SUM(E38:E48)</f>
        <v>0</v>
      </c>
      <c r="F37" s="30">
        <f>SUM(F38:F48)</f>
        <v>0</v>
      </c>
      <c r="G37" s="30">
        <f t="shared" si="1"/>
        <v>0</v>
      </c>
      <c r="H37" s="30">
        <f>SUM(H38:H48)</f>
        <v>0</v>
      </c>
      <c r="I37" s="30">
        <f>SUM(I38:I48)</f>
        <v>0</v>
      </c>
      <c r="J37" s="30">
        <f t="shared" si="2"/>
        <v>0</v>
      </c>
      <c r="K37" s="30">
        <f>SUM(K38:K48)</f>
        <v>86154</v>
      </c>
      <c r="L37" s="30">
        <f>SUM(L38:L48)</f>
        <v>124520</v>
      </c>
      <c r="M37" s="30">
        <f t="shared" si="3"/>
        <v>38366</v>
      </c>
      <c r="N37" s="30">
        <f>SUM(N38:N48)</f>
        <v>0</v>
      </c>
      <c r="O37" s="30">
        <f>SUM(O38:O48)</f>
        <v>0</v>
      </c>
      <c r="P37" s="30">
        <f t="shared" si="4"/>
        <v>0</v>
      </c>
      <c r="Q37" s="30">
        <f>SUM(Q38:Q48)</f>
        <v>436571</v>
      </c>
      <c r="R37" s="30">
        <f>SUM(R38:R48)</f>
        <v>436571</v>
      </c>
      <c r="S37" s="30">
        <f t="shared" si="5"/>
        <v>0</v>
      </c>
      <c r="T37" s="30">
        <f>SUM(T38:T48)</f>
        <v>17769</v>
      </c>
      <c r="U37" s="30">
        <f>SUM(U38:U48)</f>
        <v>17769</v>
      </c>
      <c r="V37" s="30">
        <f t="shared" si="6"/>
        <v>0</v>
      </c>
      <c r="W37" s="30">
        <f>SUM(W38:W48)</f>
        <v>1418998</v>
      </c>
      <c r="X37" s="30">
        <f>SUM(X38:X48)</f>
        <v>1630624</v>
      </c>
      <c r="Y37" s="30">
        <f t="shared" si="7"/>
        <v>211626</v>
      </c>
      <c r="Z37" s="30">
        <f>SUM(Z38:Z48)</f>
        <v>859585</v>
      </c>
      <c r="AA37" s="30">
        <f>SUM(AA38:AA48)</f>
        <v>849942</v>
      </c>
      <c r="AB37" s="30">
        <f t="shared" si="8"/>
        <v>-9643</v>
      </c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28"/>
      <c r="BO37" s="28"/>
      <c r="BP37" s="28"/>
      <c r="BQ37" s="28"/>
      <c r="BR37" s="28"/>
      <c r="BS37" s="28"/>
      <c r="BT37" s="28"/>
      <c r="BU37" s="28"/>
      <c r="BV37" s="28"/>
      <c r="BW37" s="28"/>
      <c r="BX37" s="28"/>
      <c r="BY37" s="28"/>
      <c r="BZ37" s="28"/>
      <c r="CA37" s="28"/>
      <c r="CB37" s="28"/>
      <c r="CC37" s="28"/>
      <c r="CD37" s="28"/>
      <c r="CE37" s="28"/>
      <c r="CF37" s="28"/>
      <c r="CG37" s="28"/>
      <c r="CH37" s="28"/>
      <c r="CI37" s="28"/>
      <c r="CJ37" s="28"/>
      <c r="CK37" s="28"/>
      <c r="CL37" s="28"/>
      <c r="CM37" s="28"/>
      <c r="CN37" s="28"/>
      <c r="CO37" s="28"/>
      <c r="CP37" s="28"/>
      <c r="CQ37" s="28"/>
      <c r="CR37" s="28"/>
      <c r="CS37" s="28"/>
      <c r="CT37" s="28"/>
      <c r="CU37" s="28"/>
      <c r="CV37" s="28"/>
      <c r="CW37" s="28"/>
      <c r="CX37" s="28"/>
      <c r="CY37" s="28"/>
      <c r="CZ37" s="28"/>
      <c r="DA37" s="28"/>
      <c r="DB37" s="28"/>
      <c r="DC37" s="28"/>
      <c r="DD37" s="28"/>
      <c r="DE37" s="28"/>
      <c r="DF37" s="28"/>
      <c r="DG37" s="28"/>
      <c r="DH37" s="28"/>
      <c r="DI37" s="28"/>
      <c r="DJ37" s="28"/>
      <c r="DK37" s="28"/>
      <c r="DL37" s="28"/>
      <c r="DM37" s="28"/>
      <c r="DN37" s="28"/>
      <c r="DO37" s="28"/>
      <c r="DP37" s="28"/>
      <c r="DQ37" s="28"/>
      <c r="DR37" s="28"/>
      <c r="DS37" s="28"/>
      <c r="DT37" s="28"/>
      <c r="DU37" s="28"/>
      <c r="DV37" s="28"/>
      <c r="DW37" s="28"/>
      <c r="DX37" s="28"/>
      <c r="DY37" s="28"/>
      <c r="DZ37" s="28"/>
      <c r="EA37" s="28"/>
      <c r="EB37" s="28"/>
      <c r="EC37" s="28"/>
      <c r="ED37" s="28"/>
      <c r="EE37" s="28"/>
      <c r="EF37" s="28"/>
      <c r="EG37" s="28"/>
      <c r="EH37" s="28"/>
      <c r="EI37" s="28"/>
      <c r="EJ37" s="28"/>
      <c r="EK37" s="28"/>
      <c r="EL37" s="28"/>
      <c r="EM37" s="28"/>
      <c r="EN37" s="28"/>
      <c r="EO37" s="28"/>
      <c r="EP37" s="28"/>
      <c r="EQ37" s="28"/>
      <c r="ER37" s="28"/>
      <c r="ES37" s="28"/>
      <c r="ET37" s="28"/>
      <c r="EU37" s="28"/>
      <c r="EV37" s="28"/>
      <c r="EW37" s="28"/>
      <c r="EX37" s="28"/>
      <c r="EY37" s="28"/>
      <c r="EZ37" s="28"/>
      <c r="FA37" s="28"/>
      <c r="FB37" s="28"/>
      <c r="FC37" s="28"/>
      <c r="FD37" s="28"/>
      <c r="FE37" s="28"/>
      <c r="FF37" s="28"/>
      <c r="FG37" s="28"/>
      <c r="FH37" s="28"/>
      <c r="FI37" s="28"/>
      <c r="FJ37" s="28"/>
      <c r="FK37" s="28"/>
      <c r="FL37" s="28"/>
      <c r="FM37" s="28"/>
      <c r="FN37" s="28"/>
      <c r="FO37" s="28"/>
      <c r="FP37" s="28"/>
      <c r="FQ37" s="28"/>
      <c r="FR37" s="28"/>
      <c r="FS37" s="28"/>
      <c r="FT37" s="28"/>
      <c r="FU37" s="28"/>
      <c r="FV37" s="28"/>
      <c r="FW37" s="28"/>
      <c r="FX37" s="28"/>
      <c r="FY37" s="28"/>
      <c r="FZ37" s="28"/>
      <c r="GA37" s="28"/>
      <c r="GB37" s="28"/>
      <c r="GC37" s="28"/>
      <c r="GD37" s="28"/>
      <c r="GE37" s="28"/>
    </row>
    <row r="38" spans="1:187" s="11" customFormat="1" ht="31.5">
      <c r="A38" s="39" t="s">
        <v>48</v>
      </c>
      <c r="B38" s="36">
        <f t="shared" si="0"/>
        <v>1365800</v>
      </c>
      <c r="C38" s="36">
        <f t="shared" si="0"/>
        <v>1348471</v>
      </c>
      <c r="D38" s="36">
        <f t="shared" si="0"/>
        <v>-17329</v>
      </c>
      <c r="E38" s="36">
        <v>0</v>
      </c>
      <c r="F38" s="36">
        <v>0</v>
      </c>
      <c r="G38" s="36">
        <f t="shared" si="1"/>
        <v>0</v>
      </c>
      <c r="H38" s="36"/>
      <c r="I38" s="36"/>
      <c r="J38" s="36">
        <f t="shared" si="2"/>
        <v>0</v>
      </c>
      <c r="K38" s="36">
        <v>27828</v>
      </c>
      <c r="L38" s="36">
        <v>27828</v>
      </c>
      <c r="M38" s="36">
        <f t="shared" si="3"/>
        <v>0</v>
      </c>
      <c r="N38" s="36"/>
      <c r="O38" s="36"/>
      <c r="P38" s="36">
        <f t="shared" si="4"/>
        <v>0</v>
      </c>
      <c r="Q38" s="36"/>
      <c r="R38" s="36"/>
      <c r="S38" s="36">
        <f t="shared" si="5"/>
        <v>0</v>
      </c>
      <c r="T38" s="36"/>
      <c r="U38" s="36"/>
      <c r="V38" s="36">
        <f t="shared" si="6"/>
        <v>0</v>
      </c>
      <c r="W38" s="36">
        <f>299953+410701+514785</f>
        <v>1225439</v>
      </c>
      <c r="X38" s="36">
        <f>299953+410701+514785+29643-14093-3236</f>
        <v>1237753</v>
      </c>
      <c r="Y38" s="36">
        <f t="shared" si="7"/>
        <v>12314</v>
      </c>
      <c r="Z38" s="36">
        <f>1365800-299953-410701-27828-514785</f>
        <v>112533</v>
      </c>
      <c r="AA38" s="36">
        <f>1365800-299953-410701-27828-514785-29643</f>
        <v>82890</v>
      </c>
      <c r="AB38" s="36">
        <f t="shared" si="8"/>
        <v>-29643</v>
      </c>
    </row>
    <row r="39" spans="1:187" s="11" customFormat="1" ht="31.5">
      <c r="A39" s="39" t="s">
        <v>49</v>
      </c>
      <c r="B39" s="36">
        <f t="shared" si="0"/>
        <v>100000</v>
      </c>
      <c r="C39" s="36">
        <f t="shared" si="0"/>
        <v>100000</v>
      </c>
      <c r="D39" s="36">
        <f t="shared" si="0"/>
        <v>0</v>
      </c>
      <c r="E39" s="36">
        <v>0</v>
      </c>
      <c r="F39" s="36">
        <v>0</v>
      </c>
      <c r="G39" s="36">
        <f t="shared" si="1"/>
        <v>0</v>
      </c>
      <c r="H39" s="36"/>
      <c r="I39" s="36"/>
      <c r="J39" s="36">
        <f t="shared" si="2"/>
        <v>0</v>
      </c>
      <c r="K39" s="36">
        <v>0</v>
      </c>
      <c r="L39" s="36">
        <v>0</v>
      </c>
      <c r="M39" s="36">
        <f t="shared" si="3"/>
        <v>0</v>
      </c>
      <c r="N39" s="36"/>
      <c r="O39" s="36"/>
      <c r="P39" s="36">
        <f t="shared" si="4"/>
        <v>0</v>
      </c>
      <c r="Q39" s="36"/>
      <c r="R39" s="36"/>
      <c r="S39" s="36">
        <f t="shared" si="5"/>
        <v>0</v>
      </c>
      <c r="T39" s="36"/>
      <c r="U39" s="36"/>
      <c r="V39" s="36">
        <f t="shared" si="6"/>
        <v>0</v>
      </c>
      <c r="W39" s="36"/>
      <c r="X39" s="36"/>
      <c r="Y39" s="36">
        <f t="shared" si="7"/>
        <v>0</v>
      </c>
      <c r="Z39" s="36">
        <v>100000</v>
      </c>
      <c r="AA39" s="36">
        <v>100000</v>
      </c>
      <c r="AB39" s="36">
        <f t="shared" si="8"/>
        <v>0</v>
      </c>
    </row>
    <row r="40" spans="1:187" s="11" customFormat="1" ht="31.5">
      <c r="A40" s="39" t="s">
        <v>50</v>
      </c>
      <c r="B40" s="36">
        <f t="shared" si="0"/>
        <v>0</v>
      </c>
      <c r="C40" s="36">
        <f t="shared" si="0"/>
        <v>20396</v>
      </c>
      <c r="D40" s="36">
        <f t="shared" si="0"/>
        <v>20396</v>
      </c>
      <c r="E40" s="36">
        <v>0</v>
      </c>
      <c r="F40" s="36">
        <v>0</v>
      </c>
      <c r="G40" s="36">
        <f t="shared" si="1"/>
        <v>0</v>
      </c>
      <c r="H40" s="36"/>
      <c r="I40" s="36"/>
      <c r="J40" s="36">
        <f t="shared" si="2"/>
        <v>0</v>
      </c>
      <c r="K40" s="36">
        <v>0</v>
      </c>
      <c r="L40" s="36">
        <v>20396</v>
      </c>
      <c r="M40" s="36">
        <f t="shared" si="3"/>
        <v>20396</v>
      </c>
      <c r="N40" s="36"/>
      <c r="O40" s="36"/>
      <c r="P40" s="36">
        <f t="shared" si="4"/>
        <v>0</v>
      </c>
      <c r="Q40" s="36"/>
      <c r="R40" s="36"/>
      <c r="S40" s="36">
        <f t="shared" si="5"/>
        <v>0</v>
      </c>
      <c r="T40" s="36"/>
      <c r="U40" s="36"/>
      <c r="V40" s="36">
        <f t="shared" si="6"/>
        <v>0</v>
      </c>
      <c r="W40" s="36"/>
      <c r="X40" s="36"/>
      <c r="Y40" s="36">
        <f t="shared" si="7"/>
        <v>0</v>
      </c>
      <c r="Z40" s="36"/>
      <c r="AA40" s="36"/>
      <c r="AB40" s="36">
        <f t="shared" si="8"/>
        <v>0</v>
      </c>
    </row>
    <row r="41" spans="1:187" s="11" customFormat="1" ht="31.5">
      <c r="A41" s="39" t="s">
        <v>51</v>
      </c>
      <c r="B41" s="36">
        <f t="shared" si="0"/>
        <v>0</v>
      </c>
      <c r="C41" s="36">
        <f t="shared" si="0"/>
        <v>17970</v>
      </c>
      <c r="D41" s="36">
        <f t="shared" si="0"/>
        <v>17970</v>
      </c>
      <c r="E41" s="36">
        <v>0</v>
      </c>
      <c r="F41" s="36">
        <v>0</v>
      </c>
      <c r="G41" s="36">
        <f t="shared" si="1"/>
        <v>0</v>
      </c>
      <c r="H41" s="36"/>
      <c r="I41" s="36"/>
      <c r="J41" s="36">
        <f t="shared" si="2"/>
        <v>0</v>
      </c>
      <c r="K41" s="36">
        <v>0</v>
      </c>
      <c r="L41" s="36">
        <f>8970+4500+4500</f>
        <v>17970</v>
      </c>
      <c r="M41" s="36">
        <f t="shared" si="3"/>
        <v>17970</v>
      </c>
      <c r="N41" s="36"/>
      <c r="O41" s="36"/>
      <c r="P41" s="36">
        <f t="shared" si="4"/>
        <v>0</v>
      </c>
      <c r="Q41" s="36"/>
      <c r="R41" s="36"/>
      <c r="S41" s="36">
        <f t="shared" si="5"/>
        <v>0</v>
      </c>
      <c r="T41" s="36"/>
      <c r="U41" s="36"/>
      <c r="V41" s="36">
        <f t="shared" si="6"/>
        <v>0</v>
      </c>
      <c r="W41" s="36"/>
      <c r="X41" s="36"/>
      <c r="Y41" s="36">
        <f t="shared" si="7"/>
        <v>0</v>
      </c>
      <c r="Z41" s="36"/>
      <c r="AA41" s="36"/>
      <c r="AB41" s="36">
        <f t="shared" si="8"/>
        <v>0</v>
      </c>
    </row>
    <row r="42" spans="1:187" s="11" customFormat="1" ht="47.25">
      <c r="A42" s="39" t="s">
        <v>52</v>
      </c>
      <c r="B42" s="36">
        <f t="shared" si="0"/>
        <v>99966</v>
      </c>
      <c r="C42" s="36">
        <f t="shared" si="0"/>
        <v>99966</v>
      </c>
      <c r="D42" s="36">
        <f t="shared" si="0"/>
        <v>0</v>
      </c>
      <c r="E42" s="36">
        <v>0</v>
      </c>
      <c r="F42" s="36">
        <v>0</v>
      </c>
      <c r="G42" s="36">
        <f t="shared" si="1"/>
        <v>0</v>
      </c>
      <c r="H42" s="36"/>
      <c r="I42" s="36"/>
      <c r="J42" s="36">
        <f t="shared" si="2"/>
        <v>0</v>
      </c>
      <c r="K42" s="36"/>
      <c r="L42" s="36"/>
      <c r="M42" s="36">
        <f t="shared" si="3"/>
        <v>0</v>
      </c>
      <c r="N42" s="36"/>
      <c r="O42" s="36"/>
      <c r="P42" s="36">
        <f t="shared" si="4"/>
        <v>0</v>
      </c>
      <c r="Q42" s="36">
        <v>0</v>
      </c>
      <c r="R42" s="36">
        <v>0</v>
      </c>
      <c r="S42" s="36">
        <f t="shared" si="5"/>
        <v>0</v>
      </c>
      <c r="T42" s="36"/>
      <c r="U42" s="36"/>
      <c r="V42" s="36">
        <f t="shared" si="6"/>
        <v>0</v>
      </c>
      <c r="W42" s="36">
        <v>99966</v>
      </c>
      <c r="X42" s="36">
        <v>99966</v>
      </c>
      <c r="Y42" s="36">
        <f t="shared" si="7"/>
        <v>0</v>
      </c>
      <c r="Z42" s="36"/>
      <c r="AA42" s="36"/>
      <c r="AB42" s="36">
        <f t="shared" si="8"/>
        <v>0</v>
      </c>
    </row>
    <row r="43" spans="1:187" s="11" customFormat="1" ht="47.25">
      <c r="A43" s="39" t="s">
        <v>53</v>
      </c>
      <c r="B43" s="36">
        <f t="shared" si="0"/>
        <v>93593</v>
      </c>
      <c r="C43" s="36">
        <f t="shared" si="0"/>
        <v>93593</v>
      </c>
      <c r="D43" s="36">
        <f t="shared" si="0"/>
        <v>0</v>
      </c>
      <c r="E43" s="36">
        <v>0</v>
      </c>
      <c r="F43" s="36">
        <v>0</v>
      </c>
      <c r="G43" s="36">
        <f t="shared" si="1"/>
        <v>0</v>
      </c>
      <c r="H43" s="36"/>
      <c r="I43" s="36"/>
      <c r="J43" s="36">
        <f t="shared" si="2"/>
        <v>0</v>
      </c>
      <c r="K43" s="36"/>
      <c r="L43" s="36"/>
      <c r="M43" s="36">
        <f t="shared" si="3"/>
        <v>0</v>
      </c>
      <c r="N43" s="36"/>
      <c r="O43" s="36"/>
      <c r="P43" s="36">
        <f t="shared" si="4"/>
        <v>0</v>
      </c>
      <c r="Q43" s="36">
        <v>0</v>
      </c>
      <c r="R43" s="36">
        <v>0</v>
      </c>
      <c r="S43" s="36">
        <f t="shared" si="5"/>
        <v>0</v>
      </c>
      <c r="T43" s="36"/>
      <c r="U43" s="36"/>
      <c r="V43" s="36">
        <f t="shared" si="6"/>
        <v>0</v>
      </c>
      <c r="W43" s="36">
        <v>93593</v>
      </c>
      <c r="X43" s="36">
        <v>93593</v>
      </c>
      <c r="Y43" s="36">
        <f t="shared" si="7"/>
        <v>0</v>
      </c>
      <c r="Z43" s="36"/>
      <c r="AA43" s="36"/>
      <c r="AB43" s="36">
        <f t="shared" si="8"/>
        <v>0</v>
      </c>
    </row>
    <row r="44" spans="1:187" s="11" customFormat="1" ht="31.5">
      <c r="A44" s="39" t="s">
        <v>54</v>
      </c>
      <c r="B44" s="36">
        <f t="shared" si="0"/>
        <v>0</v>
      </c>
      <c r="C44" s="36">
        <f t="shared" si="0"/>
        <v>219312</v>
      </c>
      <c r="D44" s="36">
        <f t="shared" si="0"/>
        <v>219312</v>
      </c>
      <c r="E44" s="36">
        <v>0</v>
      </c>
      <c r="F44" s="36">
        <v>0</v>
      </c>
      <c r="G44" s="36">
        <f t="shared" si="1"/>
        <v>0</v>
      </c>
      <c r="H44" s="36"/>
      <c r="I44" s="36"/>
      <c r="J44" s="36">
        <f t="shared" si="2"/>
        <v>0</v>
      </c>
      <c r="K44" s="36"/>
      <c r="L44" s="36"/>
      <c r="M44" s="36">
        <f t="shared" si="3"/>
        <v>0</v>
      </c>
      <c r="N44" s="36"/>
      <c r="O44" s="36"/>
      <c r="P44" s="36">
        <f t="shared" si="4"/>
        <v>0</v>
      </c>
      <c r="Q44" s="36">
        <v>0</v>
      </c>
      <c r="R44" s="36">
        <v>0</v>
      </c>
      <c r="S44" s="36">
        <f t="shared" si="5"/>
        <v>0</v>
      </c>
      <c r="T44" s="36"/>
      <c r="U44" s="36"/>
      <c r="V44" s="36">
        <f t="shared" si="6"/>
        <v>0</v>
      </c>
      <c r="W44" s="36"/>
      <c r="X44" s="36">
        <v>199312</v>
      </c>
      <c r="Y44" s="36">
        <f t="shared" si="7"/>
        <v>199312</v>
      </c>
      <c r="Z44" s="36"/>
      <c r="AA44" s="36">
        <v>20000</v>
      </c>
      <c r="AB44" s="36">
        <f t="shared" si="8"/>
        <v>20000</v>
      </c>
    </row>
    <row r="45" spans="1:187" s="11" customFormat="1" ht="47.25">
      <c r="A45" s="39" t="s">
        <v>55</v>
      </c>
      <c r="B45" s="36">
        <f t="shared" si="0"/>
        <v>962096</v>
      </c>
      <c r="C45" s="36">
        <f t="shared" si="0"/>
        <v>962096</v>
      </c>
      <c r="D45" s="36">
        <f t="shared" si="0"/>
        <v>0</v>
      </c>
      <c r="E45" s="36">
        <f>15233-15233</f>
        <v>0</v>
      </c>
      <c r="F45" s="36">
        <f>15233-15233</f>
        <v>0</v>
      </c>
      <c r="G45" s="36">
        <f t="shared" si="1"/>
        <v>0</v>
      </c>
      <c r="H45" s="36"/>
      <c r="I45" s="36"/>
      <c r="J45" s="36">
        <f t="shared" si="2"/>
        <v>0</v>
      </c>
      <c r="K45" s="36"/>
      <c r="L45" s="36"/>
      <c r="M45" s="36">
        <f t="shared" si="3"/>
        <v>0</v>
      </c>
      <c r="N45" s="36"/>
      <c r="O45" s="36"/>
      <c r="P45" s="36">
        <f t="shared" si="4"/>
        <v>0</v>
      </c>
      <c r="Q45" s="36">
        <v>297275</v>
      </c>
      <c r="R45" s="36">
        <v>297275</v>
      </c>
      <c r="S45" s="36">
        <f t="shared" si="5"/>
        <v>0</v>
      </c>
      <c r="T45" s="36">
        <f>15233+2534+2</f>
        <v>17769</v>
      </c>
      <c r="U45" s="36">
        <f>15233+2534+2</f>
        <v>17769</v>
      </c>
      <c r="V45" s="36">
        <f t="shared" si="6"/>
        <v>0</v>
      </c>
      <c r="W45" s="36"/>
      <c r="X45" s="36"/>
      <c r="Y45" s="36">
        <f t="shared" si="7"/>
        <v>0</v>
      </c>
      <c r="Z45" s="36">
        <v>647052</v>
      </c>
      <c r="AA45" s="36">
        <v>647052</v>
      </c>
      <c r="AB45" s="36">
        <f t="shared" si="8"/>
        <v>0</v>
      </c>
    </row>
    <row r="46" spans="1:187" s="11" customFormat="1" ht="31.5">
      <c r="A46" s="39" t="s">
        <v>56</v>
      </c>
      <c r="B46" s="36">
        <f t="shared" si="0"/>
        <v>15540</v>
      </c>
      <c r="C46" s="36">
        <f t="shared" si="0"/>
        <v>15540</v>
      </c>
      <c r="D46" s="36">
        <f t="shared" si="0"/>
        <v>0</v>
      </c>
      <c r="E46" s="36">
        <v>0</v>
      </c>
      <c r="F46" s="36">
        <v>0</v>
      </c>
      <c r="G46" s="36">
        <f t="shared" si="1"/>
        <v>0</v>
      </c>
      <c r="H46" s="36"/>
      <c r="I46" s="36"/>
      <c r="J46" s="36">
        <f t="shared" si="2"/>
        <v>0</v>
      </c>
      <c r="K46" s="36">
        <f>7700+7840</f>
        <v>15540</v>
      </c>
      <c r="L46" s="36">
        <f>7700+7840</f>
        <v>15540</v>
      </c>
      <c r="M46" s="36">
        <f t="shared" si="3"/>
        <v>0</v>
      </c>
      <c r="N46" s="36"/>
      <c r="O46" s="36"/>
      <c r="P46" s="36">
        <f t="shared" si="4"/>
        <v>0</v>
      </c>
      <c r="Q46" s="36">
        <v>0</v>
      </c>
      <c r="R46" s="36">
        <v>0</v>
      </c>
      <c r="S46" s="36">
        <f t="shared" si="5"/>
        <v>0</v>
      </c>
      <c r="T46" s="36"/>
      <c r="U46" s="36"/>
      <c r="V46" s="36">
        <f t="shared" si="6"/>
        <v>0</v>
      </c>
      <c r="W46" s="36"/>
      <c r="X46" s="36"/>
      <c r="Y46" s="36">
        <f t="shared" si="7"/>
        <v>0</v>
      </c>
      <c r="Z46" s="36"/>
      <c r="AA46" s="36"/>
      <c r="AB46" s="36">
        <f t="shared" si="8"/>
        <v>0</v>
      </c>
    </row>
    <row r="47" spans="1:187" s="11" customFormat="1" ht="31.5">
      <c r="A47" s="39" t="s">
        <v>57</v>
      </c>
      <c r="B47" s="36">
        <f t="shared" si="0"/>
        <v>42786</v>
      </c>
      <c r="C47" s="36">
        <f t="shared" si="0"/>
        <v>42786</v>
      </c>
      <c r="D47" s="36">
        <f t="shared" si="0"/>
        <v>0</v>
      </c>
      <c r="E47" s="36">
        <v>0</v>
      </c>
      <c r="F47" s="36">
        <v>0</v>
      </c>
      <c r="G47" s="36">
        <f t="shared" si="1"/>
        <v>0</v>
      </c>
      <c r="H47" s="36"/>
      <c r="I47" s="36"/>
      <c r="J47" s="36">
        <f t="shared" si="2"/>
        <v>0</v>
      </c>
      <c r="K47" s="36">
        <v>42786</v>
      </c>
      <c r="L47" s="36">
        <v>42786</v>
      </c>
      <c r="M47" s="36">
        <f t="shared" si="3"/>
        <v>0</v>
      </c>
      <c r="N47" s="36"/>
      <c r="O47" s="36"/>
      <c r="P47" s="36">
        <f t="shared" si="4"/>
        <v>0</v>
      </c>
      <c r="Q47" s="36"/>
      <c r="R47" s="36"/>
      <c r="S47" s="36">
        <f t="shared" si="5"/>
        <v>0</v>
      </c>
      <c r="T47" s="36"/>
      <c r="U47" s="36"/>
      <c r="V47" s="36">
        <f t="shared" si="6"/>
        <v>0</v>
      </c>
      <c r="W47" s="36"/>
      <c r="X47" s="36"/>
      <c r="Y47" s="36">
        <f t="shared" si="7"/>
        <v>0</v>
      </c>
      <c r="Z47" s="36"/>
      <c r="AA47" s="36"/>
      <c r="AB47" s="36">
        <f t="shared" si="8"/>
        <v>0</v>
      </c>
    </row>
    <row r="48" spans="1:187" s="11" customFormat="1" ht="31.5">
      <c r="A48" s="39" t="s">
        <v>58</v>
      </c>
      <c r="B48" s="36">
        <f t="shared" si="0"/>
        <v>139296</v>
      </c>
      <c r="C48" s="36">
        <f t="shared" si="0"/>
        <v>139296</v>
      </c>
      <c r="D48" s="36">
        <f t="shared" si="0"/>
        <v>0</v>
      </c>
      <c r="E48" s="36">
        <v>0</v>
      </c>
      <c r="F48" s="36">
        <v>0</v>
      </c>
      <c r="G48" s="36">
        <f t="shared" si="1"/>
        <v>0</v>
      </c>
      <c r="H48" s="36"/>
      <c r="I48" s="36"/>
      <c r="J48" s="36">
        <f t="shared" si="2"/>
        <v>0</v>
      </c>
      <c r="K48" s="36">
        <v>0</v>
      </c>
      <c r="L48" s="36">
        <v>0</v>
      </c>
      <c r="M48" s="36">
        <f t="shared" si="3"/>
        <v>0</v>
      </c>
      <c r="N48" s="36"/>
      <c r="O48" s="36"/>
      <c r="P48" s="36">
        <f t="shared" si="4"/>
        <v>0</v>
      </c>
      <c r="Q48" s="36">
        <v>139296</v>
      </c>
      <c r="R48" s="36">
        <v>139296</v>
      </c>
      <c r="S48" s="36">
        <f t="shared" si="5"/>
        <v>0</v>
      </c>
      <c r="T48" s="36"/>
      <c r="U48" s="36"/>
      <c r="V48" s="36">
        <f t="shared" si="6"/>
        <v>0</v>
      </c>
      <c r="W48" s="36"/>
      <c r="X48" s="36"/>
      <c r="Y48" s="36">
        <f t="shared" si="7"/>
        <v>0</v>
      </c>
      <c r="Z48" s="36"/>
      <c r="AA48" s="36"/>
      <c r="AB48" s="36">
        <f t="shared" si="8"/>
        <v>0</v>
      </c>
    </row>
    <row r="49" spans="1:187" s="11" customFormat="1">
      <c r="A49" s="29" t="s">
        <v>59</v>
      </c>
      <c r="B49" s="30">
        <f t="shared" si="0"/>
        <v>605422</v>
      </c>
      <c r="C49" s="30">
        <f t="shared" si="0"/>
        <v>605422</v>
      </c>
      <c r="D49" s="30">
        <f t="shared" si="0"/>
        <v>0</v>
      </c>
      <c r="E49" s="30">
        <f>SUM(E50)</f>
        <v>0</v>
      </c>
      <c r="F49" s="30">
        <f>SUM(F50)</f>
        <v>0</v>
      </c>
      <c r="G49" s="30">
        <f t="shared" si="1"/>
        <v>0</v>
      </c>
      <c r="H49" s="30">
        <f>SUM(H50)</f>
        <v>0</v>
      </c>
      <c r="I49" s="30">
        <f>SUM(I50)</f>
        <v>0</v>
      </c>
      <c r="J49" s="30">
        <f t="shared" si="2"/>
        <v>0</v>
      </c>
      <c r="K49" s="30">
        <f>SUM(K50)</f>
        <v>122422</v>
      </c>
      <c r="L49" s="30">
        <f>SUM(L50)</f>
        <v>122422</v>
      </c>
      <c r="M49" s="30">
        <f t="shared" si="3"/>
        <v>0</v>
      </c>
      <c r="N49" s="30">
        <f>SUM(N50)</f>
        <v>0</v>
      </c>
      <c r="O49" s="30">
        <f>SUM(O50)</f>
        <v>0</v>
      </c>
      <c r="P49" s="30">
        <f t="shared" si="4"/>
        <v>0</v>
      </c>
      <c r="Q49" s="30">
        <f>SUM(Q50)</f>
        <v>265000</v>
      </c>
      <c r="R49" s="30">
        <f>SUM(R50)</f>
        <v>265000</v>
      </c>
      <c r="S49" s="30">
        <f t="shared" si="5"/>
        <v>0</v>
      </c>
      <c r="T49" s="30">
        <f>SUM(T50)</f>
        <v>0</v>
      </c>
      <c r="U49" s="30">
        <f>SUM(U50)</f>
        <v>0</v>
      </c>
      <c r="V49" s="30">
        <f t="shared" si="6"/>
        <v>0</v>
      </c>
      <c r="W49" s="30">
        <f>SUM(W50)</f>
        <v>0</v>
      </c>
      <c r="X49" s="30">
        <f>SUM(X50)</f>
        <v>0</v>
      </c>
      <c r="Y49" s="30">
        <f t="shared" si="7"/>
        <v>0</v>
      </c>
      <c r="Z49" s="30">
        <f>SUM(Z50)</f>
        <v>218000</v>
      </c>
      <c r="AA49" s="30">
        <f>SUM(AA50)</f>
        <v>218000</v>
      </c>
      <c r="AB49" s="30">
        <f t="shared" si="8"/>
        <v>0</v>
      </c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  <c r="BO49" s="28"/>
      <c r="BP49" s="28"/>
      <c r="BQ49" s="28"/>
      <c r="BR49" s="28"/>
      <c r="BS49" s="28"/>
      <c r="BT49" s="28"/>
      <c r="BU49" s="28"/>
      <c r="BV49" s="28"/>
      <c r="BW49" s="28"/>
      <c r="BX49" s="28"/>
      <c r="BY49" s="28"/>
      <c r="BZ49" s="28"/>
      <c r="CA49" s="28"/>
      <c r="CB49" s="28"/>
      <c r="CC49" s="28"/>
      <c r="CD49" s="28"/>
      <c r="CE49" s="28"/>
      <c r="CF49" s="28"/>
      <c r="CG49" s="28"/>
      <c r="CH49" s="28"/>
      <c r="CI49" s="28"/>
      <c r="CJ49" s="28"/>
      <c r="CK49" s="28"/>
      <c r="CL49" s="28"/>
      <c r="CM49" s="28"/>
      <c r="CN49" s="28"/>
      <c r="CO49" s="28"/>
      <c r="CP49" s="28"/>
      <c r="CQ49" s="28"/>
      <c r="CR49" s="28"/>
      <c r="CS49" s="28"/>
      <c r="CT49" s="28"/>
      <c r="CU49" s="28"/>
      <c r="CV49" s="28"/>
      <c r="CW49" s="28"/>
      <c r="CX49" s="28"/>
      <c r="CY49" s="28"/>
      <c r="CZ49" s="28"/>
      <c r="DA49" s="28"/>
      <c r="DB49" s="28"/>
      <c r="DC49" s="28"/>
      <c r="DD49" s="28"/>
      <c r="DE49" s="28"/>
      <c r="DF49" s="28"/>
      <c r="DG49" s="28"/>
      <c r="DH49" s="28"/>
      <c r="DI49" s="28"/>
      <c r="DJ49" s="28"/>
      <c r="DK49" s="28"/>
      <c r="DL49" s="28"/>
      <c r="DM49" s="28"/>
      <c r="DN49" s="28"/>
      <c r="DO49" s="28"/>
      <c r="DP49" s="28"/>
      <c r="DQ49" s="28"/>
      <c r="DR49" s="28"/>
      <c r="DS49" s="28"/>
      <c r="DT49" s="28"/>
      <c r="DU49" s="28"/>
      <c r="DV49" s="28"/>
      <c r="DW49" s="28"/>
      <c r="DX49" s="28"/>
      <c r="DY49" s="28"/>
      <c r="DZ49" s="28"/>
      <c r="EA49" s="28"/>
      <c r="EB49" s="28"/>
      <c r="EC49" s="28"/>
      <c r="ED49" s="28"/>
      <c r="EE49" s="28"/>
      <c r="EF49" s="28"/>
      <c r="EG49" s="28"/>
      <c r="EH49" s="28"/>
      <c r="EI49" s="28"/>
      <c r="EJ49" s="28"/>
      <c r="EK49" s="28"/>
      <c r="EL49" s="28"/>
      <c r="EM49" s="28"/>
      <c r="EN49" s="28"/>
      <c r="EO49" s="28"/>
      <c r="EP49" s="28"/>
      <c r="EQ49" s="28"/>
      <c r="ER49" s="28"/>
      <c r="ES49" s="28"/>
      <c r="ET49" s="28"/>
      <c r="EU49" s="28"/>
      <c r="EV49" s="28"/>
      <c r="EW49" s="28"/>
      <c r="EX49" s="28"/>
      <c r="EY49" s="28"/>
      <c r="EZ49" s="28"/>
      <c r="FA49" s="28"/>
      <c r="FB49" s="28"/>
      <c r="FC49" s="28"/>
      <c r="FD49" s="28"/>
      <c r="FE49" s="28"/>
      <c r="FF49" s="28"/>
      <c r="FG49" s="28"/>
      <c r="FH49" s="28"/>
      <c r="FI49" s="28"/>
      <c r="FJ49" s="28"/>
      <c r="FK49" s="28"/>
      <c r="FL49" s="28"/>
      <c r="FM49" s="28"/>
      <c r="FN49" s="28"/>
      <c r="FO49" s="28"/>
      <c r="FP49" s="28"/>
      <c r="FQ49" s="28"/>
      <c r="FR49" s="28"/>
      <c r="FS49" s="28"/>
      <c r="FT49" s="28"/>
      <c r="FU49" s="28"/>
      <c r="FV49" s="28"/>
      <c r="FW49" s="28"/>
      <c r="FX49" s="28"/>
      <c r="FY49" s="28"/>
      <c r="FZ49" s="28"/>
      <c r="GA49" s="28"/>
      <c r="GB49" s="28"/>
      <c r="GC49" s="28"/>
      <c r="GD49" s="28"/>
      <c r="GE49" s="28"/>
    </row>
    <row r="50" spans="1:187" s="28" customFormat="1">
      <c r="A50" s="29" t="s">
        <v>22</v>
      </c>
      <c r="B50" s="30">
        <f t="shared" si="0"/>
        <v>605422</v>
      </c>
      <c r="C50" s="30">
        <f t="shared" si="0"/>
        <v>605422</v>
      </c>
      <c r="D50" s="30">
        <f t="shared" si="0"/>
        <v>0</v>
      </c>
      <c r="E50" s="30">
        <f>SUM(E51:E53)</f>
        <v>0</v>
      </c>
      <c r="F50" s="30">
        <f>SUM(F51:F53)</f>
        <v>0</v>
      </c>
      <c r="G50" s="30">
        <f t="shared" si="1"/>
        <v>0</v>
      </c>
      <c r="H50" s="30">
        <f>SUM(H51:H53)</f>
        <v>0</v>
      </c>
      <c r="I50" s="30">
        <f>SUM(I51:I53)</f>
        <v>0</v>
      </c>
      <c r="J50" s="30">
        <f t="shared" si="2"/>
        <v>0</v>
      </c>
      <c r="K50" s="30">
        <f>SUM(K51:K53)</f>
        <v>122422</v>
      </c>
      <c r="L50" s="30">
        <f>SUM(L51:L53)</f>
        <v>122422</v>
      </c>
      <c r="M50" s="30">
        <f t="shared" si="3"/>
        <v>0</v>
      </c>
      <c r="N50" s="30">
        <f>SUM(N51:N53)</f>
        <v>0</v>
      </c>
      <c r="O50" s="30">
        <f>SUM(O51:O53)</f>
        <v>0</v>
      </c>
      <c r="P50" s="30">
        <f t="shared" si="4"/>
        <v>0</v>
      </c>
      <c r="Q50" s="30">
        <f>SUM(Q51:Q53)</f>
        <v>265000</v>
      </c>
      <c r="R50" s="30">
        <f>SUM(R51:R53)</f>
        <v>265000</v>
      </c>
      <c r="S50" s="30">
        <f t="shared" si="5"/>
        <v>0</v>
      </c>
      <c r="T50" s="30">
        <f>SUM(T51:T53)</f>
        <v>0</v>
      </c>
      <c r="U50" s="30">
        <f>SUM(U51:U53)</f>
        <v>0</v>
      </c>
      <c r="V50" s="30">
        <f t="shared" si="6"/>
        <v>0</v>
      </c>
      <c r="W50" s="30">
        <f>SUM(W51:W53)</f>
        <v>0</v>
      </c>
      <c r="X50" s="30">
        <f>SUM(X51:X53)</f>
        <v>0</v>
      </c>
      <c r="Y50" s="30">
        <f t="shared" si="7"/>
        <v>0</v>
      </c>
      <c r="Z50" s="30">
        <f>SUM(Z51:Z53)</f>
        <v>218000</v>
      </c>
      <c r="AA50" s="30">
        <f>SUM(AA51:AA53)</f>
        <v>218000</v>
      </c>
      <c r="AB50" s="30">
        <f t="shared" si="8"/>
        <v>0</v>
      </c>
    </row>
    <row r="51" spans="1:187" s="11" customFormat="1">
      <c r="A51" s="35" t="s">
        <v>60</v>
      </c>
      <c r="B51" s="36">
        <f t="shared" si="0"/>
        <v>350000</v>
      </c>
      <c r="C51" s="36">
        <f t="shared" si="0"/>
        <v>350000</v>
      </c>
      <c r="D51" s="36">
        <f t="shared" si="0"/>
        <v>0</v>
      </c>
      <c r="E51" s="36">
        <v>0</v>
      </c>
      <c r="F51" s="36">
        <v>0</v>
      </c>
      <c r="G51" s="36">
        <f t="shared" si="1"/>
        <v>0</v>
      </c>
      <c r="H51" s="36"/>
      <c r="I51" s="36"/>
      <c r="J51" s="36">
        <f t="shared" si="2"/>
        <v>0</v>
      </c>
      <c r="K51" s="36"/>
      <c r="L51" s="36"/>
      <c r="M51" s="36">
        <f t="shared" si="3"/>
        <v>0</v>
      </c>
      <c r="N51" s="36"/>
      <c r="O51" s="36"/>
      <c r="P51" s="36">
        <f t="shared" si="4"/>
        <v>0</v>
      </c>
      <c r="Q51" s="36">
        <f>170901-38901</f>
        <v>132000</v>
      </c>
      <c r="R51" s="36">
        <f>170901-38901</f>
        <v>132000</v>
      </c>
      <c r="S51" s="36">
        <f t="shared" si="5"/>
        <v>0</v>
      </c>
      <c r="T51" s="36"/>
      <c r="U51" s="36"/>
      <c r="V51" s="36">
        <f t="shared" si="6"/>
        <v>0</v>
      </c>
      <c r="W51" s="36"/>
      <c r="X51" s="36"/>
      <c r="Y51" s="36">
        <f t="shared" si="7"/>
        <v>0</v>
      </c>
      <c r="Z51" s="36">
        <f>179099+38901</f>
        <v>218000</v>
      </c>
      <c r="AA51" s="36">
        <f>179099+38901</f>
        <v>218000</v>
      </c>
      <c r="AB51" s="36">
        <f t="shared" si="8"/>
        <v>0</v>
      </c>
    </row>
    <row r="52" spans="1:187" s="11" customFormat="1" ht="31.5">
      <c r="A52" s="35" t="s">
        <v>61</v>
      </c>
      <c r="B52" s="36">
        <f t="shared" si="0"/>
        <v>133000</v>
      </c>
      <c r="C52" s="36">
        <f t="shared" si="0"/>
        <v>133000</v>
      </c>
      <c r="D52" s="36">
        <f t="shared" si="0"/>
        <v>0</v>
      </c>
      <c r="E52" s="36"/>
      <c r="F52" s="36"/>
      <c r="G52" s="36">
        <f t="shared" si="1"/>
        <v>0</v>
      </c>
      <c r="H52" s="36"/>
      <c r="I52" s="36"/>
      <c r="J52" s="36">
        <f t="shared" si="2"/>
        <v>0</v>
      </c>
      <c r="K52" s="36"/>
      <c r="L52" s="36"/>
      <c r="M52" s="36">
        <f t="shared" si="3"/>
        <v>0</v>
      </c>
      <c r="N52" s="36"/>
      <c r="O52" s="36"/>
      <c r="P52" s="36">
        <f t="shared" si="4"/>
        <v>0</v>
      </c>
      <c r="Q52" s="36">
        <v>133000</v>
      </c>
      <c r="R52" s="36">
        <v>133000</v>
      </c>
      <c r="S52" s="36">
        <f t="shared" si="5"/>
        <v>0</v>
      </c>
      <c r="T52" s="36"/>
      <c r="U52" s="36"/>
      <c r="V52" s="36">
        <f t="shared" si="6"/>
        <v>0</v>
      </c>
      <c r="W52" s="36"/>
      <c r="X52" s="36"/>
      <c r="Y52" s="36">
        <f t="shared" si="7"/>
        <v>0</v>
      </c>
      <c r="Z52" s="36"/>
      <c r="AA52" s="36"/>
      <c r="AB52" s="36">
        <f t="shared" si="8"/>
        <v>0</v>
      </c>
    </row>
    <row r="53" spans="1:187" s="11" customFormat="1" ht="31.5">
      <c r="A53" s="35" t="s">
        <v>62</v>
      </c>
      <c r="B53" s="36">
        <f t="shared" si="0"/>
        <v>122422</v>
      </c>
      <c r="C53" s="36">
        <f t="shared" si="0"/>
        <v>122422</v>
      </c>
      <c r="D53" s="36">
        <f t="shared" si="0"/>
        <v>0</v>
      </c>
      <c r="E53" s="36">
        <v>0</v>
      </c>
      <c r="F53" s="36">
        <v>0</v>
      </c>
      <c r="G53" s="36">
        <f t="shared" si="1"/>
        <v>0</v>
      </c>
      <c r="H53" s="36"/>
      <c r="I53" s="36"/>
      <c r="J53" s="36">
        <f t="shared" si="2"/>
        <v>0</v>
      </c>
      <c r="K53" s="36">
        <v>122422</v>
      </c>
      <c r="L53" s="36">
        <v>122422</v>
      </c>
      <c r="M53" s="36">
        <f t="shared" si="3"/>
        <v>0</v>
      </c>
      <c r="N53" s="36"/>
      <c r="O53" s="36"/>
      <c r="P53" s="36">
        <f t="shared" si="4"/>
        <v>0</v>
      </c>
      <c r="Q53" s="36">
        <f>122422-122422</f>
        <v>0</v>
      </c>
      <c r="R53" s="36">
        <f>122422-122422</f>
        <v>0</v>
      </c>
      <c r="S53" s="36">
        <f t="shared" si="5"/>
        <v>0</v>
      </c>
      <c r="T53" s="36"/>
      <c r="U53" s="36"/>
      <c r="V53" s="36">
        <f t="shared" si="6"/>
        <v>0</v>
      </c>
      <c r="W53" s="36"/>
      <c r="X53" s="36"/>
      <c r="Y53" s="36">
        <f t="shared" si="7"/>
        <v>0</v>
      </c>
      <c r="Z53" s="36"/>
      <c r="AA53" s="36"/>
      <c r="AB53" s="36">
        <f t="shared" si="8"/>
        <v>0</v>
      </c>
    </row>
    <row r="54" spans="1:187" s="11" customFormat="1" ht="31.5">
      <c r="A54" s="29" t="s">
        <v>63</v>
      </c>
      <c r="B54" s="30">
        <f t="shared" si="0"/>
        <v>1288731</v>
      </c>
      <c r="C54" s="30">
        <f t="shared" si="0"/>
        <v>1289449</v>
      </c>
      <c r="D54" s="30">
        <f t="shared" si="0"/>
        <v>718</v>
      </c>
      <c r="E54" s="30">
        <f>SUM(E55)</f>
        <v>0</v>
      </c>
      <c r="F54" s="30">
        <f>SUM(F55)</f>
        <v>0</v>
      </c>
      <c r="G54" s="30">
        <f t="shared" si="1"/>
        <v>0</v>
      </c>
      <c r="H54" s="30">
        <f>SUM(H55)</f>
        <v>0</v>
      </c>
      <c r="I54" s="30">
        <f>SUM(I55)</f>
        <v>0</v>
      </c>
      <c r="J54" s="30">
        <f t="shared" si="2"/>
        <v>0</v>
      </c>
      <c r="K54" s="30">
        <f>SUM(K55)</f>
        <v>216722</v>
      </c>
      <c r="L54" s="30">
        <f>SUM(L55)</f>
        <v>216720</v>
      </c>
      <c r="M54" s="30">
        <f t="shared" si="3"/>
        <v>-2</v>
      </c>
      <c r="N54" s="30">
        <f>SUM(N55)</f>
        <v>903405</v>
      </c>
      <c r="O54" s="30">
        <f>SUM(O55)</f>
        <v>903405</v>
      </c>
      <c r="P54" s="30">
        <f t="shared" si="4"/>
        <v>0</v>
      </c>
      <c r="Q54" s="30">
        <f>SUM(Q55)</f>
        <v>8604</v>
      </c>
      <c r="R54" s="30">
        <f>SUM(R55)</f>
        <v>9324</v>
      </c>
      <c r="S54" s="30">
        <f t="shared" si="5"/>
        <v>720</v>
      </c>
      <c r="T54" s="30">
        <f>SUM(T55)</f>
        <v>0</v>
      </c>
      <c r="U54" s="30">
        <f>SUM(U55)</f>
        <v>0</v>
      </c>
      <c r="V54" s="30">
        <f t="shared" si="6"/>
        <v>0</v>
      </c>
      <c r="W54" s="30">
        <f>SUM(W55)</f>
        <v>0</v>
      </c>
      <c r="X54" s="30">
        <f>SUM(X55)</f>
        <v>0</v>
      </c>
      <c r="Y54" s="30">
        <f t="shared" si="7"/>
        <v>0</v>
      </c>
      <c r="Z54" s="30">
        <f>SUM(Z55)</f>
        <v>160000</v>
      </c>
      <c r="AA54" s="30">
        <f>SUM(AA55)</f>
        <v>160000</v>
      </c>
      <c r="AB54" s="30">
        <f t="shared" si="8"/>
        <v>0</v>
      </c>
    </row>
    <row r="55" spans="1:187" s="11" customFormat="1">
      <c r="A55" s="29" t="s">
        <v>22</v>
      </c>
      <c r="B55" s="30">
        <f t="shared" si="0"/>
        <v>1288731</v>
      </c>
      <c r="C55" s="30">
        <f t="shared" si="0"/>
        <v>1289449</v>
      </c>
      <c r="D55" s="30">
        <f t="shared" si="0"/>
        <v>718</v>
      </c>
      <c r="E55" s="30">
        <f>SUM(E56:E60)</f>
        <v>0</v>
      </c>
      <c r="F55" s="30">
        <f>SUM(F56:F60)</f>
        <v>0</v>
      </c>
      <c r="G55" s="30">
        <f t="shared" si="1"/>
        <v>0</v>
      </c>
      <c r="H55" s="30">
        <f>SUM(H56:H60)</f>
        <v>0</v>
      </c>
      <c r="I55" s="30">
        <f>SUM(I56:I60)</f>
        <v>0</v>
      </c>
      <c r="J55" s="30">
        <f t="shared" si="2"/>
        <v>0</v>
      </c>
      <c r="K55" s="30">
        <f>SUM(K56:K60)</f>
        <v>216722</v>
      </c>
      <c r="L55" s="30">
        <f>SUM(L56:L60)</f>
        <v>216720</v>
      </c>
      <c r="M55" s="30">
        <f t="shared" si="3"/>
        <v>-2</v>
      </c>
      <c r="N55" s="30">
        <f>SUM(N56:N60)</f>
        <v>903405</v>
      </c>
      <c r="O55" s="30">
        <f>SUM(O56:O60)</f>
        <v>903405</v>
      </c>
      <c r="P55" s="30">
        <f t="shared" si="4"/>
        <v>0</v>
      </c>
      <c r="Q55" s="30">
        <f>SUM(Q56:Q60)</f>
        <v>8604</v>
      </c>
      <c r="R55" s="30">
        <f>SUM(R56:R60)</f>
        <v>9324</v>
      </c>
      <c r="S55" s="30">
        <f t="shared" si="5"/>
        <v>720</v>
      </c>
      <c r="T55" s="30">
        <f>SUM(T56:T60)</f>
        <v>0</v>
      </c>
      <c r="U55" s="30">
        <f>SUM(U56:U60)</f>
        <v>0</v>
      </c>
      <c r="V55" s="30">
        <f t="shared" si="6"/>
        <v>0</v>
      </c>
      <c r="W55" s="30">
        <f>SUM(W56:W60)</f>
        <v>0</v>
      </c>
      <c r="X55" s="30">
        <f>SUM(X56:X60)</f>
        <v>0</v>
      </c>
      <c r="Y55" s="30">
        <f t="shared" si="7"/>
        <v>0</v>
      </c>
      <c r="Z55" s="30">
        <f>SUM(Z56:Z60)</f>
        <v>160000</v>
      </c>
      <c r="AA55" s="30">
        <f>SUM(AA56:AA60)</f>
        <v>160000</v>
      </c>
      <c r="AB55" s="30">
        <f t="shared" si="8"/>
        <v>0</v>
      </c>
    </row>
    <row r="56" spans="1:187" s="28" customFormat="1" ht="110.25">
      <c r="A56" s="38" t="s">
        <v>64</v>
      </c>
      <c r="B56" s="42">
        <f t="shared" si="0"/>
        <v>408069</v>
      </c>
      <c r="C56" s="42">
        <f t="shared" si="0"/>
        <v>408789</v>
      </c>
      <c r="D56" s="42">
        <f t="shared" si="0"/>
        <v>720</v>
      </c>
      <c r="E56" s="42">
        <v>0</v>
      </c>
      <c r="F56" s="42">
        <v>0</v>
      </c>
      <c r="G56" s="42">
        <f t="shared" si="1"/>
        <v>0</v>
      </c>
      <c r="H56" s="42"/>
      <c r="I56" s="42"/>
      <c r="J56" s="42">
        <f t="shared" si="2"/>
        <v>0</v>
      </c>
      <c r="K56" s="42">
        <v>0</v>
      </c>
      <c r="L56" s="42">
        <v>0</v>
      </c>
      <c r="M56" s="42">
        <f t="shared" si="3"/>
        <v>0</v>
      </c>
      <c r="N56" s="42">
        <v>399465</v>
      </c>
      <c r="O56" s="42">
        <v>399465</v>
      </c>
      <c r="P56" s="42">
        <f t="shared" si="4"/>
        <v>0</v>
      </c>
      <c r="Q56" s="42">
        <v>8604</v>
      </c>
      <c r="R56" s="42">
        <f>8604+720</f>
        <v>9324</v>
      </c>
      <c r="S56" s="42">
        <f t="shared" si="5"/>
        <v>720</v>
      </c>
      <c r="T56" s="42"/>
      <c r="U56" s="42"/>
      <c r="V56" s="42">
        <f t="shared" si="6"/>
        <v>0</v>
      </c>
      <c r="W56" s="42"/>
      <c r="X56" s="42"/>
      <c r="Y56" s="42">
        <f t="shared" si="7"/>
        <v>0</v>
      </c>
      <c r="Z56" s="42"/>
      <c r="AA56" s="42"/>
      <c r="AB56" s="42">
        <f t="shared" si="8"/>
        <v>0</v>
      </c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11"/>
      <c r="CH56" s="11"/>
      <c r="CI56" s="11"/>
      <c r="CJ56" s="11"/>
      <c r="CK56" s="11"/>
      <c r="CL56" s="11"/>
      <c r="CM56" s="11"/>
      <c r="CN56" s="11"/>
      <c r="CO56" s="11"/>
      <c r="CP56" s="11"/>
      <c r="CQ56" s="11"/>
      <c r="CR56" s="11"/>
      <c r="CS56" s="11"/>
      <c r="CT56" s="11"/>
      <c r="CU56" s="11"/>
      <c r="CV56" s="11"/>
      <c r="CW56" s="11"/>
      <c r="CX56" s="11"/>
      <c r="CY56" s="11"/>
      <c r="CZ56" s="11"/>
      <c r="DA56" s="11"/>
      <c r="DB56" s="11"/>
      <c r="DC56" s="11"/>
      <c r="DD56" s="11"/>
      <c r="DE56" s="11"/>
      <c r="DF56" s="11"/>
      <c r="DG56" s="11"/>
      <c r="DH56" s="11"/>
      <c r="DI56" s="11"/>
      <c r="DJ56" s="11"/>
      <c r="DK56" s="11"/>
      <c r="DL56" s="11"/>
      <c r="DM56" s="11"/>
      <c r="DN56" s="11"/>
      <c r="DO56" s="11"/>
      <c r="DP56" s="11"/>
      <c r="DQ56" s="11"/>
      <c r="DR56" s="11"/>
      <c r="DS56" s="11"/>
      <c r="DT56" s="11"/>
      <c r="DU56" s="11"/>
      <c r="DV56" s="11"/>
      <c r="DW56" s="11"/>
      <c r="DX56" s="11"/>
      <c r="DY56" s="11"/>
      <c r="DZ56" s="11"/>
      <c r="EA56" s="11"/>
      <c r="EB56" s="11"/>
      <c r="EC56" s="11"/>
      <c r="ED56" s="11"/>
      <c r="EE56" s="11"/>
      <c r="EF56" s="11"/>
      <c r="EG56" s="11"/>
      <c r="EH56" s="11"/>
      <c r="EI56" s="11"/>
      <c r="EJ56" s="11"/>
      <c r="EK56" s="11"/>
      <c r="EL56" s="11"/>
      <c r="EM56" s="11"/>
      <c r="EN56" s="11"/>
      <c r="EO56" s="11"/>
      <c r="EP56" s="11"/>
      <c r="EQ56" s="11"/>
      <c r="ER56" s="11"/>
      <c r="ES56" s="11"/>
      <c r="ET56" s="11"/>
      <c r="EU56" s="11"/>
      <c r="EV56" s="11"/>
      <c r="EW56" s="11"/>
      <c r="EX56" s="11"/>
      <c r="EY56" s="11"/>
      <c r="EZ56" s="11"/>
      <c r="FA56" s="11"/>
      <c r="FB56" s="11"/>
      <c r="FC56" s="11"/>
      <c r="FD56" s="11"/>
      <c r="FE56" s="11"/>
      <c r="FF56" s="11"/>
      <c r="FG56" s="11"/>
      <c r="FH56" s="11"/>
      <c r="FI56" s="11"/>
      <c r="FJ56" s="11"/>
      <c r="FK56" s="11"/>
      <c r="FL56" s="11"/>
      <c r="FM56" s="11"/>
      <c r="FN56" s="11"/>
      <c r="FO56" s="11"/>
      <c r="FP56" s="11"/>
      <c r="FQ56" s="11"/>
      <c r="FR56" s="11"/>
      <c r="FS56" s="11"/>
      <c r="FT56" s="11"/>
      <c r="FU56" s="11"/>
      <c r="FV56" s="11"/>
      <c r="FW56" s="11"/>
      <c r="FX56" s="11"/>
      <c r="FY56" s="11"/>
      <c r="FZ56" s="11"/>
      <c r="GA56" s="11"/>
      <c r="GB56" s="11"/>
      <c r="GC56" s="11"/>
      <c r="GD56" s="11"/>
      <c r="GE56" s="11"/>
    </row>
    <row r="57" spans="1:187" s="11" customFormat="1" ht="63">
      <c r="A57" s="38" t="s">
        <v>65</v>
      </c>
      <c r="B57" s="33">
        <f t="shared" si="0"/>
        <v>106380</v>
      </c>
      <c r="C57" s="33">
        <f t="shared" si="0"/>
        <v>106380</v>
      </c>
      <c r="D57" s="33">
        <f t="shared" si="0"/>
        <v>0</v>
      </c>
      <c r="E57" s="33">
        <v>0</v>
      </c>
      <c r="F57" s="33">
        <v>0</v>
      </c>
      <c r="G57" s="33">
        <f t="shared" si="1"/>
        <v>0</v>
      </c>
      <c r="H57" s="33"/>
      <c r="I57" s="33"/>
      <c r="J57" s="33">
        <f t="shared" si="2"/>
        <v>0</v>
      </c>
      <c r="K57" s="33">
        <v>0</v>
      </c>
      <c r="L57" s="33">
        <v>0</v>
      </c>
      <c r="M57" s="33">
        <f t="shared" si="3"/>
        <v>0</v>
      </c>
      <c r="N57" s="33">
        <v>106380</v>
      </c>
      <c r="O57" s="33">
        <v>106380</v>
      </c>
      <c r="P57" s="33">
        <f t="shared" si="4"/>
        <v>0</v>
      </c>
      <c r="Q57" s="33"/>
      <c r="R57" s="33"/>
      <c r="S57" s="33">
        <f t="shared" si="5"/>
        <v>0</v>
      </c>
      <c r="T57" s="33"/>
      <c r="U57" s="33"/>
      <c r="V57" s="33">
        <f t="shared" si="6"/>
        <v>0</v>
      </c>
      <c r="W57" s="33"/>
      <c r="X57" s="33"/>
      <c r="Y57" s="33">
        <f t="shared" si="7"/>
        <v>0</v>
      </c>
      <c r="Z57" s="33"/>
      <c r="AA57" s="33"/>
      <c r="AB57" s="33">
        <f t="shared" si="8"/>
        <v>0</v>
      </c>
    </row>
    <row r="58" spans="1:187" s="11" customFormat="1" ht="63">
      <c r="A58" s="32" t="s">
        <v>66</v>
      </c>
      <c r="B58" s="33">
        <f t="shared" si="0"/>
        <v>12886</v>
      </c>
      <c r="C58" s="33">
        <f t="shared" si="0"/>
        <v>12884</v>
      </c>
      <c r="D58" s="33">
        <f t="shared" si="0"/>
        <v>-2</v>
      </c>
      <c r="E58" s="33">
        <v>0</v>
      </c>
      <c r="F58" s="33">
        <v>0</v>
      </c>
      <c r="G58" s="33">
        <f t="shared" si="1"/>
        <v>0</v>
      </c>
      <c r="H58" s="33">
        <v>0</v>
      </c>
      <c r="I58" s="33">
        <v>0</v>
      </c>
      <c r="J58" s="33">
        <f t="shared" si="2"/>
        <v>0</v>
      </c>
      <c r="K58" s="33">
        <v>12886</v>
      </c>
      <c r="L58" s="33">
        <f>12886-2</f>
        <v>12884</v>
      </c>
      <c r="M58" s="33">
        <f t="shared" si="3"/>
        <v>-2</v>
      </c>
      <c r="N58" s="33"/>
      <c r="O58" s="33"/>
      <c r="P58" s="33">
        <f t="shared" si="4"/>
        <v>0</v>
      </c>
      <c r="Q58" s="33"/>
      <c r="R58" s="33"/>
      <c r="S58" s="33">
        <f t="shared" si="5"/>
        <v>0</v>
      </c>
      <c r="T58" s="33"/>
      <c r="U58" s="33"/>
      <c r="V58" s="33">
        <f t="shared" si="6"/>
        <v>0</v>
      </c>
      <c r="W58" s="33"/>
      <c r="X58" s="33"/>
      <c r="Y58" s="33">
        <f t="shared" si="7"/>
        <v>0</v>
      </c>
      <c r="Z58" s="33"/>
      <c r="AA58" s="33"/>
      <c r="AB58" s="33">
        <f t="shared" si="8"/>
        <v>0</v>
      </c>
    </row>
    <row r="59" spans="1:187" s="11" customFormat="1" ht="31.5">
      <c r="A59" s="32" t="s">
        <v>67</v>
      </c>
      <c r="B59" s="33">
        <f t="shared" si="0"/>
        <v>181656</v>
      </c>
      <c r="C59" s="33">
        <f t="shared" si="0"/>
        <v>181656</v>
      </c>
      <c r="D59" s="33">
        <f t="shared" si="0"/>
        <v>0</v>
      </c>
      <c r="E59" s="33">
        <v>0</v>
      </c>
      <c r="F59" s="33">
        <v>0</v>
      </c>
      <c r="G59" s="33">
        <f t="shared" si="1"/>
        <v>0</v>
      </c>
      <c r="H59" s="33"/>
      <c r="I59" s="33"/>
      <c r="J59" s="33">
        <f t="shared" si="2"/>
        <v>0</v>
      </c>
      <c r="K59" s="33">
        <f>181656</f>
        <v>181656</v>
      </c>
      <c r="L59" s="33">
        <f>181656</f>
        <v>181656</v>
      </c>
      <c r="M59" s="33">
        <f t="shared" si="3"/>
        <v>0</v>
      </c>
      <c r="N59" s="33"/>
      <c r="O59" s="33"/>
      <c r="P59" s="33">
        <f t="shared" si="4"/>
        <v>0</v>
      </c>
      <c r="Q59" s="33">
        <f>181656-181656</f>
        <v>0</v>
      </c>
      <c r="R59" s="33">
        <f>181656-181656</f>
        <v>0</v>
      </c>
      <c r="S59" s="33">
        <f t="shared" si="5"/>
        <v>0</v>
      </c>
      <c r="T59" s="33"/>
      <c r="U59" s="33"/>
      <c r="V59" s="33">
        <f t="shared" si="6"/>
        <v>0</v>
      </c>
      <c r="W59" s="33"/>
      <c r="X59" s="33"/>
      <c r="Y59" s="33">
        <f t="shared" si="7"/>
        <v>0</v>
      </c>
      <c r="Z59" s="33"/>
      <c r="AA59" s="33"/>
      <c r="AB59" s="33">
        <f t="shared" si="8"/>
        <v>0</v>
      </c>
    </row>
    <row r="60" spans="1:187" s="11" customFormat="1" ht="78.75">
      <c r="A60" s="38" t="s">
        <v>68</v>
      </c>
      <c r="B60" s="33">
        <f t="shared" si="0"/>
        <v>579740</v>
      </c>
      <c r="C60" s="33">
        <f t="shared" si="0"/>
        <v>579740</v>
      </c>
      <c r="D60" s="33">
        <f t="shared" si="0"/>
        <v>0</v>
      </c>
      <c r="E60" s="33">
        <v>0</v>
      </c>
      <c r="F60" s="33">
        <v>0</v>
      </c>
      <c r="G60" s="33">
        <f t="shared" si="1"/>
        <v>0</v>
      </c>
      <c r="H60" s="33"/>
      <c r="I60" s="33"/>
      <c r="J60" s="33">
        <f t="shared" si="2"/>
        <v>0</v>
      </c>
      <c r="K60" s="33">
        <v>22180</v>
      </c>
      <c r="L60" s="33">
        <v>22180</v>
      </c>
      <c r="M60" s="33">
        <f t="shared" si="3"/>
        <v>0</v>
      </c>
      <c r="N60" s="33">
        <f>557560-160000</f>
        <v>397560</v>
      </c>
      <c r="O60" s="33">
        <f>557560-160000</f>
        <v>397560</v>
      </c>
      <c r="P60" s="33">
        <f t="shared" si="4"/>
        <v>0</v>
      </c>
      <c r="Q60" s="33"/>
      <c r="R60" s="33"/>
      <c r="S60" s="33">
        <f t="shared" si="5"/>
        <v>0</v>
      </c>
      <c r="T60" s="33"/>
      <c r="U60" s="33"/>
      <c r="V60" s="33">
        <f t="shared" si="6"/>
        <v>0</v>
      </c>
      <c r="W60" s="33"/>
      <c r="X60" s="33"/>
      <c r="Y60" s="33">
        <f t="shared" si="7"/>
        <v>0</v>
      </c>
      <c r="Z60" s="33">
        <f>160000</f>
        <v>160000</v>
      </c>
      <c r="AA60" s="33">
        <f>160000</f>
        <v>160000</v>
      </c>
      <c r="AB60" s="33">
        <f t="shared" si="8"/>
        <v>0</v>
      </c>
    </row>
    <row r="61" spans="1:187" s="11" customFormat="1" ht="31.5">
      <c r="A61" s="29" t="s">
        <v>69</v>
      </c>
      <c r="B61" s="30">
        <f t="shared" si="0"/>
        <v>15079380</v>
      </c>
      <c r="C61" s="30">
        <f t="shared" si="0"/>
        <v>15072020</v>
      </c>
      <c r="D61" s="30">
        <f t="shared" si="0"/>
        <v>-7360</v>
      </c>
      <c r="E61" s="30">
        <f>SUM(E62)</f>
        <v>357360</v>
      </c>
      <c r="F61" s="30">
        <f>SUM(F62)</f>
        <v>357360</v>
      </c>
      <c r="G61" s="30">
        <f t="shared" si="1"/>
        <v>0</v>
      </c>
      <c r="H61" s="30">
        <f>SUM(H62)</f>
        <v>948355</v>
      </c>
      <c r="I61" s="30">
        <f>SUM(I62)</f>
        <v>948355</v>
      </c>
      <c r="J61" s="30">
        <f t="shared" si="2"/>
        <v>0</v>
      </c>
      <c r="K61" s="30">
        <f>SUM(K62)</f>
        <v>71591</v>
      </c>
      <c r="L61" s="30">
        <f>SUM(L62)</f>
        <v>64231</v>
      </c>
      <c r="M61" s="30">
        <f t="shared" si="3"/>
        <v>-7360</v>
      </c>
      <c r="N61" s="30">
        <f>SUM(N62)</f>
        <v>7754338</v>
      </c>
      <c r="O61" s="30">
        <f>SUM(O62)</f>
        <v>7754338</v>
      </c>
      <c r="P61" s="30">
        <f t="shared" si="4"/>
        <v>0</v>
      </c>
      <c r="Q61" s="30">
        <f>SUM(Q62)</f>
        <v>0</v>
      </c>
      <c r="R61" s="30">
        <f>SUM(R62)</f>
        <v>0</v>
      </c>
      <c r="S61" s="30">
        <f t="shared" si="5"/>
        <v>0</v>
      </c>
      <c r="T61" s="30">
        <f>SUM(T62)</f>
        <v>2125772</v>
      </c>
      <c r="U61" s="30">
        <f>SUM(U62)</f>
        <v>2125772</v>
      </c>
      <c r="V61" s="30">
        <f t="shared" si="6"/>
        <v>0</v>
      </c>
      <c r="W61" s="30">
        <f>SUM(W62)</f>
        <v>728123</v>
      </c>
      <c r="X61" s="30">
        <f>SUM(X62)</f>
        <v>1456246</v>
      </c>
      <c r="Y61" s="30">
        <f t="shared" si="7"/>
        <v>728123</v>
      </c>
      <c r="Z61" s="30">
        <f>SUM(Z62)</f>
        <v>3093841</v>
      </c>
      <c r="AA61" s="30">
        <f>SUM(AA62)</f>
        <v>2365718</v>
      </c>
      <c r="AB61" s="30">
        <f t="shared" si="8"/>
        <v>-728123</v>
      </c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  <c r="BA61" s="28"/>
      <c r="BB61" s="28"/>
      <c r="BC61" s="28"/>
      <c r="BD61" s="28"/>
      <c r="BE61" s="28"/>
      <c r="BF61" s="28"/>
      <c r="BG61" s="28"/>
      <c r="BH61" s="28"/>
      <c r="BI61" s="28"/>
      <c r="BJ61" s="28"/>
      <c r="BK61" s="28"/>
      <c r="BL61" s="28"/>
      <c r="BM61" s="28"/>
      <c r="BN61" s="28"/>
      <c r="BO61" s="28"/>
      <c r="BP61" s="28"/>
      <c r="BQ61" s="28"/>
      <c r="BR61" s="28"/>
      <c r="BS61" s="28"/>
      <c r="BT61" s="28"/>
      <c r="BU61" s="28"/>
      <c r="BV61" s="28"/>
      <c r="BW61" s="28"/>
      <c r="BX61" s="28"/>
      <c r="BY61" s="28"/>
      <c r="BZ61" s="28"/>
      <c r="CA61" s="28"/>
      <c r="CB61" s="28"/>
      <c r="CC61" s="28"/>
      <c r="CD61" s="28"/>
      <c r="CE61" s="28"/>
      <c r="CF61" s="28"/>
      <c r="CG61" s="28"/>
      <c r="CH61" s="28"/>
      <c r="CI61" s="28"/>
      <c r="CJ61" s="28"/>
      <c r="CK61" s="28"/>
      <c r="CL61" s="28"/>
      <c r="CM61" s="28"/>
      <c r="CN61" s="28"/>
      <c r="CO61" s="28"/>
      <c r="CP61" s="28"/>
      <c r="CQ61" s="28"/>
      <c r="CR61" s="28"/>
      <c r="CS61" s="28"/>
      <c r="CT61" s="28"/>
      <c r="CU61" s="28"/>
      <c r="CV61" s="28"/>
      <c r="CW61" s="28"/>
      <c r="CX61" s="28"/>
      <c r="CY61" s="28"/>
      <c r="CZ61" s="28"/>
      <c r="DA61" s="28"/>
      <c r="DB61" s="28"/>
      <c r="DC61" s="28"/>
      <c r="DD61" s="28"/>
      <c r="DE61" s="28"/>
      <c r="DF61" s="28"/>
      <c r="DG61" s="28"/>
      <c r="DH61" s="28"/>
      <c r="DI61" s="28"/>
      <c r="DJ61" s="28"/>
      <c r="DK61" s="28"/>
      <c r="DL61" s="28"/>
      <c r="DM61" s="28"/>
      <c r="DN61" s="28"/>
      <c r="DO61" s="28"/>
      <c r="DP61" s="28"/>
      <c r="DQ61" s="28"/>
      <c r="DR61" s="28"/>
      <c r="DS61" s="28"/>
      <c r="DT61" s="28"/>
      <c r="DU61" s="28"/>
      <c r="DV61" s="28"/>
      <c r="DW61" s="28"/>
      <c r="DX61" s="28"/>
      <c r="DY61" s="28"/>
      <c r="DZ61" s="28"/>
      <c r="EA61" s="28"/>
      <c r="EB61" s="28"/>
      <c r="EC61" s="28"/>
      <c r="ED61" s="28"/>
      <c r="EE61" s="28"/>
      <c r="EF61" s="28"/>
      <c r="EG61" s="28"/>
      <c r="EH61" s="28"/>
      <c r="EI61" s="28"/>
      <c r="EJ61" s="28"/>
      <c r="EK61" s="28"/>
      <c r="EL61" s="28"/>
      <c r="EM61" s="28"/>
      <c r="EN61" s="28"/>
      <c r="EO61" s="28"/>
      <c r="EP61" s="28"/>
      <c r="EQ61" s="28"/>
      <c r="ER61" s="28"/>
      <c r="ES61" s="28"/>
      <c r="ET61" s="28"/>
      <c r="EU61" s="28"/>
      <c r="EV61" s="28"/>
      <c r="EW61" s="28"/>
      <c r="EX61" s="28"/>
      <c r="EY61" s="28"/>
      <c r="EZ61" s="28"/>
      <c r="FA61" s="28"/>
      <c r="FB61" s="28"/>
      <c r="FC61" s="28"/>
      <c r="FD61" s="28"/>
      <c r="FE61" s="28"/>
      <c r="FF61" s="28"/>
      <c r="FG61" s="28"/>
      <c r="FH61" s="28"/>
      <c r="FI61" s="28"/>
      <c r="FJ61" s="28"/>
      <c r="FK61" s="28"/>
      <c r="FL61" s="28"/>
      <c r="FM61" s="28"/>
      <c r="FN61" s="28"/>
      <c r="FO61" s="28"/>
      <c r="FP61" s="28"/>
      <c r="FQ61" s="28"/>
      <c r="FR61" s="28"/>
      <c r="FS61" s="28"/>
      <c r="FT61" s="28"/>
      <c r="FU61" s="28"/>
      <c r="FV61" s="28"/>
      <c r="FW61" s="28"/>
      <c r="FX61" s="28"/>
      <c r="FY61" s="28"/>
      <c r="FZ61" s="28"/>
      <c r="GA61" s="28"/>
      <c r="GB61" s="28"/>
      <c r="GC61" s="28"/>
      <c r="GD61" s="28"/>
      <c r="GE61" s="28"/>
    </row>
    <row r="62" spans="1:187" s="11" customFormat="1">
      <c r="A62" s="29" t="s">
        <v>22</v>
      </c>
      <c r="B62" s="30">
        <f t="shared" si="0"/>
        <v>15079380</v>
      </c>
      <c r="C62" s="30">
        <f t="shared" si="0"/>
        <v>15072020</v>
      </c>
      <c r="D62" s="30">
        <f t="shared" si="0"/>
        <v>-7360</v>
      </c>
      <c r="E62" s="30">
        <f>SUM(E63:E74)</f>
        <v>357360</v>
      </c>
      <c r="F62" s="30">
        <f>SUM(F63:F74)</f>
        <v>357360</v>
      </c>
      <c r="G62" s="30">
        <f t="shared" si="1"/>
        <v>0</v>
      </c>
      <c r="H62" s="30">
        <f>SUM(H63:H74)</f>
        <v>948355</v>
      </c>
      <c r="I62" s="30">
        <f>SUM(I63:I74)</f>
        <v>948355</v>
      </c>
      <c r="J62" s="30">
        <f t="shared" si="2"/>
        <v>0</v>
      </c>
      <c r="K62" s="30">
        <f>SUM(K63:K74)</f>
        <v>71591</v>
      </c>
      <c r="L62" s="30">
        <f>SUM(L63:L74)</f>
        <v>64231</v>
      </c>
      <c r="M62" s="30">
        <f t="shared" si="3"/>
        <v>-7360</v>
      </c>
      <c r="N62" s="30">
        <f>SUM(N63:N74)</f>
        <v>7754338</v>
      </c>
      <c r="O62" s="30">
        <f>SUM(O63:O74)</f>
        <v>7754338</v>
      </c>
      <c r="P62" s="30">
        <f t="shared" si="4"/>
        <v>0</v>
      </c>
      <c r="Q62" s="30">
        <f>SUM(Q63:Q74)</f>
        <v>0</v>
      </c>
      <c r="R62" s="30">
        <f>SUM(R63:R74)</f>
        <v>0</v>
      </c>
      <c r="S62" s="30">
        <f t="shared" si="5"/>
        <v>0</v>
      </c>
      <c r="T62" s="30">
        <f>SUM(T63:T74)</f>
        <v>2125772</v>
      </c>
      <c r="U62" s="30">
        <f>SUM(U63:U74)</f>
        <v>2125772</v>
      </c>
      <c r="V62" s="30">
        <f t="shared" si="6"/>
        <v>0</v>
      </c>
      <c r="W62" s="30">
        <f>SUM(W63:W74)</f>
        <v>728123</v>
      </c>
      <c r="X62" s="30">
        <f>SUM(X63:X74)</f>
        <v>1456246</v>
      </c>
      <c r="Y62" s="30">
        <f t="shared" si="7"/>
        <v>728123</v>
      </c>
      <c r="Z62" s="30">
        <f>SUM(Z63:Z74)</f>
        <v>3093841</v>
      </c>
      <c r="AA62" s="30">
        <f>SUM(AA63:AA74)</f>
        <v>2365718</v>
      </c>
      <c r="AB62" s="30">
        <f t="shared" si="8"/>
        <v>-728123</v>
      </c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/>
      <c r="BE62" s="28"/>
      <c r="BF62" s="28"/>
      <c r="BG62" s="28"/>
      <c r="BH62" s="28"/>
      <c r="BI62" s="28"/>
      <c r="BJ62" s="28"/>
      <c r="BK62" s="28"/>
      <c r="BL62" s="28"/>
      <c r="BM62" s="28"/>
      <c r="BN62" s="28"/>
      <c r="BO62" s="28"/>
      <c r="BP62" s="28"/>
      <c r="BQ62" s="28"/>
      <c r="BR62" s="28"/>
      <c r="BS62" s="28"/>
      <c r="BT62" s="28"/>
      <c r="BU62" s="28"/>
      <c r="BV62" s="28"/>
      <c r="BW62" s="28"/>
      <c r="BX62" s="28"/>
      <c r="BY62" s="28"/>
      <c r="BZ62" s="28"/>
      <c r="CA62" s="28"/>
      <c r="CB62" s="28"/>
      <c r="CC62" s="28"/>
      <c r="CD62" s="28"/>
      <c r="CE62" s="28"/>
      <c r="CF62" s="28"/>
      <c r="CG62" s="28"/>
      <c r="CH62" s="28"/>
      <c r="CI62" s="28"/>
      <c r="CJ62" s="28"/>
      <c r="CK62" s="28"/>
      <c r="CL62" s="28"/>
      <c r="CM62" s="28"/>
      <c r="CN62" s="28"/>
      <c r="CO62" s="28"/>
      <c r="CP62" s="28"/>
      <c r="CQ62" s="28"/>
      <c r="CR62" s="28"/>
      <c r="CS62" s="28"/>
      <c r="CT62" s="28"/>
      <c r="CU62" s="28"/>
      <c r="CV62" s="28"/>
      <c r="CW62" s="28"/>
      <c r="CX62" s="28"/>
      <c r="CY62" s="28"/>
      <c r="CZ62" s="28"/>
      <c r="DA62" s="28"/>
      <c r="DB62" s="28"/>
      <c r="DC62" s="28"/>
      <c r="DD62" s="28"/>
      <c r="DE62" s="28"/>
      <c r="DF62" s="28"/>
      <c r="DG62" s="28"/>
      <c r="DH62" s="28"/>
      <c r="DI62" s="28"/>
      <c r="DJ62" s="28"/>
      <c r="DK62" s="28"/>
      <c r="DL62" s="28"/>
      <c r="DM62" s="28"/>
      <c r="DN62" s="28"/>
      <c r="DO62" s="28"/>
      <c r="DP62" s="28"/>
      <c r="DQ62" s="28"/>
      <c r="DR62" s="28"/>
      <c r="DS62" s="28"/>
      <c r="DT62" s="28"/>
      <c r="DU62" s="28"/>
      <c r="DV62" s="28"/>
      <c r="DW62" s="28"/>
      <c r="DX62" s="28"/>
      <c r="DY62" s="28"/>
      <c r="DZ62" s="28"/>
      <c r="EA62" s="28"/>
      <c r="EB62" s="28"/>
      <c r="EC62" s="28"/>
      <c r="ED62" s="28"/>
      <c r="EE62" s="28"/>
      <c r="EF62" s="28"/>
      <c r="EG62" s="28"/>
      <c r="EH62" s="28"/>
      <c r="EI62" s="28"/>
      <c r="EJ62" s="28"/>
      <c r="EK62" s="28"/>
      <c r="EL62" s="28"/>
      <c r="EM62" s="28"/>
      <c r="EN62" s="28"/>
      <c r="EO62" s="28"/>
      <c r="EP62" s="28"/>
      <c r="EQ62" s="28"/>
      <c r="ER62" s="28"/>
      <c r="ES62" s="28"/>
      <c r="ET62" s="28"/>
      <c r="EU62" s="28"/>
      <c r="EV62" s="28"/>
      <c r="EW62" s="28"/>
      <c r="EX62" s="28"/>
      <c r="EY62" s="28"/>
      <c r="EZ62" s="28"/>
      <c r="FA62" s="28"/>
      <c r="FB62" s="28"/>
      <c r="FC62" s="28"/>
      <c r="FD62" s="28"/>
      <c r="FE62" s="28"/>
      <c r="FF62" s="28"/>
      <c r="FG62" s="28"/>
      <c r="FH62" s="28"/>
      <c r="FI62" s="28"/>
      <c r="FJ62" s="28"/>
      <c r="FK62" s="28"/>
      <c r="FL62" s="28"/>
      <c r="FM62" s="28"/>
      <c r="FN62" s="28"/>
      <c r="FO62" s="28"/>
      <c r="FP62" s="28"/>
      <c r="FQ62" s="28"/>
      <c r="FR62" s="28"/>
      <c r="FS62" s="28"/>
      <c r="FT62" s="28"/>
      <c r="FU62" s="28"/>
      <c r="FV62" s="28"/>
      <c r="FW62" s="28"/>
      <c r="FX62" s="28"/>
      <c r="FY62" s="28"/>
      <c r="FZ62" s="28"/>
      <c r="GA62" s="28"/>
      <c r="GB62" s="28"/>
      <c r="GC62" s="28"/>
      <c r="GD62" s="28"/>
      <c r="GE62" s="28"/>
    </row>
    <row r="63" spans="1:187" s="11" customFormat="1" ht="47.25">
      <c r="A63" s="37" t="s">
        <v>70</v>
      </c>
      <c r="B63" s="36">
        <f t="shared" si="0"/>
        <v>18001</v>
      </c>
      <c r="C63" s="36">
        <f t="shared" si="0"/>
        <v>18001</v>
      </c>
      <c r="D63" s="36">
        <f t="shared" si="0"/>
        <v>0</v>
      </c>
      <c r="E63" s="36">
        <v>0</v>
      </c>
      <c r="F63" s="36">
        <v>0</v>
      </c>
      <c r="G63" s="36">
        <f t="shared" si="1"/>
        <v>0</v>
      </c>
      <c r="H63" s="36">
        <f>14588-14588</f>
        <v>0</v>
      </c>
      <c r="I63" s="36">
        <f>14588-14588</f>
        <v>0</v>
      </c>
      <c r="J63" s="36">
        <f t="shared" si="2"/>
        <v>0</v>
      </c>
      <c r="K63" s="36">
        <v>18001</v>
      </c>
      <c r="L63" s="36">
        <v>18001</v>
      </c>
      <c r="M63" s="36">
        <f t="shared" si="3"/>
        <v>0</v>
      </c>
      <c r="N63" s="36">
        <v>0</v>
      </c>
      <c r="O63" s="36">
        <v>0</v>
      </c>
      <c r="P63" s="36">
        <f t="shared" si="4"/>
        <v>0</v>
      </c>
      <c r="Q63" s="36">
        <v>0</v>
      </c>
      <c r="R63" s="36">
        <v>0</v>
      </c>
      <c r="S63" s="36">
        <f t="shared" si="5"/>
        <v>0</v>
      </c>
      <c r="T63" s="36">
        <v>0</v>
      </c>
      <c r="U63" s="36">
        <v>0</v>
      </c>
      <c r="V63" s="36">
        <f t="shared" si="6"/>
        <v>0</v>
      </c>
      <c r="W63" s="36">
        <v>0</v>
      </c>
      <c r="X63" s="36">
        <v>0</v>
      </c>
      <c r="Y63" s="36">
        <f t="shared" si="7"/>
        <v>0</v>
      </c>
      <c r="Z63" s="36"/>
      <c r="AA63" s="36"/>
      <c r="AB63" s="36">
        <f t="shared" si="8"/>
        <v>0</v>
      </c>
    </row>
    <row r="64" spans="1:187" s="11" customFormat="1" ht="47.25">
      <c r="A64" s="37" t="s">
        <v>71</v>
      </c>
      <c r="B64" s="36">
        <f t="shared" si="0"/>
        <v>7360</v>
      </c>
      <c r="C64" s="36">
        <f t="shared" si="0"/>
        <v>0</v>
      </c>
      <c r="D64" s="36">
        <f t="shared" si="0"/>
        <v>-7360</v>
      </c>
      <c r="E64" s="36">
        <v>0</v>
      </c>
      <c r="F64" s="36">
        <v>0</v>
      </c>
      <c r="G64" s="36">
        <f t="shared" si="1"/>
        <v>0</v>
      </c>
      <c r="H64" s="36">
        <v>0</v>
      </c>
      <c r="I64" s="36">
        <v>0</v>
      </c>
      <c r="J64" s="36">
        <f t="shared" si="2"/>
        <v>0</v>
      </c>
      <c r="K64" s="36">
        <v>7360</v>
      </c>
      <c r="L64" s="36">
        <f>7360-7360</f>
        <v>0</v>
      </c>
      <c r="M64" s="36">
        <f t="shared" si="3"/>
        <v>-7360</v>
      </c>
      <c r="N64" s="36">
        <v>0</v>
      </c>
      <c r="O64" s="36">
        <v>0</v>
      </c>
      <c r="P64" s="36">
        <f t="shared" si="4"/>
        <v>0</v>
      </c>
      <c r="Q64" s="36">
        <v>0</v>
      </c>
      <c r="R64" s="36">
        <v>0</v>
      </c>
      <c r="S64" s="36">
        <f t="shared" si="5"/>
        <v>0</v>
      </c>
      <c r="T64" s="36">
        <v>0</v>
      </c>
      <c r="U64" s="36">
        <v>0</v>
      </c>
      <c r="V64" s="36">
        <f t="shared" si="6"/>
        <v>0</v>
      </c>
      <c r="W64" s="36">
        <v>0</v>
      </c>
      <c r="X64" s="36">
        <v>0</v>
      </c>
      <c r="Y64" s="36">
        <f t="shared" si="7"/>
        <v>0</v>
      </c>
      <c r="Z64" s="36"/>
      <c r="AA64" s="36"/>
      <c r="AB64" s="36">
        <f t="shared" si="8"/>
        <v>0</v>
      </c>
    </row>
    <row r="65" spans="1:187" s="11" customFormat="1" ht="31.5">
      <c r="A65" s="37" t="s">
        <v>72</v>
      </c>
      <c r="B65" s="36">
        <f t="shared" si="0"/>
        <v>46230</v>
      </c>
      <c r="C65" s="36">
        <f t="shared" si="0"/>
        <v>46230</v>
      </c>
      <c r="D65" s="36">
        <f t="shared" si="0"/>
        <v>0</v>
      </c>
      <c r="E65" s="36">
        <v>0</v>
      </c>
      <c r="F65" s="36">
        <v>0</v>
      </c>
      <c r="G65" s="36">
        <f t="shared" si="1"/>
        <v>0</v>
      </c>
      <c r="H65" s="36">
        <v>0</v>
      </c>
      <c r="I65" s="36">
        <v>0</v>
      </c>
      <c r="J65" s="36">
        <f t="shared" si="2"/>
        <v>0</v>
      </c>
      <c r="K65" s="36">
        <f>41100+5130</f>
        <v>46230</v>
      </c>
      <c r="L65" s="36">
        <f>41100+5130</f>
        <v>46230</v>
      </c>
      <c r="M65" s="36">
        <f t="shared" si="3"/>
        <v>0</v>
      </c>
      <c r="N65" s="36">
        <v>0</v>
      </c>
      <c r="O65" s="36">
        <v>0</v>
      </c>
      <c r="P65" s="36">
        <f t="shared" si="4"/>
        <v>0</v>
      </c>
      <c r="Q65" s="36">
        <v>0</v>
      </c>
      <c r="R65" s="36">
        <v>0</v>
      </c>
      <c r="S65" s="36">
        <f t="shared" si="5"/>
        <v>0</v>
      </c>
      <c r="T65" s="36">
        <v>0</v>
      </c>
      <c r="U65" s="36">
        <v>0</v>
      </c>
      <c r="V65" s="36">
        <f t="shared" si="6"/>
        <v>0</v>
      </c>
      <c r="W65" s="36">
        <v>0</v>
      </c>
      <c r="X65" s="36">
        <v>0</v>
      </c>
      <c r="Y65" s="36">
        <f t="shared" si="7"/>
        <v>0</v>
      </c>
      <c r="Z65" s="36"/>
      <c r="AA65" s="36"/>
      <c r="AB65" s="36">
        <f t="shared" si="8"/>
        <v>0</v>
      </c>
    </row>
    <row r="66" spans="1:187" s="11" customFormat="1" ht="47.25">
      <c r="A66" s="37" t="s">
        <v>73</v>
      </c>
      <c r="B66" s="36">
        <f t="shared" si="0"/>
        <v>291880</v>
      </c>
      <c r="C66" s="36">
        <f t="shared" si="0"/>
        <v>291880</v>
      </c>
      <c r="D66" s="36">
        <f t="shared" si="0"/>
        <v>0</v>
      </c>
      <c r="E66" s="36">
        <f>292420-181890-2042-20000-61092+540-540</f>
        <v>27396</v>
      </c>
      <c r="F66" s="36">
        <f>292420-181890-2042-20000-61092+540-540</f>
        <v>27396</v>
      </c>
      <c r="G66" s="36">
        <f t="shared" si="1"/>
        <v>0</v>
      </c>
      <c r="H66" s="36">
        <v>0</v>
      </c>
      <c r="I66" s="36">
        <v>0</v>
      </c>
      <c r="J66" s="36">
        <f t="shared" si="2"/>
        <v>0</v>
      </c>
      <c r="K66" s="36"/>
      <c r="L66" s="36"/>
      <c r="M66" s="36">
        <f t="shared" si="3"/>
        <v>0</v>
      </c>
      <c r="N66" s="36">
        <v>0</v>
      </c>
      <c r="O66" s="36">
        <v>0</v>
      </c>
      <c r="P66" s="36">
        <f t="shared" si="4"/>
        <v>0</v>
      </c>
      <c r="Q66" s="36">
        <v>0</v>
      </c>
      <c r="R66" s="36">
        <v>0</v>
      </c>
      <c r="S66" s="36">
        <f t="shared" si="5"/>
        <v>0</v>
      </c>
      <c r="T66" s="36">
        <v>0</v>
      </c>
      <c r="U66" s="36">
        <v>0</v>
      </c>
      <c r="V66" s="36">
        <f t="shared" si="6"/>
        <v>0</v>
      </c>
      <c r="W66" s="36">
        <v>0</v>
      </c>
      <c r="X66" s="36">
        <v>0</v>
      </c>
      <c r="Y66" s="36">
        <f t="shared" si="7"/>
        <v>0</v>
      </c>
      <c r="Z66" s="36">
        <f>181890+2042+20000+61092-540</f>
        <v>264484</v>
      </c>
      <c r="AA66" s="36">
        <f>181890+2042+20000+61092-540</f>
        <v>264484</v>
      </c>
      <c r="AB66" s="36">
        <f t="shared" si="8"/>
        <v>0</v>
      </c>
    </row>
    <row r="67" spans="1:187" s="11" customFormat="1" ht="126">
      <c r="A67" s="38" t="s">
        <v>74</v>
      </c>
      <c r="B67" s="36">
        <f t="shared" si="0"/>
        <v>805296</v>
      </c>
      <c r="C67" s="36">
        <f t="shared" si="0"/>
        <v>805296</v>
      </c>
      <c r="D67" s="36">
        <f t="shared" si="0"/>
        <v>0</v>
      </c>
      <c r="E67" s="36">
        <v>0</v>
      </c>
      <c r="F67" s="36">
        <v>0</v>
      </c>
      <c r="G67" s="36">
        <f t="shared" si="1"/>
        <v>0</v>
      </c>
      <c r="H67" s="36"/>
      <c r="I67" s="36"/>
      <c r="J67" s="36">
        <f t="shared" si="2"/>
        <v>0</v>
      </c>
      <c r="K67" s="36">
        <v>0</v>
      </c>
      <c r="L67" s="36">
        <v>0</v>
      </c>
      <c r="M67" s="36">
        <f t="shared" si="3"/>
        <v>0</v>
      </c>
      <c r="N67" s="36">
        <v>805296</v>
      </c>
      <c r="O67" s="36">
        <v>805296</v>
      </c>
      <c r="P67" s="36">
        <f t="shared" si="4"/>
        <v>0</v>
      </c>
      <c r="Q67" s="36"/>
      <c r="R67" s="36"/>
      <c r="S67" s="36">
        <f t="shared" si="5"/>
        <v>0</v>
      </c>
      <c r="T67" s="36"/>
      <c r="U67" s="36"/>
      <c r="V67" s="36">
        <f t="shared" si="6"/>
        <v>0</v>
      </c>
      <c r="W67" s="36"/>
      <c r="X67" s="36"/>
      <c r="Y67" s="36">
        <f t="shared" si="7"/>
        <v>0</v>
      </c>
      <c r="Z67" s="36"/>
      <c r="AA67" s="36"/>
      <c r="AB67" s="36">
        <f t="shared" si="8"/>
        <v>0</v>
      </c>
    </row>
    <row r="68" spans="1:187" s="11" customFormat="1">
      <c r="A68" s="37" t="s">
        <v>75</v>
      </c>
      <c r="B68" s="36">
        <f t="shared" si="0"/>
        <v>84212</v>
      </c>
      <c r="C68" s="36">
        <f t="shared" si="0"/>
        <v>84212</v>
      </c>
      <c r="D68" s="36">
        <f t="shared" si="0"/>
        <v>0</v>
      </c>
      <c r="E68" s="36">
        <f>130942-130942</f>
        <v>0</v>
      </c>
      <c r="F68" s="36">
        <f>130942-130942</f>
        <v>0</v>
      </c>
      <c r="G68" s="36">
        <f t="shared" si="1"/>
        <v>0</v>
      </c>
      <c r="H68" s="36"/>
      <c r="I68" s="36"/>
      <c r="J68" s="36">
        <f t="shared" si="2"/>
        <v>0</v>
      </c>
      <c r="K68" s="36">
        <v>0</v>
      </c>
      <c r="L68" s="36">
        <v>0</v>
      </c>
      <c r="M68" s="36">
        <f t="shared" si="3"/>
        <v>0</v>
      </c>
      <c r="N68" s="36"/>
      <c r="O68" s="36"/>
      <c r="P68" s="36">
        <f t="shared" si="4"/>
        <v>0</v>
      </c>
      <c r="Q68" s="36"/>
      <c r="R68" s="36"/>
      <c r="S68" s="36">
        <f t="shared" si="5"/>
        <v>0</v>
      </c>
      <c r="T68" s="36">
        <f>130942-4196-34328+146-8352</f>
        <v>84212</v>
      </c>
      <c r="U68" s="36">
        <f>130942-4196-34328+146-8352</f>
        <v>84212</v>
      </c>
      <c r="V68" s="36">
        <f t="shared" si="6"/>
        <v>0</v>
      </c>
      <c r="W68" s="36"/>
      <c r="X68" s="36"/>
      <c r="Y68" s="36">
        <f t="shared" si="7"/>
        <v>0</v>
      </c>
      <c r="Z68" s="36"/>
      <c r="AA68" s="36"/>
      <c r="AB68" s="36">
        <f t="shared" si="8"/>
        <v>0</v>
      </c>
    </row>
    <row r="69" spans="1:187" s="11" customFormat="1" ht="141.75">
      <c r="A69" s="32" t="s">
        <v>76</v>
      </c>
      <c r="B69" s="36">
        <f t="shared" si="0"/>
        <v>3557480</v>
      </c>
      <c r="C69" s="36">
        <f t="shared" si="0"/>
        <v>3557480</v>
      </c>
      <c r="D69" s="36">
        <f t="shared" si="0"/>
        <v>0</v>
      </c>
      <c r="E69" s="36">
        <v>0</v>
      </c>
      <c r="F69" s="36">
        <v>0</v>
      </c>
      <c r="G69" s="36">
        <f t="shared" si="1"/>
        <v>0</v>
      </c>
      <c r="H69" s="36"/>
      <c r="I69" s="36"/>
      <c r="J69" s="36">
        <f t="shared" si="2"/>
        <v>0</v>
      </c>
      <c r="K69" s="36"/>
      <c r="L69" s="36"/>
      <c r="M69" s="36">
        <f t="shared" si="3"/>
        <v>0</v>
      </c>
      <c r="N69" s="36"/>
      <c r="O69" s="36"/>
      <c r="P69" s="36">
        <f t="shared" si="4"/>
        <v>0</v>
      </c>
      <c r="Q69" s="36"/>
      <c r="R69" s="36"/>
      <c r="S69" s="36">
        <f t="shared" si="5"/>
        <v>0</v>
      </c>
      <c r="T69" s="36">
        <f>2534-2534</f>
        <v>0</v>
      </c>
      <c r="U69" s="36">
        <f>2534-2534</f>
        <v>0</v>
      </c>
      <c r="V69" s="36">
        <f t="shared" si="6"/>
        <v>0</v>
      </c>
      <c r="W69" s="36">
        <v>728123</v>
      </c>
      <c r="X69" s="36">
        <f>728123+728123</f>
        <v>1456246</v>
      </c>
      <c r="Y69" s="36">
        <f t="shared" si="7"/>
        <v>728123</v>
      </c>
      <c r="Z69" s="36">
        <v>2829357</v>
      </c>
      <c r="AA69" s="36">
        <f>2829357-728123</f>
        <v>2101234</v>
      </c>
      <c r="AB69" s="36">
        <f t="shared" si="8"/>
        <v>-728123</v>
      </c>
    </row>
    <row r="70" spans="1:187" s="11" customFormat="1" ht="157.5">
      <c r="A70" s="32" t="s">
        <v>77</v>
      </c>
      <c r="B70" s="36">
        <f t="shared" si="0"/>
        <v>6949042</v>
      </c>
      <c r="C70" s="36">
        <f t="shared" si="0"/>
        <v>6949042</v>
      </c>
      <c r="D70" s="36">
        <f t="shared" si="0"/>
        <v>0</v>
      </c>
      <c r="E70" s="36">
        <v>0</v>
      </c>
      <c r="F70" s="36">
        <v>0</v>
      </c>
      <c r="G70" s="36">
        <f t="shared" si="1"/>
        <v>0</v>
      </c>
      <c r="H70" s="36"/>
      <c r="I70" s="36"/>
      <c r="J70" s="36">
        <f t="shared" ref="J70:J132" si="9">I70-H70</f>
        <v>0</v>
      </c>
      <c r="K70" s="36">
        <v>0</v>
      </c>
      <c r="L70" s="36">
        <v>0</v>
      </c>
      <c r="M70" s="36">
        <f t="shared" ref="M70:M132" si="10">L70-K70</f>
        <v>0</v>
      </c>
      <c r="N70" s="36">
        <v>6949042</v>
      </c>
      <c r="O70" s="36">
        <v>6949042</v>
      </c>
      <c r="P70" s="36">
        <f t="shared" ref="P70:P132" si="11">O70-N70</f>
        <v>0</v>
      </c>
      <c r="Q70" s="36"/>
      <c r="R70" s="36"/>
      <c r="S70" s="36">
        <f t="shared" ref="S70:S132" si="12">R70-Q70</f>
        <v>0</v>
      </c>
      <c r="T70" s="36">
        <v>0</v>
      </c>
      <c r="U70" s="36">
        <v>0</v>
      </c>
      <c r="V70" s="36">
        <f t="shared" ref="V70:V132" si="13">U70-T70</f>
        <v>0</v>
      </c>
      <c r="W70" s="36"/>
      <c r="X70" s="36"/>
      <c r="Y70" s="36">
        <f t="shared" ref="Y70:Y132" si="14">X70-W70</f>
        <v>0</v>
      </c>
      <c r="Z70" s="36"/>
      <c r="AA70" s="36"/>
      <c r="AB70" s="36">
        <f t="shared" ref="AB70:AB132" si="15">AA70-Z70</f>
        <v>0</v>
      </c>
    </row>
    <row r="71" spans="1:187" s="11" customFormat="1" ht="31.5">
      <c r="A71" s="35" t="s">
        <v>78</v>
      </c>
      <c r="B71" s="36">
        <f t="shared" si="0"/>
        <v>49854</v>
      </c>
      <c r="C71" s="36">
        <f t="shared" si="0"/>
        <v>49854</v>
      </c>
      <c r="D71" s="36">
        <f t="shared" si="0"/>
        <v>0</v>
      </c>
      <c r="E71" s="36">
        <f>18700-18700</f>
        <v>0</v>
      </c>
      <c r="F71" s="36">
        <f>18700-18700</f>
        <v>0</v>
      </c>
      <c r="G71" s="36">
        <f t="shared" si="1"/>
        <v>0</v>
      </c>
      <c r="H71" s="36"/>
      <c r="I71" s="36"/>
      <c r="J71" s="36">
        <f t="shared" si="9"/>
        <v>0</v>
      </c>
      <c r="K71" s="36">
        <v>0</v>
      </c>
      <c r="L71" s="36">
        <v>0</v>
      </c>
      <c r="M71" s="36">
        <f t="shared" si="10"/>
        <v>0</v>
      </c>
      <c r="N71" s="36"/>
      <c r="O71" s="36"/>
      <c r="P71" s="36">
        <f t="shared" si="11"/>
        <v>0</v>
      </c>
      <c r="Q71" s="36"/>
      <c r="R71" s="36"/>
      <c r="S71" s="36">
        <f t="shared" si="12"/>
        <v>0</v>
      </c>
      <c r="T71" s="36">
        <f>31300+18700-146</f>
        <v>49854</v>
      </c>
      <c r="U71" s="36">
        <f>31300+18700-146</f>
        <v>49854</v>
      </c>
      <c r="V71" s="36">
        <f t="shared" si="13"/>
        <v>0</v>
      </c>
      <c r="W71" s="36"/>
      <c r="X71" s="36"/>
      <c r="Y71" s="36">
        <f t="shared" si="14"/>
        <v>0</v>
      </c>
      <c r="Z71" s="36"/>
      <c r="AA71" s="36"/>
      <c r="AB71" s="36">
        <f t="shared" si="15"/>
        <v>0</v>
      </c>
    </row>
    <row r="72" spans="1:187" s="11" customFormat="1" ht="31.5">
      <c r="A72" s="37" t="s">
        <v>79</v>
      </c>
      <c r="B72" s="36">
        <f t="shared" ref="B72:D143" si="16">E72+H72+K72+N72+Q72+T72+W72+Z72</f>
        <v>329964</v>
      </c>
      <c r="C72" s="36">
        <f t="shared" si="16"/>
        <v>329964</v>
      </c>
      <c r="D72" s="36">
        <f t="shared" si="16"/>
        <v>0</v>
      </c>
      <c r="E72" s="36">
        <f>330000-42579+27488+540+382+550+863+12720</f>
        <v>329964</v>
      </c>
      <c r="F72" s="36">
        <f>330000-42579+27488+540+382+550+863+12720</f>
        <v>329964</v>
      </c>
      <c r="G72" s="36">
        <f t="shared" ref="G72:G138" si="17">F72-E72</f>
        <v>0</v>
      </c>
      <c r="H72" s="36">
        <v>0</v>
      </c>
      <c r="I72" s="36">
        <v>0</v>
      </c>
      <c r="J72" s="36">
        <f t="shared" si="9"/>
        <v>0</v>
      </c>
      <c r="K72" s="36"/>
      <c r="L72" s="36"/>
      <c r="M72" s="36">
        <f t="shared" si="10"/>
        <v>0</v>
      </c>
      <c r="N72" s="36">
        <v>0</v>
      </c>
      <c r="O72" s="36">
        <v>0</v>
      </c>
      <c r="P72" s="36">
        <f t="shared" si="11"/>
        <v>0</v>
      </c>
      <c r="Q72" s="36"/>
      <c r="R72" s="36"/>
      <c r="S72" s="36">
        <f t="shared" si="12"/>
        <v>0</v>
      </c>
      <c r="T72" s="36">
        <v>0</v>
      </c>
      <c r="U72" s="36">
        <v>0</v>
      </c>
      <c r="V72" s="36">
        <f t="shared" si="13"/>
        <v>0</v>
      </c>
      <c r="W72" s="36">
        <v>0</v>
      </c>
      <c r="X72" s="36">
        <v>0</v>
      </c>
      <c r="Y72" s="36">
        <f t="shared" si="14"/>
        <v>0</v>
      </c>
      <c r="Z72" s="36"/>
      <c r="AA72" s="36"/>
      <c r="AB72" s="36">
        <f t="shared" si="15"/>
        <v>0</v>
      </c>
    </row>
    <row r="73" spans="1:187" s="11" customFormat="1" ht="47.25">
      <c r="A73" s="35" t="s">
        <v>80</v>
      </c>
      <c r="B73" s="36">
        <f t="shared" si="16"/>
        <v>2755061</v>
      </c>
      <c r="C73" s="36">
        <f t="shared" si="16"/>
        <v>2755061</v>
      </c>
      <c r="D73" s="36">
        <f t="shared" si="16"/>
        <v>0</v>
      </c>
      <c r="E73" s="36">
        <v>0</v>
      </c>
      <c r="F73" s="36">
        <v>0</v>
      </c>
      <c r="G73" s="36">
        <f t="shared" si="17"/>
        <v>0</v>
      </c>
      <c r="H73" s="36">
        <f>698588+44818+19949</f>
        <v>763355</v>
      </c>
      <c r="I73" s="36">
        <f>698588+44818+19949</f>
        <v>763355</v>
      </c>
      <c r="J73" s="36">
        <f t="shared" si="9"/>
        <v>0</v>
      </c>
      <c r="K73" s="36">
        <f>763355-698588-44818-19949</f>
        <v>0</v>
      </c>
      <c r="L73" s="36">
        <f>763355-698588-44818-19949</f>
        <v>0</v>
      </c>
      <c r="M73" s="36">
        <f t="shared" si="10"/>
        <v>0</v>
      </c>
      <c r="N73" s="36"/>
      <c r="O73" s="36"/>
      <c r="P73" s="36">
        <f t="shared" si="11"/>
        <v>0</v>
      </c>
      <c r="Q73" s="36"/>
      <c r="R73" s="36"/>
      <c r="S73" s="36">
        <f t="shared" si="12"/>
        <v>0</v>
      </c>
      <c r="T73" s="36">
        <v>1991706</v>
      </c>
      <c r="U73" s="36">
        <v>1991706</v>
      </c>
      <c r="V73" s="36">
        <f t="shared" si="13"/>
        <v>0</v>
      </c>
      <c r="W73" s="36"/>
      <c r="X73" s="36"/>
      <c r="Y73" s="36">
        <f t="shared" si="14"/>
        <v>0</v>
      </c>
      <c r="Z73" s="36"/>
      <c r="AA73" s="36"/>
      <c r="AB73" s="36">
        <f t="shared" si="15"/>
        <v>0</v>
      </c>
    </row>
    <row r="74" spans="1:187" s="11" customFormat="1" ht="31.5">
      <c r="A74" s="37" t="s">
        <v>81</v>
      </c>
      <c r="B74" s="36">
        <f t="shared" si="16"/>
        <v>185000</v>
      </c>
      <c r="C74" s="36">
        <f t="shared" si="16"/>
        <v>185000</v>
      </c>
      <c r="D74" s="36">
        <f t="shared" si="16"/>
        <v>0</v>
      </c>
      <c r="E74" s="36">
        <f>185000-185000</f>
        <v>0</v>
      </c>
      <c r="F74" s="36">
        <f>185000-185000</f>
        <v>0</v>
      </c>
      <c r="G74" s="36">
        <f t="shared" si="17"/>
        <v>0</v>
      </c>
      <c r="H74" s="36">
        <v>185000</v>
      </c>
      <c r="I74" s="36">
        <v>185000</v>
      </c>
      <c r="J74" s="36">
        <f t="shared" si="9"/>
        <v>0</v>
      </c>
      <c r="K74" s="36">
        <f>185000-185000</f>
        <v>0</v>
      </c>
      <c r="L74" s="36">
        <f>185000-185000</f>
        <v>0</v>
      </c>
      <c r="M74" s="36">
        <f t="shared" si="10"/>
        <v>0</v>
      </c>
      <c r="N74" s="36">
        <v>0</v>
      </c>
      <c r="O74" s="36">
        <v>0</v>
      </c>
      <c r="P74" s="36">
        <f t="shared" si="11"/>
        <v>0</v>
      </c>
      <c r="Q74" s="36"/>
      <c r="R74" s="36"/>
      <c r="S74" s="36">
        <f t="shared" si="12"/>
        <v>0</v>
      </c>
      <c r="T74" s="36">
        <v>0</v>
      </c>
      <c r="U74" s="36">
        <v>0</v>
      </c>
      <c r="V74" s="36">
        <f t="shared" si="13"/>
        <v>0</v>
      </c>
      <c r="W74" s="36">
        <v>0</v>
      </c>
      <c r="X74" s="36">
        <v>0</v>
      </c>
      <c r="Y74" s="36">
        <f t="shared" si="14"/>
        <v>0</v>
      </c>
      <c r="Z74" s="36"/>
      <c r="AA74" s="36"/>
      <c r="AB74" s="36">
        <f t="shared" si="15"/>
        <v>0</v>
      </c>
    </row>
    <row r="75" spans="1:187" s="28" customFormat="1" ht="31.5">
      <c r="A75" s="29" t="s">
        <v>82</v>
      </c>
      <c r="B75" s="30">
        <f t="shared" si="16"/>
        <v>3050951</v>
      </c>
      <c r="C75" s="30">
        <f t="shared" si="16"/>
        <v>3051403</v>
      </c>
      <c r="D75" s="30">
        <f t="shared" si="16"/>
        <v>452</v>
      </c>
      <c r="E75" s="30">
        <f>SUM(E76)</f>
        <v>336952</v>
      </c>
      <c r="F75" s="30">
        <f>SUM(F76)</f>
        <v>336952</v>
      </c>
      <c r="G75" s="30">
        <f t="shared" si="17"/>
        <v>0</v>
      </c>
      <c r="H75" s="30">
        <f>SUM(H76)</f>
        <v>13080</v>
      </c>
      <c r="I75" s="30">
        <f>SUM(I76)</f>
        <v>13080</v>
      </c>
      <c r="J75" s="30">
        <f t="shared" si="9"/>
        <v>0</v>
      </c>
      <c r="K75" s="30">
        <f>SUM(K76)</f>
        <v>41264</v>
      </c>
      <c r="L75" s="30">
        <f>SUM(L76)</f>
        <v>41166</v>
      </c>
      <c r="M75" s="30">
        <f t="shared" si="10"/>
        <v>-98</v>
      </c>
      <c r="N75" s="30">
        <f>SUM(N76)</f>
        <v>2563655</v>
      </c>
      <c r="O75" s="30">
        <f>SUM(O76)</f>
        <v>2564205</v>
      </c>
      <c r="P75" s="30">
        <f t="shared" si="11"/>
        <v>550</v>
      </c>
      <c r="Q75" s="30">
        <f>SUM(Q76)</f>
        <v>96000</v>
      </c>
      <c r="R75" s="30">
        <f>SUM(R76)</f>
        <v>96000</v>
      </c>
      <c r="S75" s="30">
        <f t="shared" si="12"/>
        <v>0</v>
      </c>
      <c r="T75" s="30">
        <f>SUM(T76)</f>
        <v>0</v>
      </c>
      <c r="U75" s="30">
        <f>SUM(U76)</f>
        <v>0</v>
      </c>
      <c r="V75" s="30">
        <f t="shared" si="13"/>
        <v>0</v>
      </c>
      <c r="W75" s="30">
        <f>SUM(W76)</f>
        <v>0</v>
      </c>
      <c r="X75" s="30">
        <f>SUM(X76)</f>
        <v>0</v>
      </c>
      <c r="Y75" s="30">
        <f t="shared" si="14"/>
        <v>0</v>
      </c>
      <c r="Z75" s="30">
        <f>SUM(Z76)</f>
        <v>0</v>
      </c>
      <c r="AA75" s="30">
        <f>SUM(AA76)</f>
        <v>0</v>
      </c>
      <c r="AB75" s="30">
        <f t="shared" si="15"/>
        <v>0</v>
      </c>
    </row>
    <row r="76" spans="1:187" s="11" customFormat="1">
      <c r="A76" s="29" t="s">
        <v>22</v>
      </c>
      <c r="B76" s="30">
        <f t="shared" si="16"/>
        <v>3050951</v>
      </c>
      <c r="C76" s="30">
        <f t="shared" si="16"/>
        <v>3051403</v>
      </c>
      <c r="D76" s="30">
        <f t="shared" si="16"/>
        <v>452</v>
      </c>
      <c r="E76" s="30">
        <f>SUM(E77:E85)</f>
        <v>336952</v>
      </c>
      <c r="F76" s="30">
        <f>SUM(F77:F85)</f>
        <v>336952</v>
      </c>
      <c r="G76" s="30">
        <f t="shared" si="17"/>
        <v>0</v>
      </c>
      <c r="H76" s="30">
        <f>SUM(H77:H85)</f>
        <v>13080</v>
      </c>
      <c r="I76" s="30">
        <f>SUM(I77:I85)</f>
        <v>13080</v>
      </c>
      <c r="J76" s="30">
        <f t="shared" si="9"/>
        <v>0</v>
      </c>
      <c r="K76" s="30">
        <f>SUM(K77:K85)</f>
        <v>41264</v>
      </c>
      <c r="L76" s="30">
        <f>SUM(L77:L85)</f>
        <v>41166</v>
      </c>
      <c r="M76" s="30">
        <f t="shared" si="10"/>
        <v>-98</v>
      </c>
      <c r="N76" s="30">
        <f>SUM(N77:N85)</f>
        <v>2563655</v>
      </c>
      <c r="O76" s="30">
        <f>SUM(O77:O85)</f>
        <v>2564205</v>
      </c>
      <c r="P76" s="30">
        <f t="shared" si="11"/>
        <v>550</v>
      </c>
      <c r="Q76" s="30">
        <f>SUM(Q77:Q85)</f>
        <v>96000</v>
      </c>
      <c r="R76" s="30">
        <f>SUM(R77:R85)</f>
        <v>96000</v>
      </c>
      <c r="S76" s="30">
        <f t="shared" si="12"/>
        <v>0</v>
      </c>
      <c r="T76" s="30">
        <f>SUM(T77:T85)</f>
        <v>0</v>
      </c>
      <c r="U76" s="30">
        <f>SUM(U77:U85)</f>
        <v>0</v>
      </c>
      <c r="V76" s="30">
        <f t="shared" si="13"/>
        <v>0</v>
      </c>
      <c r="W76" s="30">
        <f>SUM(W77:W85)</f>
        <v>0</v>
      </c>
      <c r="X76" s="30">
        <f>SUM(X77:X85)</f>
        <v>0</v>
      </c>
      <c r="Y76" s="30">
        <f t="shared" si="14"/>
        <v>0</v>
      </c>
      <c r="Z76" s="30">
        <f>SUM(Z77:Z85)</f>
        <v>0</v>
      </c>
      <c r="AA76" s="30">
        <f>SUM(AA77:AA85)</f>
        <v>0</v>
      </c>
      <c r="AB76" s="30">
        <f t="shared" si="15"/>
        <v>0</v>
      </c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  <c r="AZ76" s="28"/>
      <c r="BA76" s="28"/>
      <c r="BB76" s="28"/>
      <c r="BC76" s="28"/>
      <c r="BD76" s="28"/>
      <c r="BE76" s="28"/>
      <c r="BF76" s="28"/>
      <c r="BG76" s="28"/>
      <c r="BH76" s="28"/>
      <c r="BI76" s="28"/>
      <c r="BJ76" s="28"/>
      <c r="BK76" s="28"/>
      <c r="BL76" s="28"/>
      <c r="BM76" s="28"/>
      <c r="BN76" s="28"/>
      <c r="BO76" s="28"/>
      <c r="BP76" s="28"/>
      <c r="BQ76" s="28"/>
      <c r="BR76" s="28"/>
      <c r="BS76" s="28"/>
      <c r="BT76" s="28"/>
      <c r="BU76" s="28"/>
      <c r="BV76" s="28"/>
      <c r="BW76" s="28"/>
      <c r="BX76" s="28"/>
      <c r="BY76" s="28"/>
      <c r="BZ76" s="28"/>
      <c r="CA76" s="28"/>
      <c r="CB76" s="28"/>
      <c r="CC76" s="28"/>
      <c r="CD76" s="28"/>
      <c r="CE76" s="28"/>
      <c r="CF76" s="28"/>
      <c r="CG76" s="28"/>
      <c r="CH76" s="28"/>
      <c r="CI76" s="28"/>
      <c r="CJ76" s="28"/>
      <c r="CK76" s="28"/>
      <c r="CL76" s="28"/>
      <c r="CM76" s="28"/>
      <c r="CN76" s="28"/>
      <c r="CO76" s="28"/>
      <c r="CP76" s="28"/>
      <c r="CQ76" s="28"/>
      <c r="CR76" s="28"/>
      <c r="CS76" s="28"/>
      <c r="CT76" s="28"/>
      <c r="CU76" s="28"/>
      <c r="CV76" s="28"/>
      <c r="CW76" s="28"/>
      <c r="CX76" s="28"/>
      <c r="CY76" s="28"/>
      <c r="CZ76" s="28"/>
      <c r="DA76" s="28"/>
      <c r="DB76" s="28"/>
      <c r="DC76" s="28"/>
      <c r="DD76" s="28"/>
      <c r="DE76" s="28"/>
      <c r="DF76" s="28"/>
      <c r="DG76" s="28"/>
      <c r="DH76" s="28"/>
      <c r="DI76" s="28"/>
      <c r="DJ76" s="28"/>
      <c r="DK76" s="28"/>
      <c r="DL76" s="28"/>
      <c r="DM76" s="28"/>
      <c r="DN76" s="28"/>
      <c r="DO76" s="28"/>
      <c r="DP76" s="28"/>
      <c r="DQ76" s="28"/>
      <c r="DR76" s="28"/>
      <c r="DS76" s="28"/>
      <c r="DT76" s="28"/>
      <c r="DU76" s="28"/>
      <c r="DV76" s="28"/>
      <c r="DW76" s="28"/>
      <c r="DX76" s="28"/>
      <c r="DY76" s="28"/>
      <c r="DZ76" s="28"/>
      <c r="EA76" s="28"/>
      <c r="EB76" s="28"/>
      <c r="EC76" s="28"/>
      <c r="ED76" s="28"/>
      <c r="EE76" s="28"/>
      <c r="EF76" s="28"/>
      <c r="EG76" s="28"/>
      <c r="EH76" s="28"/>
      <c r="EI76" s="28"/>
      <c r="EJ76" s="28"/>
      <c r="EK76" s="28"/>
      <c r="EL76" s="28"/>
      <c r="EM76" s="28"/>
      <c r="EN76" s="28"/>
      <c r="EO76" s="28"/>
      <c r="EP76" s="28"/>
      <c r="EQ76" s="28"/>
      <c r="ER76" s="28"/>
      <c r="ES76" s="28"/>
      <c r="ET76" s="28"/>
      <c r="EU76" s="28"/>
      <c r="EV76" s="28"/>
      <c r="EW76" s="28"/>
      <c r="EX76" s="28"/>
      <c r="EY76" s="28"/>
      <c r="EZ76" s="28"/>
      <c r="FA76" s="28"/>
      <c r="FB76" s="28"/>
      <c r="FC76" s="28"/>
      <c r="FD76" s="28"/>
      <c r="FE76" s="28"/>
      <c r="FF76" s="28"/>
      <c r="FG76" s="28"/>
      <c r="FH76" s="28"/>
      <c r="FI76" s="28"/>
      <c r="FJ76" s="28"/>
      <c r="FK76" s="28"/>
      <c r="FL76" s="28"/>
      <c r="FM76" s="28"/>
      <c r="FN76" s="28"/>
      <c r="FO76" s="28"/>
      <c r="FP76" s="28"/>
      <c r="FQ76" s="28"/>
      <c r="FR76" s="28"/>
      <c r="FS76" s="28"/>
      <c r="FT76" s="28"/>
      <c r="FU76" s="28"/>
      <c r="FV76" s="28"/>
      <c r="FW76" s="28"/>
      <c r="FX76" s="28"/>
      <c r="FY76" s="28"/>
      <c r="FZ76" s="28"/>
      <c r="GA76" s="28"/>
      <c r="GB76" s="28"/>
      <c r="GC76" s="28"/>
      <c r="GD76" s="28"/>
      <c r="GE76" s="28"/>
    </row>
    <row r="77" spans="1:187" s="11" customFormat="1">
      <c r="A77" s="37" t="s">
        <v>83</v>
      </c>
      <c r="B77" s="36">
        <f t="shared" si="16"/>
        <v>33000</v>
      </c>
      <c r="C77" s="36">
        <f t="shared" si="16"/>
        <v>33000</v>
      </c>
      <c r="D77" s="36">
        <f t="shared" si="16"/>
        <v>0</v>
      </c>
      <c r="E77" s="36">
        <v>33000</v>
      </c>
      <c r="F77" s="36">
        <v>33000</v>
      </c>
      <c r="G77" s="36">
        <f t="shared" si="17"/>
        <v>0</v>
      </c>
      <c r="H77" s="36"/>
      <c r="I77" s="36"/>
      <c r="J77" s="36">
        <f t="shared" si="9"/>
        <v>0</v>
      </c>
      <c r="K77" s="36">
        <v>0</v>
      </c>
      <c r="L77" s="36">
        <v>0</v>
      </c>
      <c r="M77" s="36">
        <f t="shared" si="10"/>
        <v>0</v>
      </c>
      <c r="N77" s="36"/>
      <c r="O77" s="36"/>
      <c r="P77" s="36">
        <f t="shared" si="11"/>
        <v>0</v>
      </c>
      <c r="Q77" s="36"/>
      <c r="R77" s="36"/>
      <c r="S77" s="36">
        <f t="shared" si="12"/>
        <v>0</v>
      </c>
      <c r="T77" s="36"/>
      <c r="U77" s="36"/>
      <c r="V77" s="36">
        <f t="shared" si="13"/>
        <v>0</v>
      </c>
      <c r="W77" s="36"/>
      <c r="X77" s="36"/>
      <c r="Y77" s="36">
        <f t="shared" si="14"/>
        <v>0</v>
      </c>
      <c r="Z77" s="36"/>
      <c r="AA77" s="36"/>
      <c r="AB77" s="36">
        <f t="shared" si="15"/>
        <v>0</v>
      </c>
    </row>
    <row r="78" spans="1:187" s="11" customFormat="1" ht="31.5">
      <c r="A78" s="32" t="s">
        <v>84</v>
      </c>
      <c r="B78" s="33">
        <f t="shared" si="16"/>
        <v>32000</v>
      </c>
      <c r="C78" s="33">
        <f t="shared" si="16"/>
        <v>31979</v>
      </c>
      <c r="D78" s="33">
        <f t="shared" si="16"/>
        <v>-21</v>
      </c>
      <c r="E78" s="33">
        <v>0</v>
      </c>
      <c r="F78" s="33">
        <v>0</v>
      </c>
      <c r="G78" s="33">
        <f t="shared" si="17"/>
        <v>0</v>
      </c>
      <c r="H78" s="33"/>
      <c r="I78" s="33"/>
      <c r="J78" s="33">
        <f t="shared" si="9"/>
        <v>0</v>
      </c>
      <c r="K78" s="33">
        <v>32000</v>
      </c>
      <c r="L78" s="33">
        <f>32000-21</f>
        <v>31979</v>
      </c>
      <c r="M78" s="33">
        <f t="shared" si="10"/>
        <v>-21</v>
      </c>
      <c r="N78" s="33"/>
      <c r="O78" s="33"/>
      <c r="P78" s="33">
        <f t="shared" si="11"/>
        <v>0</v>
      </c>
      <c r="Q78" s="33"/>
      <c r="R78" s="33"/>
      <c r="S78" s="33">
        <f t="shared" si="12"/>
        <v>0</v>
      </c>
      <c r="T78" s="33"/>
      <c r="U78" s="33"/>
      <c r="V78" s="33">
        <f t="shared" si="13"/>
        <v>0</v>
      </c>
      <c r="W78" s="33"/>
      <c r="X78" s="33"/>
      <c r="Y78" s="33">
        <f t="shared" si="14"/>
        <v>0</v>
      </c>
      <c r="Z78" s="33"/>
      <c r="AA78" s="33"/>
      <c r="AB78" s="33">
        <f t="shared" si="15"/>
        <v>0</v>
      </c>
    </row>
    <row r="79" spans="1:187" s="11" customFormat="1">
      <c r="A79" s="32" t="s">
        <v>85</v>
      </c>
      <c r="B79" s="33">
        <f t="shared" si="16"/>
        <v>96000</v>
      </c>
      <c r="C79" s="33">
        <f t="shared" si="16"/>
        <v>96000</v>
      </c>
      <c r="D79" s="33">
        <f t="shared" si="16"/>
        <v>0</v>
      </c>
      <c r="E79" s="33">
        <v>0</v>
      </c>
      <c r="F79" s="33">
        <v>0</v>
      </c>
      <c r="G79" s="33">
        <f t="shared" si="17"/>
        <v>0</v>
      </c>
      <c r="H79" s="33"/>
      <c r="I79" s="33"/>
      <c r="J79" s="33">
        <f t="shared" si="9"/>
        <v>0</v>
      </c>
      <c r="K79" s="33">
        <v>0</v>
      </c>
      <c r="L79" s="33">
        <v>0</v>
      </c>
      <c r="M79" s="33">
        <f t="shared" si="10"/>
        <v>0</v>
      </c>
      <c r="N79" s="33"/>
      <c r="O79" s="33"/>
      <c r="P79" s="33">
        <f t="shared" si="11"/>
        <v>0</v>
      </c>
      <c r="Q79" s="33">
        <v>96000</v>
      </c>
      <c r="R79" s="33">
        <v>96000</v>
      </c>
      <c r="S79" s="33">
        <f t="shared" si="12"/>
        <v>0</v>
      </c>
      <c r="T79" s="33"/>
      <c r="U79" s="33"/>
      <c r="V79" s="33">
        <f t="shared" si="13"/>
        <v>0</v>
      </c>
      <c r="W79" s="33"/>
      <c r="X79" s="33"/>
      <c r="Y79" s="33">
        <f t="shared" si="14"/>
        <v>0</v>
      </c>
      <c r="Z79" s="33"/>
      <c r="AA79" s="33"/>
      <c r="AB79" s="33">
        <f t="shared" si="15"/>
        <v>0</v>
      </c>
    </row>
    <row r="80" spans="1:187" s="11" customFormat="1" ht="47.25">
      <c r="A80" s="32" t="s">
        <v>86</v>
      </c>
      <c r="B80" s="33">
        <f t="shared" si="16"/>
        <v>13080</v>
      </c>
      <c r="C80" s="33">
        <f t="shared" si="16"/>
        <v>13080</v>
      </c>
      <c r="D80" s="33">
        <f t="shared" si="16"/>
        <v>0</v>
      </c>
      <c r="E80" s="33">
        <v>0</v>
      </c>
      <c r="F80" s="33">
        <v>0</v>
      </c>
      <c r="G80" s="33">
        <f t="shared" si="17"/>
        <v>0</v>
      </c>
      <c r="H80" s="33">
        <v>13080</v>
      </c>
      <c r="I80" s="33">
        <v>13080</v>
      </c>
      <c r="J80" s="33">
        <f t="shared" si="9"/>
        <v>0</v>
      </c>
      <c r="K80" s="33">
        <v>0</v>
      </c>
      <c r="L80" s="33">
        <v>0</v>
      </c>
      <c r="M80" s="33">
        <f t="shared" si="10"/>
        <v>0</v>
      </c>
      <c r="N80" s="33"/>
      <c r="O80" s="33"/>
      <c r="P80" s="33">
        <f t="shared" si="11"/>
        <v>0</v>
      </c>
      <c r="Q80" s="33"/>
      <c r="R80" s="33"/>
      <c r="S80" s="33">
        <f t="shared" si="12"/>
        <v>0</v>
      </c>
      <c r="T80" s="33"/>
      <c r="U80" s="33"/>
      <c r="V80" s="33">
        <f t="shared" si="13"/>
        <v>0</v>
      </c>
      <c r="W80" s="33"/>
      <c r="X80" s="33"/>
      <c r="Y80" s="33">
        <f t="shared" si="14"/>
        <v>0</v>
      </c>
      <c r="Z80" s="33"/>
      <c r="AA80" s="33"/>
      <c r="AB80" s="33">
        <f t="shared" si="15"/>
        <v>0</v>
      </c>
    </row>
    <row r="81" spans="1:187" s="11" customFormat="1" ht="63">
      <c r="A81" s="37" t="s">
        <v>87</v>
      </c>
      <c r="B81" s="36">
        <f t="shared" si="16"/>
        <v>152264</v>
      </c>
      <c r="C81" s="36">
        <f t="shared" si="16"/>
        <v>152187</v>
      </c>
      <c r="D81" s="36">
        <f t="shared" si="16"/>
        <v>-77</v>
      </c>
      <c r="E81" s="36">
        <f>130000+20000</f>
        <v>150000</v>
      </c>
      <c r="F81" s="36">
        <f>130000+20000</f>
        <v>150000</v>
      </c>
      <c r="G81" s="36">
        <f t="shared" si="17"/>
        <v>0</v>
      </c>
      <c r="H81" s="36"/>
      <c r="I81" s="36"/>
      <c r="J81" s="36">
        <f t="shared" si="9"/>
        <v>0</v>
      </c>
      <c r="K81" s="36">
        <v>2264</v>
      </c>
      <c r="L81" s="36">
        <f>2264-77</f>
        <v>2187</v>
      </c>
      <c r="M81" s="36">
        <f t="shared" si="10"/>
        <v>-77</v>
      </c>
      <c r="N81" s="36"/>
      <c r="O81" s="36"/>
      <c r="P81" s="36">
        <f t="shared" si="11"/>
        <v>0</v>
      </c>
      <c r="Q81" s="36"/>
      <c r="R81" s="36"/>
      <c r="S81" s="36">
        <f t="shared" si="12"/>
        <v>0</v>
      </c>
      <c r="T81" s="36"/>
      <c r="U81" s="36"/>
      <c r="V81" s="36">
        <f t="shared" si="13"/>
        <v>0</v>
      </c>
      <c r="W81" s="36"/>
      <c r="X81" s="36"/>
      <c r="Y81" s="36">
        <f t="shared" si="14"/>
        <v>0</v>
      </c>
      <c r="Z81" s="36"/>
      <c r="AA81" s="36"/>
      <c r="AB81" s="36">
        <f t="shared" si="15"/>
        <v>0</v>
      </c>
    </row>
    <row r="82" spans="1:187" s="11" customFormat="1" ht="31.5">
      <c r="A82" s="37" t="s">
        <v>88</v>
      </c>
      <c r="B82" s="36">
        <f t="shared" si="16"/>
        <v>52660</v>
      </c>
      <c r="C82" s="36">
        <f t="shared" si="16"/>
        <v>52660</v>
      </c>
      <c r="D82" s="36">
        <f t="shared" si="16"/>
        <v>0</v>
      </c>
      <c r="E82" s="36">
        <f>51000+2042-382</f>
        <v>52660</v>
      </c>
      <c r="F82" s="36">
        <f>51000+2042-382</f>
        <v>52660</v>
      </c>
      <c r="G82" s="36">
        <f t="shared" si="17"/>
        <v>0</v>
      </c>
      <c r="H82" s="36">
        <v>0</v>
      </c>
      <c r="I82" s="36">
        <v>0</v>
      </c>
      <c r="J82" s="36">
        <f t="shared" si="9"/>
        <v>0</v>
      </c>
      <c r="K82" s="36"/>
      <c r="L82" s="36"/>
      <c r="M82" s="36">
        <f t="shared" si="10"/>
        <v>0</v>
      </c>
      <c r="N82" s="36"/>
      <c r="O82" s="36"/>
      <c r="P82" s="36">
        <f t="shared" si="11"/>
        <v>0</v>
      </c>
      <c r="Q82" s="36"/>
      <c r="R82" s="36"/>
      <c r="S82" s="36">
        <f t="shared" si="12"/>
        <v>0</v>
      </c>
      <c r="T82" s="36"/>
      <c r="U82" s="36"/>
      <c r="V82" s="36">
        <f t="shared" si="13"/>
        <v>0</v>
      </c>
      <c r="W82" s="36"/>
      <c r="X82" s="36"/>
      <c r="Y82" s="36">
        <f t="shared" si="14"/>
        <v>0</v>
      </c>
      <c r="Z82" s="36"/>
      <c r="AA82" s="36"/>
      <c r="AB82" s="36">
        <f t="shared" si="15"/>
        <v>0</v>
      </c>
    </row>
    <row r="83" spans="1:187" s="11" customFormat="1" ht="63">
      <c r="A83" s="40" t="s">
        <v>89</v>
      </c>
      <c r="B83" s="36">
        <f t="shared" si="16"/>
        <v>323303</v>
      </c>
      <c r="C83" s="36">
        <f t="shared" si="16"/>
        <v>323853</v>
      </c>
      <c r="D83" s="36">
        <f t="shared" si="16"/>
        <v>550</v>
      </c>
      <c r="E83" s="36">
        <f>105080-550-1134-2104</f>
        <v>101292</v>
      </c>
      <c r="F83" s="36">
        <f>105080-550-1134-2104</f>
        <v>101292</v>
      </c>
      <c r="G83" s="36">
        <f t="shared" si="17"/>
        <v>0</v>
      </c>
      <c r="H83" s="36">
        <v>0</v>
      </c>
      <c r="I83" s="36">
        <v>0</v>
      </c>
      <c r="J83" s="36">
        <f t="shared" si="9"/>
        <v>0</v>
      </c>
      <c r="K83" s="36">
        <v>0</v>
      </c>
      <c r="L83" s="36">
        <v>0</v>
      </c>
      <c r="M83" s="36">
        <f t="shared" si="10"/>
        <v>0</v>
      </c>
      <c r="N83" s="36">
        <f>316301-105080+3238+7552</f>
        <v>222011</v>
      </c>
      <c r="O83" s="36">
        <f>316301-105080+3238+7552+550</f>
        <v>222561</v>
      </c>
      <c r="P83" s="36">
        <f t="shared" si="11"/>
        <v>550</v>
      </c>
      <c r="Q83" s="36"/>
      <c r="R83" s="36"/>
      <c r="S83" s="36">
        <f t="shared" si="12"/>
        <v>0</v>
      </c>
      <c r="T83" s="36"/>
      <c r="U83" s="36"/>
      <c r="V83" s="36">
        <f t="shared" si="13"/>
        <v>0</v>
      </c>
      <c r="W83" s="36"/>
      <c r="X83" s="36"/>
      <c r="Y83" s="36">
        <f t="shared" si="14"/>
        <v>0</v>
      </c>
      <c r="Z83" s="36"/>
      <c r="AA83" s="36"/>
      <c r="AB83" s="36">
        <f t="shared" si="15"/>
        <v>0</v>
      </c>
    </row>
    <row r="84" spans="1:187" s="11" customFormat="1" ht="78.75">
      <c r="A84" s="40" t="s">
        <v>90</v>
      </c>
      <c r="B84" s="36">
        <f t="shared" si="16"/>
        <v>2341644</v>
      </c>
      <c r="C84" s="36">
        <f t="shared" si="16"/>
        <v>2341644</v>
      </c>
      <c r="D84" s="36">
        <f t="shared" si="16"/>
        <v>0</v>
      </c>
      <c r="E84" s="36">
        <v>0</v>
      </c>
      <c r="F84" s="36">
        <v>0</v>
      </c>
      <c r="G84" s="36">
        <f t="shared" si="17"/>
        <v>0</v>
      </c>
      <c r="H84" s="36">
        <v>0</v>
      </c>
      <c r="I84" s="36">
        <v>0</v>
      </c>
      <c r="J84" s="36">
        <f t="shared" si="9"/>
        <v>0</v>
      </c>
      <c r="K84" s="36">
        <v>0</v>
      </c>
      <c r="L84" s="36">
        <v>0</v>
      </c>
      <c r="M84" s="36">
        <f t="shared" si="10"/>
        <v>0</v>
      </c>
      <c r="N84" s="36">
        <v>2341644</v>
      </c>
      <c r="O84" s="36">
        <v>2341644</v>
      </c>
      <c r="P84" s="36">
        <f t="shared" si="11"/>
        <v>0</v>
      </c>
      <c r="Q84" s="36"/>
      <c r="R84" s="36"/>
      <c r="S84" s="36">
        <f t="shared" si="12"/>
        <v>0</v>
      </c>
      <c r="T84" s="36"/>
      <c r="U84" s="36"/>
      <c r="V84" s="36">
        <f t="shared" si="13"/>
        <v>0</v>
      </c>
      <c r="W84" s="36"/>
      <c r="X84" s="36"/>
      <c r="Y84" s="36">
        <f t="shared" si="14"/>
        <v>0</v>
      </c>
      <c r="Z84" s="36"/>
      <c r="AA84" s="36"/>
      <c r="AB84" s="36">
        <f t="shared" si="15"/>
        <v>0</v>
      </c>
    </row>
    <row r="85" spans="1:187" s="11" customFormat="1">
      <c r="A85" s="40" t="s">
        <v>91</v>
      </c>
      <c r="B85" s="36">
        <f t="shared" si="16"/>
        <v>7000</v>
      </c>
      <c r="C85" s="36">
        <f t="shared" si="16"/>
        <v>7000</v>
      </c>
      <c r="D85" s="36">
        <f t="shared" si="16"/>
        <v>0</v>
      </c>
      <c r="E85" s="36">
        <v>0</v>
      </c>
      <c r="F85" s="36">
        <v>0</v>
      </c>
      <c r="G85" s="36">
        <f t="shared" si="17"/>
        <v>0</v>
      </c>
      <c r="H85" s="36">
        <v>0</v>
      </c>
      <c r="I85" s="36">
        <v>0</v>
      </c>
      <c r="J85" s="36">
        <f t="shared" si="9"/>
        <v>0</v>
      </c>
      <c r="K85" s="36">
        <v>7000</v>
      </c>
      <c r="L85" s="36">
        <f>7000</f>
        <v>7000</v>
      </c>
      <c r="M85" s="36">
        <f t="shared" si="10"/>
        <v>0</v>
      </c>
      <c r="N85" s="36">
        <v>0</v>
      </c>
      <c r="O85" s="36">
        <v>0</v>
      </c>
      <c r="P85" s="36">
        <f t="shared" si="11"/>
        <v>0</v>
      </c>
      <c r="Q85" s="36"/>
      <c r="R85" s="36"/>
      <c r="S85" s="36">
        <f t="shared" si="12"/>
        <v>0</v>
      </c>
      <c r="T85" s="36"/>
      <c r="U85" s="36"/>
      <c r="V85" s="36">
        <f t="shared" si="13"/>
        <v>0</v>
      </c>
      <c r="W85" s="36"/>
      <c r="X85" s="36"/>
      <c r="Y85" s="36">
        <f t="shared" si="14"/>
        <v>0</v>
      </c>
      <c r="Z85" s="36"/>
      <c r="AA85" s="36"/>
      <c r="AB85" s="36">
        <f t="shared" si="15"/>
        <v>0</v>
      </c>
    </row>
    <row r="86" spans="1:187" s="11" customFormat="1">
      <c r="A86" s="29" t="s">
        <v>92</v>
      </c>
      <c r="B86" s="30">
        <f t="shared" si="16"/>
        <v>4176031</v>
      </c>
      <c r="C86" s="30">
        <f t="shared" si="16"/>
        <v>4176031</v>
      </c>
      <c r="D86" s="30">
        <f t="shared" si="16"/>
        <v>0</v>
      </c>
      <c r="E86" s="30">
        <f>SUM(E87)</f>
        <v>2042316</v>
      </c>
      <c r="F86" s="30">
        <f>SUM(F87)</f>
        <v>2042316</v>
      </c>
      <c r="G86" s="30">
        <f t="shared" si="17"/>
        <v>0</v>
      </c>
      <c r="H86" s="30">
        <f>SUM(H87)</f>
        <v>0</v>
      </c>
      <c r="I86" s="30">
        <f>SUM(I87)</f>
        <v>0</v>
      </c>
      <c r="J86" s="30">
        <f t="shared" si="9"/>
        <v>0</v>
      </c>
      <c r="K86" s="30">
        <f>SUM(K87)</f>
        <v>0</v>
      </c>
      <c r="L86" s="30">
        <f>SUM(L87)</f>
        <v>0</v>
      </c>
      <c r="M86" s="30">
        <f t="shared" si="10"/>
        <v>0</v>
      </c>
      <c r="N86" s="30">
        <f>SUM(N87)</f>
        <v>1416679</v>
      </c>
      <c r="O86" s="30">
        <f>SUM(O87)</f>
        <v>1416679</v>
      </c>
      <c r="P86" s="30">
        <f t="shared" si="11"/>
        <v>0</v>
      </c>
      <c r="Q86" s="30">
        <f>SUM(Q87)</f>
        <v>0</v>
      </c>
      <c r="R86" s="30">
        <f>SUM(R87)</f>
        <v>0</v>
      </c>
      <c r="S86" s="30">
        <f t="shared" si="12"/>
        <v>0</v>
      </c>
      <c r="T86" s="30">
        <f>SUM(T87)</f>
        <v>0</v>
      </c>
      <c r="U86" s="30">
        <f>SUM(U87)</f>
        <v>0</v>
      </c>
      <c r="V86" s="30">
        <f t="shared" si="13"/>
        <v>0</v>
      </c>
      <c r="W86" s="30">
        <f>SUM(W87)</f>
        <v>0</v>
      </c>
      <c r="X86" s="30">
        <f>SUM(X87)</f>
        <v>0</v>
      </c>
      <c r="Y86" s="30">
        <f t="shared" si="14"/>
        <v>0</v>
      </c>
      <c r="Z86" s="30">
        <f>SUM(Z87)</f>
        <v>717036</v>
      </c>
      <c r="AA86" s="30">
        <f>SUM(AA87)</f>
        <v>717036</v>
      </c>
      <c r="AB86" s="30">
        <f t="shared" si="15"/>
        <v>0</v>
      </c>
    </row>
    <row r="87" spans="1:187" s="11" customFormat="1">
      <c r="A87" s="29" t="s">
        <v>22</v>
      </c>
      <c r="B87" s="30">
        <f t="shared" si="16"/>
        <v>4176031</v>
      </c>
      <c r="C87" s="30">
        <f t="shared" si="16"/>
        <v>4176031</v>
      </c>
      <c r="D87" s="30">
        <f t="shared" si="16"/>
        <v>0</v>
      </c>
      <c r="E87" s="30">
        <f>SUM(E88:E89)</f>
        <v>2042316</v>
      </c>
      <c r="F87" s="30">
        <f>SUM(F88:F89)</f>
        <v>2042316</v>
      </c>
      <c r="G87" s="30">
        <f t="shared" si="17"/>
        <v>0</v>
      </c>
      <c r="H87" s="30">
        <f>SUM(H88:H89)</f>
        <v>0</v>
      </c>
      <c r="I87" s="30">
        <f>SUM(I88:I89)</f>
        <v>0</v>
      </c>
      <c r="J87" s="30">
        <f t="shared" si="9"/>
        <v>0</v>
      </c>
      <c r="K87" s="30">
        <f>SUM(K88:K89)</f>
        <v>0</v>
      </c>
      <c r="L87" s="30">
        <f>SUM(L88:L89)</f>
        <v>0</v>
      </c>
      <c r="M87" s="30">
        <f t="shared" si="10"/>
        <v>0</v>
      </c>
      <c r="N87" s="30">
        <f>SUM(N88:N89)</f>
        <v>1416679</v>
      </c>
      <c r="O87" s="30">
        <f>SUM(O88:O89)</f>
        <v>1416679</v>
      </c>
      <c r="P87" s="30">
        <f t="shared" si="11"/>
        <v>0</v>
      </c>
      <c r="Q87" s="30">
        <f>SUM(Q88:Q89)</f>
        <v>0</v>
      </c>
      <c r="R87" s="30">
        <f>SUM(R88:R89)</f>
        <v>0</v>
      </c>
      <c r="S87" s="30">
        <f t="shared" si="12"/>
        <v>0</v>
      </c>
      <c r="T87" s="30">
        <f>SUM(T88:T89)</f>
        <v>0</v>
      </c>
      <c r="U87" s="30">
        <f>SUM(U88:U89)</f>
        <v>0</v>
      </c>
      <c r="V87" s="30">
        <f t="shared" si="13"/>
        <v>0</v>
      </c>
      <c r="W87" s="30">
        <f>SUM(W88:W89)</f>
        <v>0</v>
      </c>
      <c r="X87" s="30">
        <f>SUM(X88:X89)</f>
        <v>0</v>
      </c>
      <c r="Y87" s="30">
        <f t="shared" si="14"/>
        <v>0</v>
      </c>
      <c r="Z87" s="30">
        <f>SUM(Z88:Z89)</f>
        <v>717036</v>
      </c>
      <c r="AA87" s="30">
        <f>SUM(AA88:AA89)</f>
        <v>717036</v>
      </c>
      <c r="AB87" s="30">
        <f t="shared" si="15"/>
        <v>0</v>
      </c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  <c r="BA87" s="28"/>
      <c r="BB87" s="28"/>
      <c r="BC87" s="28"/>
      <c r="BD87" s="28"/>
      <c r="BE87" s="28"/>
      <c r="BF87" s="28"/>
      <c r="BG87" s="28"/>
      <c r="BH87" s="28"/>
      <c r="BI87" s="28"/>
      <c r="BJ87" s="28"/>
      <c r="BK87" s="28"/>
      <c r="BL87" s="28"/>
      <c r="BM87" s="28"/>
      <c r="BN87" s="28"/>
      <c r="BO87" s="28"/>
      <c r="BP87" s="28"/>
      <c r="BQ87" s="28"/>
      <c r="BR87" s="28"/>
      <c r="BS87" s="28"/>
      <c r="BT87" s="28"/>
      <c r="BU87" s="28"/>
      <c r="BV87" s="28"/>
      <c r="BW87" s="28"/>
      <c r="BX87" s="28"/>
      <c r="BY87" s="28"/>
      <c r="BZ87" s="28"/>
      <c r="CA87" s="28"/>
      <c r="CB87" s="28"/>
      <c r="CC87" s="28"/>
      <c r="CD87" s="28"/>
      <c r="CE87" s="28"/>
      <c r="CF87" s="28"/>
      <c r="CG87" s="28"/>
      <c r="CH87" s="28"/>
      <c r="CI87" s="28"/>
      <c r="CJ87" s="28"/>
      <c r="CK87" s="28"/>
      <c r="CL87" s="28"/>
      <c r="CM87" s="28"/>
      <c r="CN87" s="28"/>
      <c r="CO87" s="28"/>
      <c r="CP87" s="28"/>
      <c r="CQ87" s="28"/>
      <c r="CR87" s="28"/>
      <c r="CS87" s="28"/>
      <c r="CT87" s="28"/>
      <c r="CU87" s="28"/>
      <c r="CV87" s="28"/>
      <c r="CW87" s="28"/>
      <c r="CX87" s="28"/>
      <c r="CY87" s="28"/>
      <c r="CZ87" s="28"/>
      <c r="DA87" s="28"/>
      <c r="DB87" s="28"/>
      <c r="DC87" s="28"/>
      <c r="DD87" s="28"/>
      <c r="DE87" s="28"/>
      <c r="DF87" s="28"/>
      <c r="DG87" s="28"/>
      <c r="DH87" s="28"/>
      <c r="DI87" s="28"/>
      <c r="DJ87" s="28"/>
      <c r="DK87" s="28"/>
      <c r="DL87" s="28"/>
      <c r="DM87" s="28"/>
      <c r="DN87" s="28"/>
      <c r="DO87" s="28"/>
      <c r="DP87" s="28"/>
      <c r="DQ87" s="28"/>
      <c r="DR87" s="28"/>
      <c r="DS87" s="28"/>
      <c r="DT87" s="28"/>
      <c r="DU87" s="28"/>
      <c r="DV87" s="28"/>
      <c r="DW87" s="28"/>
      <c r="DX87" s="28"/>
      <c r="DY87" s="28"/>
      <c r="DZ87" s="28"/>
      <c r="EA87" s="28"/>
      <c r="EB87" s="28"/>
      <c r="EC87" s="28"/>
      <c r="ED87" s="28"/>
      <c r="EE87" s="28"/>
      <c r="EF87" s="28"/>
      <c r="EG87" s="28"/>
      <c r="EH87" s="28"/>
      <c r="EI87" s="28"/>
      <c r="EJ87" s="28"/>
      <c r="EK87" s="28"/>
      <c r="EL87" s="28"/>
      <c r="EM87" s="28"/>
      <c r="EN87" s="28"/>
      <c r="EO87" s="28"/>
      <c r="EP87" s="28"/>
      <c r="EQ87" s="28"/>
      <c r="ER87" s="28"/>
      <c r="ES87" s="28"/>
      <c r="ET87" s="28"/>
      <c r="EU87" s="28"/>
      <c r="EV87" s="28"/>
      <c r="EW87" s="28"/>
      <c r="EX87" s="28"/>
      <c r="EY87" s="28"/>
      <c r="EZ87" s="28"/>
      <c r="FA87" s="28"/>
      <c r="FB87" s="28"/>
      <c r="FC87" s="28"/>
      <c r="FD87" s="28"/>
      <c r="FE87" s="28"/>
      <c r="FF87" s="28"/>
      <c r="FG87" s="28"/>
      <c r="FH87" s="28"/>
      <c r="FI87" s="28"/>
      <c r="FJ87" s="28"/>
      <c r="FK87" s="28"/>
      <c r="FL87" s="28"/>
      <c r="FM87" s="28"/>
      <c r="FN87" s="28"/>
      <c r="FO87" s="28"/>
      <c r="FP87" s="28"/>
      <c r="FQ87" s="28"/>
      <c r="FR87" s="28"/>
      <c r="FS87" s="28"/>
      <c r="FT87" s="28"/>
      <c r="FU87" s="28"/>
      <c r="FV87" s="28"/>
      <c r="FW87" s="28"/>
      <c r="FX87" s="28"/>
      <c r="FY87" s="28"/>
      <c r="FZ87" s="28"/>
      <c r="GA87" s="28"/>
      <c r="GB87" s="28"/>
      <c r="GC87" s="28"/>
      <c r="GD87" s="28"/>
      <c r="GE87" s="28"/>
    </row>
    <row r="88" spans="1:187" s="11" customFormat="1" ht="47.25">
      <c r="A88" s="35" t="s">
        <v>93</v>
      </c>
      <c r="B88" s="36">
        <f t="shared" si="16"/>
        <v>1908860</v>
      </c>
      <c r="C88" s="36">
        <f t="shared" si="16"/>
        <v>1908860</v>
      </c>
      <c r="D88" s="36">
        <f t="shared" si="16"/>
        <v>0</v>
      </c>
      <c r="E88" s="36">
        <f>1032700+876160</f>
        <v>1908860</v>
      </c>
      <c r="F88" s="36">
        <f>1032700+876160</f>
        <v>1908860</v>
      </c>
      <c r="G88" s="36">
        <f t="shared" si="17"/>
        <v>0</v>
      </c>
      <c r="H88" s="36"/>
      <c r="I88" s="36"/>
      <c r="J88" s="36">
        <f t="shared" si="9"/>
        <v>0</v>
      </c>
      <c r="K88" s="36"/>
      <c r="L88" s="36"/>
      <c r="M88" s="36">
        <f t="shared" si="10"/>
        <v>0</v>
      </c>
      <c r="N88" s="36"/>
      <c r="O88" s="36"/>
      <c r="P88" s="36">
        <f t="shared" si="11"/>
        <v>0</v>
      </c>
      <c r="Q88" s="36"/>
      <c r="R88" s="36"/>
      <c r="S88" s="36">
        <f t="shared" si="12"/>
        <v>0</v>
      </c>
      <c r="T88" s="36"/>
      <c r="U88" s="36"/>
      <c r="V88" s="36">
        <f t="shared" si="13"/>
        <v>0</v>
      </c>
      <c r="W88" s="36"/>
      <c r="X88" s="36"/>
      <c r="Y88" s="36">
        <f t="shared" si="14"/>
        <v>0</v>
      </c>
      <c r="Z88" s="36">
        <v>0</v>
      </c>
      <c r="AA88" s="36">
        <v>0</v>
      </c>
      <c r="AB88" s="36">
        <f t="shared" si="15"/>
        <v>0</v>
      </c>
    </row>
    <row r="89" spans="1:187" s="11" customFormat="1" ht="94.5">
      <c r="A89" s="35" t="s">
        <v>94</v>
      </c>
      <c r="B89" s="36">
        <f t="shared" si="16"/>
        <v>2267171</v>
      </c>
      <c r="C89" s="36">
        <f t="shared" si="16"/>
        <v>2267171</v>
      </c>
      <c r="D89" s="36">
        <f t="shared" si="16"/>
        <v>0</v>
      </c>
      <c r="E89" s="36">
        <f>165487-32031</f>
        <v>133456</v>
      </c>
      <c r="F89" s="36">
        <f>165487-32031</f>
        <v>133456</v>
      </c>
      <c r="G89" s="36">
        <f t="shared" si="17"/>
        <v>0</v>
      </c>
      <c r="H89" s="36">
        <v>0</v>
      </c>
      <c r="I89" s="36">
        <v>0</v>
      </c>
      <c r="J89" s="36">
        <f t="shared" si="9"/>
        <v>0</v>
      </c>
      <c r="K89" s="36">
        <v>0</v>
      </c>
      <c r="L89" s="36">
        <v>0</v>
      </c>
      <c r="M89" s="36">
        <f t="shared" si="10"/>
        <v>0</v>
      </c>
      <c r="N89" s="36">
        <f>2398071-105080-876160-33440-130900+194513-62356+32031</f>
        <v>1416679</v>
      </c>
      <c r="O89" s="36">
        <f>2398071-105080-876160-33440-130900+194513-62356+32031</f>
        <v>1416679</v>
      </c>
      <c r="P89" s="36">
        <f t="shared" si="11"/>
        <v>0</v>
      </c>
      <c r="Q89" s="36"/>
      <c r="R89" s="36"/>
      <c r="S89" s="36">
        <f t="shared" si="12"/>
        <v>0</v>
      </c>
      <c r="T89" s="36"/>
      <c r="U89" s="36"/>
      <c r="V89" s="36">
        <f t="shared" si="13"/>
        <v>0</v>
      </c>
      <c r="W89" s="36"/>
      <c r="X89" s="36"/>
      <c r="Y89" s="36">
        <f t="shared" si="14"/>
        <v>0</v>
      </c>
      <c r="Z89" s="36">
        <f>105080+876160+33440-360000+62356</f>
        <v>717036</v>
      </c>
      <c r="AA89" s="36">
        <f>105080+876160+33440-360000+62356</f>
        <v>717036</v>
      </c>
      <c r="AB89" s="36">
        <f t="shared" si="15"/>
        <v>0</v>
      </c>
      <c r="FL89" s="28"/>
      <c r="FM89" s="28"/>
      <c r="FN89" s="28"/>
      <c r="FO89" s="28"/>
      <c r="FP89" s="28"/>
      <c r="FQ89" s="28"/>
      <c r="FR89" s="28"/>
      <c r="FS89" s="28"/>
      <c r="FT89" s="28"/>
      <c r="FU89" s="28"/>
      <c r="FV89" s="28"/>
      <c r="FW89" s="28"/>
      <c r="FX89" s="28"/>
      <c r="FY89" s="28"/>
      <c r="FZ89" s="28"/>
      <c r="GA89" s="28"/>
      <c r="GB89" s="28"/>
      <c r="GC89" s="28"/>
      <c r="GD89" s="28"/>
      <c r="GE89" s="28"/>
    </row>
    <row r="90" spans="1:187" s="11" customFormat="1">
      <c r="A90" s="29" t="s">
        <v>95</v>
      </c>
      <c r="B90" s="30">
        <f t="shared" si="16"/>
        <v>25259316</v>
      </c>
      <c r="C90" s="30">
        <f t="shared" si="16"/>
        <v>25777794</v>
      </c>
      <c r="D90" s="30">
        <f t="shared" si="16"/>
        <v>518478</v>
      </c>
      <c r="E90" s="30">
        <f>SUM(E91,E107,E120,E204,E254,E301,E330,E185)</f>
        <v>622383</v>
      </c>
      <c r="F90" s="30">
        <f>SUM(F91,F107,F120,F204,F254,F301,F330,F185)</f>
        <v>622383</v>
      </c>
      <c r="G90" s="30">
        <f t="shared" si="17"/>
        <v>0</v>
      </c>
      <c r="H90" s="30">
        <f>SUM(H91,H107,H120,H204,H254,H301,H330,H185)</f>
        <v>31336</v>
      </c>
      <c r="I90" s="30">
        <f>SUM(I91,I107,I120,I204,I254,I301,I330,I185)</f>
        <v>30274</v>
      </c>
      <c r="J90" s="30">
        <f t="shared" si="9"/>
        <v>-1062</v>
      </c>
      <c r="K90" s="30">
        <f>SUM(K91,K107,K120,K204,K254,K301,K330,K185)</f>
        <v>1757672</v>
      </c>
      <c r="L90" s="30">
        <f>SUM(L91,L107,L120,L204,L254,L301,L330,L185)</f>
        <v>1992824</v>
      </c>
      <c r="M90" s="30">
        <f t="shared" si="10"/>
        <v>235152</v>
      </c>
      <c r="N90" s="30">
        <f>SUM(N91,N107,N120,N204,N254,N301,N330,N185)</f>
        <v>11149661</v>
      </c>
      <c r="O90" s="30">
        <f>SUM(O91,O107,O120,O204,O254,O301,O330,O185)</f>
        <v>11150497</v>
      </c>
      <c r="P90" s="30">
        <f t="shared" si="11"/>
        <v>836</v>
      </c>
      <c r="Q90" s="30">
        <f>SUM(Q91,Q107,Q120,Q204,Q254,Q301,Q330,Q185)</f>
        <v>457671</v>
      </c>
      <c r="R90" s="30">
        <f>SUM(R91,R107,R120,R204,R254,R301,R330,R185)</f>
        <v>447894</v>
      </c>
      <c r="S90" s="30">
        <f t="shared" si="12"/>
        <v>-9777</v>
      </c>
      <c r="T90" s="30">
        <f>SUM(T91,T107,T120,T204,T254,T301,T330,T185)</f>
        <v>5071568</v>
      </c>
      <c r="U90" s="30">
        <f>SUM(U91,U107,U120,U204,U254,U301,U330,U185)</f>
        <v>5071568</v>
      </c>
      <c r="V90" s="30">
        <f t="shared" si="13"/>
        <v>0</v>
      </c>
      <c r="W90" s="30">
        <f>SUM(W91,W107,W120,W204,W254,W301,W330,W185)</f>
        <v>565531</v>
      </c>
      <c r="X90" s="30">
        <f>SUM(X91,X107,X120,X204,X254,X301,X330,X185)</f>
        <v>1298742</v>
      </c>
      <c r="Y90" s="30">
        <f t="shared" si="14"/>
        <v>733211</v>
      </c>
      <c r="Z90" s="30">
        <f>SUM(Z91,Z107,Z120,Z204,Z254,Z301,Z330,Z185)</f>
        <v>5603494</v>
      </c>
      <c r="AA90" s="30">
        <f>SUM(AA91,AA107,AA120,AA204,AA254,AA301,AA330,AA185)</f>
        <v>5163612</v>
      </c>
      <c r="AB90" s="30">
        <f t="shared" si="15"/>
        <v>-439882</v>
      </c>
    </row>
    <row r="91" spans="1:187" s="11" customFormat="1">
      <c r="A91" s="29" t="s">
        <v>21</v>
      </c>
      <c r="B91" s="30">
        <f t="shared" si="16"/>
        <v>412127</v>
      </c>
      <c r="C91" s="30">
        <f t="shared" si="16"/>
        <v>462592</v>
      </c>
      <c r="D91" s="30">
        <f t="shared" si="16"/>
        <v>50465</v>
      </c>
      <c r="E91" s="30">
        <f>SUM(E92,E97,E99,E105)</f>
        <v>265449</v>
      </c>
      <c r="F91" s="30">
        <f>SUM(F92,F97,F99,F105)</f>
        <v>265449</v>
      </c>
      <c r="G91" s="30">
        <f t="shared" si="17"/>
        <v>0</v>
      </c>
      <c r="H91" s="30">
        <f>SUM(H92,H97,H99,H105)</f>
        <v>0</v>
      </c>
      <c r="I91" s="30">
        <f>SUM(I92,I97,I99,I105)</f>
        <v>0</v>
      </c>
      <c r="J91" s="30">
        <f t="shared" si="9"/>
        <v>0</v>
      </c>
      <c r="K91" s="30">
        <f>SUM(K92,K97,K99,K105)</f>
        <v>102534</v>
      </c>
      <c r="L91" s="30">
        <f>SUM(L92,L97,L99,L105)</f>
        <v>152999</v>
      </c>
      <c r="M91" s="30">
        <f t="shared" si="10"/>
        <v>50465</v>
      </c>
      <c r="N91" s="30">
        <f>SUM(N92,N97,N99,N105)</f>
        <v>0</v>
      </c>
      <c r="O91" s="30">
        <f>SUM(O92,O97,O99,O105)</f>
        <v>0</v>
      </c>
      <c r="P91" s="30">
        <f t="shared" si="11"/>
        <v>0</v>
      </c>
      <c r="Q91" s="30">
        <f>SUM(Q92,Q97,Q99,Q105)</f>
        <v>0</v>
      </c>
      <c r="R91" s="30">
        <f>SUM(R92,R97,R99,R105)</f>
        <v>0</v>
      </c>
      <c r="S91" s="30">
        <f t="shared" si="12"/>
        <v>0</v>
      </c>
      <c r="T91" s="30">
        <f>SUM(T92,T97,T99,T105)</f>
        <v>0</v>
      </c>
      <c r="U91" s="30">
        <f>SUM(U92,U97,U99,U105)</f>
        <v>0</v>
      </c>
      <c r="V91" s="30">
        <f t="shared" si="13"/>
        <v>0</v>
      </c>
      <c r="W91" s="30">
        <f>SUM(W92,W97,W99,W105)</f>
        <v>0</v>
      </c>
      <c r="X91" s="30">
        <f>SUM(X92,X97,X99,X105)</f>
        <v>0</v>
      </c>
      <c r="Y91" s="30">
        <f t="shared" si="14"/>
        <v>0</v>
      </c>
      <c r="Z91" s="30">
        <f>SUM(Z92,Z97,Z99,Z105)</f>
        <v>44144</v>
      </c>
      <c r="AA91" s="30">
        <f>SUM(AA92,AA97,AA99,AA105)</f>
        <v>44144</v>
      </c>
      <c r="AB91" s="30">
        <f t="shared" si="15"/>
        <v>0</v>
      </c>
    </row>
    <row r="92" spans="1:187" s="11" customFormat="1">
      <c r="A92" s="29" t="s">
        <v>96</v>
      </c>
      <c r="B92" s="30">
        <f t="shared" si="16"/>
        <v>24535</v>
      </c>
      <c r="C92" s="30">
        <f t="shared" si="16"/>
        <v>73380</v>
      </c>
      <c r="D92" s="30">
        <f t="shared" si="16"/>
        <v>48845</v>
      </c>
      <c r="E92" s="30">
        <f>SUM(E93:E96)</f>
        <v>0</v>
      </c>
      <c r="F92" s="30">
        <f>SUM(F93:F96)</f>
        <v>0</v>
      </c>
      <c r="G92" s="30">
        <f t="shared" si="17"/>
        <v>0</v>
      </c>
      <c r="H92" s="30">
        <f>SUM(H93:H96)</f>
        <v>0</v>
      </c>
      <c r="I92" s="30">
        <f>SUM(I93:I96)</f>
        <v>0</v>
      </c>
      <c r="J92" s="30">
        <f t="shared" si="9"/>
        <v>0</v>
      </c>
      <c r="K92" s="30">
        <f>SUM(K93:K96)</f>
        <v>24535</v>
      </c>
      <c r="L92" s="30">
        <f>SUM(L93:L96)</f>
        <v>73380</v>
      </c>
      <c r="M92" s="30">
        <f t="shared" si="10"/>
        <v>48845</v>
      </c>
      <c r="N92" s="30">
        <f>SUM(N93:N96)</f>
        <v>0</v>
      </c>
      <c r="O92" s="30">
        <f>SUM(O93:O96)</f>
        <v>0</v>
      </c>
      <c r="P92" s="30">
        <f t="shared" si="11"/>
        <v>0</v>
      </c>
      <c r="Q92" s="30">
        <f>SUM(Q93:Q96)</f>
        <v>0</v>
      </c>
      <c r="R92" s="30">
        <f>SUM(R93:R96)</f>
        <v>0</v>
      </c>
      <c r="S92" s="30">
        <f t="shared" si="12"/>
        <v>0</v>
      </c>
      <c r="T92" s="30">
        <f>SUM(T93:T96)</f>
        <v>0</v>
      </c>
      <c r="U92" s="30">
        <f>SUM(U93:U96)</f>
        <v>0</v>
      </c>
      <c r="V92" s="30">
        <f t="shared" si="13"/>
        <v>0</v>
      </c>
      <c r="W92" s="30">
        <f>SUM(W93:W96)</f>
        <v>0</v>
      </c>
      <c r="X92" s="30">
        <f>SUM(X93:X96)</f>
        <v>0</v>
      </c>
      <c r="Y92" s="30">
        <f t="shared" si="14"/>
        <v>0</v>
      </c>
      <c r="Z92" s="30">
        <f>SUM(Z93:Z96)</f>
        <v>0</v>
      </c>
      <c r="AA92" s="30">
        <f>SUM(AA93:AA96)</f>
        <v>0</v>
      </c>
      <c r="AB92" s="30">
        <f t="shared" si="15"/>
        <v>0</v>
      </c>
    </row>
    <row r="93" spans="1:187" s="11" customFormat="1">
      <c r="A93" s="35" t="s">
        <v>97</v>
      </c>
      <c r="B93" s="36">
        <f t="shared" si="16"/>
        <v>20000</v>
      </c>
      <c r="C93" s="36">
        <f t="shared" si="16"/>
        <v>70000</v>
      </c>
      <c r="D93" s="36">
        <f t="shared" si="16"/>
        <v>50000</v>
      </c>
      <c r="E93" s="36">
        <v>0</v>
      </c>
      <c r="F93" s="36">
        <v>0</v>
      </c>
      <c r="G93" s="36">
        <f t="shared" si="17"/>
        <v>0</v>
      </c>
      <c r="H93" s="36"/>
      <c r="I93" s="36"/>
      <c r="J93" s="36">
        <f t="shared" si="9"/>
        <v>0</v>
      </c>
      <c r="K93" s="36">
        <v>20000</v>
      </c>
      <c r="L93" s="36">
        <f>20000+50000</f>
        <v>70000</v>
      </c>
      <c r="M93" s="36">
        <f t="shared" si="10"/>
        <v>50000</v>
      </c>
      <c r="N93" s="36"/>
      <c r="O93" s="36"/>
      <c r="P93" s="36">
        <f t="shared" si="11"/>
        <v>0</v>
      </c>
      <c r="Q93" s="36"/>
      <c r="R93" s="36"/>
      <c r="S93" s="36">
        <f t="shared" si="12"/>
        <v>0</v>
      </c>
      <c r="T93" s="36"/>
      <c r="U93" s="36"/>
      <c r="V93" s="36">
        <f t="shared" si="13"/>
        <v>0</v>
      </c>
      <c r="W93" s="36"/>
      <c r="X93" s="36"/>
      <c r="Y93" s="36">
        <f t="shared" si="14"/>
        <v>0</v>
      </c>
      <c r="Z93" s="36"/>
      <c r="AA93" s="36"/>
      <c r="AB93" s="36">
        <f t="shared" si="15"/>
        <v>0</v>
      </c>
    </row>
    <row r="94" spans="1:187" s="11" customFormat="1">
      <c r="A94" s="41" t="s">
        <v>98</v>
      </c>
      <c r="B94" s="36">
        <f t="shared" si="16"/>
        <v>940</v>
      </c>
      <c r="C94" s="36">
        <f t="shared" si="16"/>
        <v>940</v>
      </c>
      <c r="D94" s="36">
        <f t="shared" si="16"/>
        <v>0</v>
      </c>
      <c r="E94" s="36">
        <v>0</v>
      </c>
      <c r="F94" s="36">
        <v>0</v>
      </c>
      <c r="G94" s="36">
        <f t="shared" si="17"/>
        <v>0</v>
      </c>
      <c r="H94" s="36">
        <v>0</v>
      </c>
      <c r="I94" s="36">
        <v>0</v>
      </c>
      <c r="J94" s="36">
        <f t="shared" si="9"/>
        <v>0</v>
      </c>
      <c r="K94" s="36">
        <f>1680-740</f>
        <v>940</v>
      </c>
      <c r="L94" s="36">
        <f>1680-740</f>
        <v>940</v>
      </c>
      <c r="M94" s="36">
        <f t="shared" si="10"/>
        <v>0</v>
      </c>
      <c r="N94" s="36"/>
      <c r="O94" s="36"/>
      <c r="P94" s="36">
        <f t="shared" si="11"/>
        <v>0</v>
      </c>
      <c r="Q94" s="36"/>
      <c r="R94" s="36"/>
      <c r="S94" s="36">
        <f t="shared" si="12"/>
        <v>0</v>
      </c>
      <c r="T94" s="36"/>
      <c r="U94" s="36"/>
      <c r="V94" s="36">
        <f t="shared" si="13"/>
        <v>0</v>
      </c>
      <c r="W94" s="36"/>
      <c r="X94" s="36"/>
      <c r="Y94" s="36">
        <f t="shared" si="14"/>
        <v>0</v>
      </c>
      <c r="Z94" s="36"/>
      <c r="AA94" s="36"/>
      <c r="AB94" s="36">
        <f t="shared" si="15"/>
        <v>0</v>
      </c>
    </row>
    <row r="95" spans="1:187" s="11" customFormat="1">
      <c r="A95" s="41" t="s">
        <v>99</v>
      </c>
      <c r="B95" s="36">
        <f t="shared" si="16"/>
        <v>2716</v>
      </c>
      <c r="C95" s="36">
        <f t="shared" si="16"/>
        <v>1829</v>
      </c>
      <c r="D95" s="36">
        <f t="shared" si="16"/>
        <v>-887</v>
      </c>
      <c r="E95" s="36">
        <v>0</v>
      </c>
      <c r="F95" s="36">
        <v>0</v>
      </c>
      <c r="G95" s="36">
        <f t="shared" si="17"/>
        <v>0</v>
      </c>
      <c r="H95" s="36">
        <v>0</v>
      </c>
      <c r="I95" s="36">
        <v>0</v>
      </c>
      <c r="J95" s="36">
        <f t="shared" si="9"/>
        <v>0</v>
      </c>
      <c r="K95" s="36">
        <v>2716</v>
      </c>
      <c r="L95" s="36">
        <f>2716-887</f>
        <v>1829</v>
      </c>
      <c r="M95" s="36">
        <f t="shared" si="10"/>
        <v>-887</v>
      </c>
      <c r="N95" s="36"/>
      <c r="O95" s="36"/>
      <c r="P95" s="36">
        <f t="shared" si="11"/>
        <v>0</v>
      </c>
      <c r="Q95" s="36"/>
      <c r="R95" s="36"/>
      <c r="S95" s="36">
        <f t="shared" si="12"/>
        <v>0</v>
      </c>
      <c r="T95" s="36"/>
      <c r="U95" s="36"/>
      <c r="V95" s="36">
        <f t="shared" si="13"/>
        <v>0</v>
      </c>
      <c r="W95" s="36"/>
      <c r="X95" s="36"/>
      <c r="Y95" s="36">
        <f t="shared" si="14"/>
        <v>0</v>
      </c>
      <c r="Z95" s="36"/>
      <c r="AA95" s="36"/>
      <c r="AB95" s="36">
        <f t="shared" si="15"/>
        <v>0</v>
      </c>
    </row>
    <row r="96" spans="1:187" s="11" customFormat="1" ht="31.5">
      <c r="A96" s="41" t="s">
        <v>100</v>
      </c>
      <c r="B96" s="36">
        <f t="shared" si="16"/>
        <v>879</v>
      </c>
      <c r="C96" s="36">
        <f t="shared" si="16"/>
        <v>611</v>
      </c>
      <c r="D96" s="36">
        <f t="shared" si="16"/>
        <v>-268</v>
      </c>
      <c r="E96" s="36">
        <v>0</v>
      </c>
      <c r="F96" s="36">
        <v>0</v>
      </c>
      <c r="G96" s="36">
        <f t="shared" si="17"/>
        <v>0</v>
      </c>
      <c r="H96" s="36">
        <v>0</v>
      </c>
      <c r="I96" s="36">
        <v>0</v>
      </c>
      <c r="J96" s="36">
        <f t="shared" si="9"/>
        <v>0</v>
      </c>
      <c r="K96" s="36">
        <v>879</v>
      </c>
      <c r="L96" s="36">
        <f>879-268</f>
        <v>611</v>
      </c>
      <c r="M96" s="36">
        <f t="shared" si="10"/>
        <v>-268</v>
      </c>
      <c r="N96" s="36"/>
      <c r="O96" s="36"/>
      <c r="P96" s="36">
        <f t="shared" si="11"/>
        <v>0</v>
      </c>
      <c r="Q96" s="36"/>
      <c r="R96" s="36"/>
      <c r="S96" s="36">
        <f t="shared" si="12"/>
        <v>0</v>
      </c>
      <c r="T96" s="36"/>
      <c r="U96" s="36"/>
      <c r="V96" s="36">
        <f t="shared" si="13"/>
        <v>0</v>
      </c>
      <c r="W96" s="36"/>
      <c r="X96" s="36"/>
      <c r="Y96" s="36">
        <f t="shared" si="14"/>
        <v>0</v>
      </c>
      <c r="Z96" s="36"/>
      <c r="AA96" s="36"/>
      <c r="AB96" s="36">
        <f t="shared" si="15"/>
        <v>0</v>
      </c>
    </row>
    <row r="97" spans="1:187" s="28" customFormat="1">
      <c r="A97" s="29" t="s">
        <v>101</v>
      </c>
      <c r="B97" s="30">
        <f t="shared" si="16"/>
        <v>44144</v>
      </c>
      <c r="C97" s="30">
        <f t="shared" si="16"/>
        <v>44144</v>
      </c>
      <c r="D97" s="30">
        <f t="shared" si="16"/>
        <v>0</v>
      </c>
      <c r="E97" s="30">
        <f>SUM(E98:E98)</f>
        <v>0</v>
      </c>
      <c r="F97" s="30">
        <f>SUM(F98:F98)</f>
        <v>0</v>
      </c>
      <c r="G97" s="30">
        <f t="shared" si="17"/>
        <v>0</v>
      </c>
      <c r="H97" s="30">
        <f>SUM(H98:H98)</f>
        <v>0</v>
      </c>
      <c r="I97" s="30">
        <f>SUM(I98:I98)</f>
        <v>0</v>
      </c>
      <c r="J97" s="30">
        <f t="shared" si="9"/>
        <v>0</v>
      </c>
      <c r="K97" s="30">
        <f>SUM(K98:K98)</f>
        <v>0</v>
      </c>
      <c r="L97" s="30">
        <f>SUM(L98:L98)</f>
        <v>0</v>
      </c>
      <c r="M97" s="30">
        <f t="shared" si="10"/>
        <v>0</v>
      </c>
      <c r="N97" s="30">
        <f>SUM(N98:N98)</f>
        <v>0</v>
      </c>
      <c r="O97" s="30">
        <f>SUM(O98:O98)</f>
        <v>0</v>
      </c>
      <c r="P97" s="30">
        <f t="shared" si="11"/>
        <v>0</v>
      </c>
      <c r="Q97" s="30">
        <f>SUM(Q98:Q98)</f>
        <v>0</v>
      </c>
      <c r="R97" s="30">
        <f>SUM(R98:R98)</f>
        <v>0</v>
      </c>
      <c r="S97" s="30">
        <f t="shared" si="12"/>
        <v>0</v>
      </c>
      <c r="T97" s="30">
        <f>SUM(T98:T98)</f>
        <v>0</v>
      </c>
      <c r="U97" s="30">
        <f>SUM(U98:U98)</f>
        <v>0</v>
      </c>
      <c r="V97" s="30">
        <f t="shared" si="13"/>
        <v>0</v>
      </c>
      <c r="W97" s="30">
        <f>SUM(W98:W98)</f>
        <v>0</v>
      </c>
      <c r="X97" s="30">
        <f>SUM(X98:X98)</f>
        <v>0</v>
      </c>
      <c r="Y97" s="30">
        <f t="shared" si="14"/>
        <v>0</v>
      </c>
      <c r="Z97" s="30">
        <f>SUM(Z98:Z98)</f>
        <v>44144</v>
      </c>
      <c r="AA97" s="30">
        <f>SUM(AA98:AA98)</f>
        <v>44144</v>
      </c>
      <c r="AB97" s="30">
        <f t="shared" si="15"/>
        <v>0</v>
      </c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  <c r="BR97" s="11"/>
      <c r="BS97" s="11"/>
      <c r="BT97" s="11"/>
      <c r="BU97" s="11"/>
      <c r="BV97" s="11"/>
      <c r="BW97" s="11"/>
      <c r="BX97" s="11"/>
      <c r="BY97" s="11"/>
      <c r="BZ97" s="11"/>
      <c r="CA97" s="11"/>
      <c r="CB97" s="11"/>
      <c r="CC97" s="11"/>
      <c r="CD97" s="11"/>
      <c r="CE97" s="11"/>
      <c r="CF97" s="11"/>
      <c r="CG97" s="11"/>
      <c r="CH97" s="11"/>
      <c r="CI97" s="11"/>
      <c r="CJ97" s="11"/>
      <c r="CK97" s="11"/>
      <c r="CL97" s="11"/>
      <c r="CM97" s="11"/>
      <c r="CN97" s="11"/>
      <c r="CO97" s="11"/>
      <c r="CP97" s="11"/>
      <c r="CQ97" s="11"/>
      <c r="CR97" s="11"/>
      <c r="CS97" s="11"/>
      <c r="CT97" s="11"/>
      <c r="CU97" s="11"/>
      <c r="CV97" s="11"/>
      <c r="CW97" s="11"/>
      <c r="CX97" s="11"/>
      <c r="CY97" s="11"/>
      <c r="CZ97" s="11"/>
      <c r="DA97" s="11"/>
      <c r="DB97" s="11"/>
      <c r="DC97" s="11"/>
      <c r="DD97" s="11"/>
      <c r="DE97" s="11"/>
      <c r="DF97" s="11"/>
      <c r="DG97" s="11"/>
      <c r="DH97" s="11"/>
      <c r="DI97" s="11"/>
      <c r="DJ97" s="11"/>
      <c r="DK97" s="11"/>
      <c r="DL97" s="11"/>
      <c r="DM97" s="11"/>
      <c r="DN97" s="11"/>
      <c r="DO97" s="11"/>
      <c r="DP97" s="11"/>
      <c r="DQ97" s="11"/>
      <c r="DR97" s="11"/>
      <c r="DS97" s="11"/>
      <c r="DT97" s="11"/>
      <c r="DU97" s="11"/>
      <c r="DV97" s="11"/>
      <c r="DW97" s="11"/>
      <c r="DX97" s="11"/>
      <c r="DY97" s="11"/>
      <c r="DZ97" s="11"/>
      <c r="EA97" s="11"/>
      <c r="EB97" s="11"/>
      <c r="EC97" s="11"/>
      <c r="ED97" s="11"/>
      <c r="EE97" s="11"/>
      <c r="EF97" s="11"/>
      <c r="EG97" s="11"/>
      <c r="EH97" s="11"/>
      <c r="EI97" s="11"/>
      <c r="EJ97" s="11"/>
      <c r="EK97" s="11"/>
      <c r="EL97" s="11"/>
      <c r="EM97" s="11"/>
      <c r="EN97" s="11"/>
      <c r="EO97" s="11"/>
      <c r="EP97" s="11"/>
      <c r="EQ97" s="11"/>
      <c r="ER97" s="11"/>
      <c r="ES97" s="11"/>
      <c r="ET97" s="11"/>
      <c r="EU97" s="11"/>
      <c r="EV97" s="11"/>
      <c r="EW97" s="11"/>
      <c r="EX97" s="11"/>
      <c r="EY97" s="11"/>
      <c r="EZ97" s="11"/>
      <c r="FA97" s="11"/>
      <c r="FB97" s="11"/>
      <c r="FC97" s="11"/>
      <c r="FD97" s="11"/>
      <c r="FE97" s="11"/>
      <c r="FF97" s="11"/>
      <c r="FG97" s="11"/>
      <c r="FH97" s="11"/>
      <c r="FI97" s="11"/>
      <c r="FJ97" s="11"/>
      <c r="FK97" s="11"/>
      <c r="FL97" s="11"/>
      <c r="FM97" s="11"/>
      <c r="FN97" s="11"/>
      <c r="FO97" s="11"/>
      <c r="FP97" s="11"/>
      <c r="FQ97" s="11"/>
      <c r="FR97" s="11"/>
      <c r="FS97" s="11"/>
      <c r="FT97" s="11"/>
      <c r="FU97" s="11"/>
      <c r="FV97" s="11"/>
      <c r="FW97" s="11"/>
      <c r="FX97" s="11"/>
      <c r="FY97" s="11"/>
      <c r="FZ97" s="11"/>
      <c r="GA97" s="11"/>
      <c r="GB97" s="11"/>
      <c r="GC97" s="11"/>
      <c r="GD97" s="11"/>
      <c r="GE97" s="11"/>
    </row>
    <row r="98" spans="1:187" s="11" customFormat="1" ht="47.25">
      <c r="A98" s="37" t="s">
        <v>102</v>
      </c>
      <c r="B98" s="36">
        <f t="shared" si="16"/>
        <v>44144</v>
      </c>
      <c r="C98" s="36">
        <f t="shared" si="16"/>
        <v>44144</v>
      </c>
      <c r="D98" s="36">
        <f t="shared" si="16"/>
        <v>0</v>
      </c>
      <c r="E98" s="36">
        <v>0</v>
      </c>
      <c r="F98" s="36">
        <v>0</v>
      </c>
      <c r="G98" s="36">
        <f t="shared" si="17"/>
        <v>0</v>
      </c>
      <c r="H98" s="36"/>
      <c r="I98" s="36"/>
      <c r="J98" s="36">
        <f t="shared" si="9"/>
        <v>0</v>
      </c>
      <c r="K98" s="36"/>
      <c r="L98" s="36"/>
      <c r="M98" s="36">
        <f t="shared" si="10"/>
        <v>0</v>
      </c>
      <c r="N98" s="36"/>
      <c r="O98" s="36"/>
      <c r="P98" s="36">
        <f t="shared" si="11"/>
        <v>0</v>
      </c>
      <c r="Q98" s="36"/>
      <c r="R98" s="36"/>
      <c r="S98" s="36">
        <f t="shared" si="12"/>
        <v>0</v>
      </c>
      <c r="T98" s="36"/>
      <c r="U98" s="36"/>
      <c r="V98" s="36">
        <f t="shared" si="13"/>
        <v>0</v>
      </c>
      <c r="W98" s="36"/>
      <c r="X98" s="36"/>
      <c r="Y98" s="36">
        <f t="shared" si="14"/>
        <v>0</v>
      </c>
      <c r="Z98" s="36">
        <v>44144</v>
      </c>
      <c r="AA98" s="36">
        <v>44144</v>
      </c>
      <c r="AB98" s="36">
        <f t="shared" si="15"/>
        <v>0</v>
      </c>
      <c r="FL98" s="28"/>
      <c r="FM98" s="28"/>
      <c r="FN98" s="28"/>
      <c r="FO98" s="28"/>
      <c r="FP98" s="28"/>
      <c r="FQ98" s="28"/>
      <c r="FR98" s="28"/>
      <c r="FS98" s="28"/>
      <c r="FT98" s="28"/>
      <c r="FU98" s="28"/>
      <c r="FV98" s="28"/>
      <c r="FW98" s="28"/>
      <c r="FX98" s="28"/>
      <c r="FY98" s="28"/>
      <c r="FZ98" s="28"/>
      <c r="GA98" s="28"/>
      <c r="GB98" s="28"/>
      <c r="GC98" s="28"/>
      <c r="GD98" s="28"/>
      <c r="GE98" s="28"/>
    </row>
    <row r="99" spans="1:187" s="11" customFormat="1" ht="31.5">
      <c r="A99" s="29" t="s">
        <v>103</v>
      </c>
      <c r="B99" s="30">
        <f t="shared" si="16"/>
        <v>307548</v>
      </c>
      <c r="C99" s="30">
        <f t="shared" si="16"/>
        <v>309168</v>
      </c>
      <c r="D99" s="30">
        <f t="shared" si="16"/>
        <v>1620</v>
      </c>
      <c r="E99" s="30">
        <f>SUM(E100:E104)</f>
        <v>265449</v>
      </c>
      <c r="F99" s="30">
        <f>SUM(F100:F104)</f>
        <v>265449</v>
      </c>
      <c r="G99" s="30">
        <f t="shared" si="17"/>
        <v>0</v>
      </c>
      <c r="H99" s="30">
        <f>SUM(H100:H104)</f>
        <v>0</v>
      </c>
      <c r="I99" s="30">
        <f>SUM(I100:I104)</f>
        <v>0</v>
      </c>
      <c r="J99" s="30">
        <f t="shared" si="9"/>
        <v>0</v>
      </c>
      <c r="K99" s="30">
        <f>SUM(K100:K104)</f>
        <v>42099</v>
      </c>
      <c r="L99" s="30">
        <f>SUM(L100:L104)</f>
        <v>43719</v>
      </c>
      <c r="M99" s="30">
        <f t="shared" si="10"/>
        <v>1620</v>
      </c>
      <c r="N99" s="30">
        <f>SUM(N100:N104)</f>
        <v>0</v>
      </c>
      <c r="O99" s="30">
        <f>SUM(O100:O104)</f>
        <v>0</v>
      </c>
      <c r="P99" s="30">
        <f t="shared" si="11"/>
        <v>0</v>
      </c>
      <c r="Q99" s="30">
        <f>SUM(Q100:Q104)</f>
        <v>0</v>
      </c>
      <c r="R99" s="30">
        <f>SUM(R100:R104)</f>
        <v>0</v>
      </c>
      <c r="S99" s="30">
        <f t="shared" si="12"/>
        <v>0</v>
      </c>
      <c r="T99" s="30">
        <f>SUM(T100:T104)</f>
        <v>0</v>
      </c>
      <c r="U99" s="30">
        <f>SUM(U100:U104)</f>
        <v>0</v>
      </c>
      <c r="V99" s="30">
        <f t="shared" si="13"/>
        <v>0</v>
      </c>
      <c r="W99" s="30">
        <f>SUM(W100:W104)</f>
        <v>0</v>
      </c>
      <c r="X99" s="30">
        <f>SUM(X100:X104)</f>
        <v>0</v>
      </c>
      <c r="Y99" s="30">
        <f t="shared" si="14"/>
        <v>0</v>
      </c>
      <c r="Z99" s="30">
        <f>SUM(Z100:Z104)</f>
        <v>0</v>
      </c>
      <c r="AA99" s="30">
        <f>SUM(AA100:AA104)</f>
        <v>0</v>
      </c>
      <c r="AB99" s="30">
        <f t="shared" si="15"/>
        <v>0</v>
      </c>
    </row>
    <row r="100" spans="1:187" s="11" customFormat="1" ht="47.25">
      <c r="A100" s="41" t="s">
        <v>104</v>
      </c>
      <c r="B100" s="36">
        <f t="shared" si="16"/>
        <v>212312</v>
      </c>
      <c r="C100" s="36">
        <f t="shared" si="16"/>
        <v>212312</v>
      </c>
      <c r="D100" s="36">
        <f t="shared" si="16"/>
        <v>0</v>
      </c>
      <c r="E100" s="36">
        <f>239800-27488</f>
        <v>212312</v>
      </c>
      <c r="F100" s="36">
        <f>239800-27488</f>
        <v>212312</v>
      </c>
      <c r="G100" s="36">
        <f t="shared" si="17"/>
        <v>0</v>
      </c>
      <c r="H100" s="36">
        <f>5788-5788</f>
        <v>0</v>
      </c>
      <c r="I100" s="36">
        <f>5788-5788</f>
        <v>0</v>
      </c>
      <c r="J100" s="36">
        <f t="shared" si="9"/>
        <v>0</v>
      </c>
      <c r="K100" s="36">
        <v>0</v>
      </c>
      <c r="L100" s="36">
        <v>0</v>
      </c>
      <c r="M100" s="36">
        <f t="shared" si="10"/>
        <v>0</v>
      </c>
      <c r="N100" s="36"/>
      <c r="O100" s="36"/>
      <c r="P100" s="36">
        <f t="shared" si="11"/>
        <v>0</v>
      </c>
      <c r="Q100" s="36"/>
      <c r="R100" s="36"/>
      <c r="S100" s="36">
        <f t="shared" si="12"/>
        <v>0</v>
      </c>
      <c r="T100" s="36"/>
      <c r="U100" s="36"/>
      <c r="V100" s="36">
        <f t="shared" si="13"/>
        <v>0</v>
      </c>
      <c r="W100" s="36"/>
      <c r="X100" s="36"/>
      <c r="Y100" s="36">
        <f t="shared" si="14"/>
        <v>0</v>
      </c>
      <c r="Z100" s="36"/>
      <c r="AA100" s="36"/>
      <c r="AB100" s="36">
        <f t="shared" si="15"/>
        <v>0</v>
      </c>
    </row>
    <row r="101" spans="1:187" s="11" customFormat="1" ht="31.5">
      <c r="A101" s="41" t="s">
        <v>105</v>
      </c>
      <c r="B101" s="36">
        <f t="shared" si="16"/>
        <v>0</v>
      </c>
      <c r="C101" s="36">
        <f t="shared" si="16"/>
        <v>1620</v>
      </c>
      <c r="D101" s="36">
        <f t="shared" si="16"/>
        <v>1620</v>
      </c>
      <c r="E101" s="36"/>
      <c r="F101" s="36"/>
      <c r="G101" s="36">
        <f t="shared" si="17"/>
        <v>0</v>
      </c>
      <c r="H101" s="36"/>
      <c r="I101" s="36"/>
      <c r="J101" s="36">
        <f t="shared" si="9"/>
        <v>0</v>
      </c>
      <c r="K101" s="36"/>
      <c r="L101" s="36">
        <v>1620</v>
      </c>
      <c r="M101" s="36">
        <f t="shared" si="10"/>
        <v>1620</v>
      </c>
      <c r="N101" s="36"/>
      <c r="O101" s="36"/>
      <c r="P101" s="36">
        <f t="shared" si="11"/>
        <v>0</v>
      </c>
      <c r="Q101" s="36"/>
      <c r="R101" s="36"/>
      <c r="S101" s="36">
        <f t="shared" si="12"/>
        <v>0</v>
      </c>
      <c r="T101" s="36"/>
      <c r="U101" s="36"/>
      <c r="V101" s="36">
        <f t="shared" si="13"/>
        <v>0</v>
      </c>
      <c r="W101" s="36"/>
      <c r="X101" s="36"/>
      <c r="Y101" s="36">
        <f t="shared" si="14"/>
        <v>0</v>
      </c>
      <c r="Z101" s="36"/>
      <c r="AA101" s="36"/>
      <c r="AB101" s="36">
        <f t="shared" si="15"/>
        <v>0</v>
      </c>
    </row>
    <row r="102" spans="1:187" s="11" customFormat="1" ht="31.5">
      <c r="A102" s="32" t="s">
        <v>31</v>
      </c>
      <c r="B102" s="33">
        <f t="shared" si="16"/>
        <v>53137</v>
      </c>
      <c r="C102" s="33">
        <f t="shared" si="16"/>
        <v>53137</v>
      </c>
      <c r="D102" s="33">
        <f t="shared" si="16"/>
        <v>0</v>
      </c>
      <c r="E102" s="33">
        <v>53137</v>
      </c>
      <c r="F102" s="33">
        <v>53137</v>
      </c>
      <c r="G102" s="33">
        <f t="shared" si="17"/>
        <v>0</v>
      </c>
      <c r="H102" s="33"/>
      <c r="I102" s="33"/>
      <c r="J102" s="33">
        <f t="shared" si="9"/>
        <v>0</v>
      </c>
      <c r="K102" s="33"/>
      <c r="L102" s="33"/>
      <c r="M102" s="33">
        <f t="shared" si="10"/>
        <v>0</v>
      </c>
      <c r="N102" s="33"/>
      <c r="O102" s="33"/>
      <c r="P102" s="33">
        <f t="shared" si="11"/>
        <v>0</v>
      </c>
      <c r="Q102" s="33"/>
      <c r="R102" s="33"/>
      <c r="S102" s="33">
        <f t="shared" si="12"/>
        <v>0</v>
      </c>
      <c r="T102" s="33"/>
      <c r="U102" s="33"/>
      <c r="V102" s="33">
        <f t="shared" si="13"/>
        <v>0</v>
      </c>
      <c r="W102" s="33"/>
      <c r="X102" s="33"/>
      <c r="Y102" s="33">
        <f t="shared" si="14"/>
        <v>0</v>
      </c>
      <c r="Z102" s="33"/>
      <c r="AA102" s="33"/>
      <c r="AB102" s="33">
        <f t="shared" si="15"/>
        <v>0</v>
      </c>
    </row>
    <row r="103" spans="1:187" s="11" customFormat="1">
      <c r="A103" s="41" t="s">
        <v>106</v>
      </c>
      <c r="B103" s="36">
        <f t="shared" si="16"/>
        <v>2099</v>
      </c>
      <c r="C103" s="36">
        <f t="shared" si="16"/>
        <v>2099</v>
      </c>
      <c r="D103" s="36">
        <f t="shared" si="16"/>
        <v>0</v>
      </c>
      <c r="E103" s="36">
        <v>0</v>
      </c>
      <c r="F103" s="36">
        <v>0</v>
      </c>
      <c r="G103" s="36">
        <f t="shared" si="17"/>
        <v>0</v>
      </c>
      <c r="H103" s="36">
        <f>5788-5788</f>
        <v>0</v>
      </c>
      <c r="I103" s="36">
        <f>5788-5788</f>
        <v>0</v>
      </c>
      <c r="J103" s="36">
        <f t="shared" si="9"/>
        <v>0</v>
      </c>
      <c r="K103" s="36">
        <v>2099</v>
      </c>
      <c r="L103" s="36">
        <v>2099</v>
      </c>
      <c r="M103" s="36">
        <f t="shared" si="10"/>
        <v>0</v>
      </c>
      <c r="N103" s="36"/>
      <c r="O103" s="36"/>
      <c r="P103" s="36">
        <f t="shared" si="11"/>
        <v>0</v>
      </c>
      <c r="Q103" s="36"/>
      <c r="R103" s="36"/>
      <c r="S103" s="36">
        <f t="shared" si="12"/>
        <v>0</v>
      </c>
      <c r="T103" s="36"/>
      <c r="U103" s="36"/>
      <c r="V103" s="36">
        <f t="shared" si="13"/>
        <v>0</v>
      </c>
      <c r="W103" s="36"/>
      <c r="X103" s="36"/>
      <c r="Y103" s="36">
        <f t="shared" si="14"/>
        <v>0</v>
      </c>
      <c r="Z103" s="36"/>
      <c r="AA103" s="36"/>
      <c r="AB103" s="36">
        <f t="shared" si="15"/>
        <v>0</v>
      </c>
    </row>
    <row r="104" spans="1:187" s="11" customFormat="1" ht="31.5">
      <c r="A104" s="41" t="s">
        <v>107</v>
      </c>
      <c r="B104" s="36">
        <f t="shared" si="16"/>
        <v>40000</v>
      </c>
      <c r="C104" s="36">
        <f t="shared" si="16"/>
        <v>40000</v>
      </c>
      <c r="D104" s="36">
        <f t="shared" si="16"/>
        <v>0</v>
      </c>
      <c r="E104" s="36">
        <v>0</v>
      </c>
      <c r="F104" s="36">
        <v>0</v>
      </c>
      <c r="G104" s="36">
        <f t="shared" si="17"/>
        <v>0</v>
      </c>
      <c r="H104" s="36"/>
      <c r="I104" s="36"/>
      <c r="J104" s="36">
        <f t="shared" si="9"/>
        <v>0</v>
      </c>
      <c r="K104" s="36">
        <f>20000+20000</f>
        <v>40000</v>
      </c>
      <c r="L104" s="36">
        <f>20000+20000</f>
        <v>40000</v>
      </c>
      <c r="M104" s="36">
        <f t="shared" si="10"/>
        <v>0</v>
      </c>
      <c r="N104" s="36"/>
      <c r="O104" s="36"/>
      <c r="P104" s="36">
        <f t="shared" si="11"/>
        <v>0</v>
      </c>
      <c r="Q104" s="36"/>
      <c r="R104" s="36"/>
      <c r="S104" s="36">
        <f t="shared" si="12"/>
        <v>0</v>
      </c>
      <c r="T104" s="36"/>
      <c r="U104" s="36"/>
      <c r="V104" s="36">
        <f t="shared" si="13"/>
        <v>0</v>
      </c>
      <c r="W104" s="36"/>
      <c r="X104" s="36"/>
      <c r="Y104" s="36">
        <f t="shared" si="14"/>
        <v>0</v>
      </c>
      <c r="Z104" s="36"/>
      <c r="AA104" s="36"/>
      <c r="AB104" s="36">
        <f t="shared" si="15"/>
        <v>0</v>
      </c>
    </row>
    <row r="105" spans="1:187" s="11" customFormat="1">
      <c r="A105" s="29" t="s">
        <v>108</v>
      </c>
      <c r="B105" s="30">
        <f t="shared" si="16"/>
        <v>35900</v>
      </c>
      <c r="C105" s="30">
        <f t="shared" si="16"/>
        <v>35900</v>
      </c>
      <c r="D105" s="30">
        <f t="shared" si="16"/>
        <v>0</v>
      </c>
      <c r="E105" s="30">
        <f>SUM(E106:E106)</f>
        <v>0</v>
      </c>
      <c r="F105" s="30">
        <f>SUM(F106:F106)</f>
        <v>0</v>
      </c>
      <c r="G105" s="30">
        <f t="shared" si="17"/>
        <v>0</v>
      </c>
      <c r="H105" s="30">
        <f>SUM(H106:H106)</f>
        <v>0</v>
      </c>
      <c r="I105" s="30">
        <f>SUM(I106:I106)</f>
        <v>0</v>
      </c>
      <c r="J105" s="30">
        <f t="shared" si="9"/>
        <v>0</v>
      </c>
      <c r="K105" s="30">
        <f>SUM(K106:K106)</f>
        <v>35900</v>
      </c>
      <c r="L105" s="30">
        <f>SUM(L106:L106)</f>
        <v>35900</v>
      </c>
      <c r="M105" s="30">
        <f t="shared" si="10"/>
        <v>0</v>
      </c>
      <c r="N105" s="30">
        <f>SUM(N106:N106)</f>
        <v>0</v>
      </c>
      <c r="O105" s="30">
        <f>SUM(O106:O106)</f>
        <v>0</v>
      </c>
      <c r="P105" s="30">
        <f t="shared" si="11"/>
        <v>0</v>
      </c>
      <c r="Q105" s="30">
        <f>SUM(Q106:Q106)</f>
        <v>0</v>
      </c>
      <c r="R105" s="30">
        <f>SUM(R106:R106)</f>
        <v>0</v>
      </c>
      <c r="S105" s="30">
        <f t="shared" si="12"/>
        <v>0</v>
      </c>
      <c r="T105" s="30">
        <f>SUM(T106:T106)</f>
        <v>0</v>
      </c>
      <c r="U105" s="30">
        <f>SUM(U106:U106)</f>
        <v>0</v>
      </c>
      <c r="V105" s="30">
        <f t="shared" si="13"/>
        <v>0</v>
      </c>
      <c r="W105" s="30">
        <f>SUM(W106:W106)</f>
        <v>0</v>
      </c>
      <c r="X105" s="30">
        <f>SUM(X106:X106)</f>
        <v>0</v>
      </c>
      <c r="Y105" s="30">
        <f t="shared" si="14"/>
        <v>0</v>
      </c>
      <c r="Z105" s="30">
        <f>SUM(Z106:Z106)</f>
        <v>0</v>
      </c>
      <c r="AA105" s="30">
        <f>SUM(AA106:AA106)</f>
        <v>0</v>
      </c>
      <c r="AB105" s="30">
        <f t="shared" si="15"/>
        <v>0</v>
      </c>
    </row>
    <row r="106" spans="1:187" s="28" customFormat="1" ht="31.5">
      <c r="A106" s="38" t="s">
        <v>109</v>
      </c>
      <c r="B106" s="42">
        <f t="shared" si="16"/>
        <v>35900</v>
      </c>
      <c r="C106" s="42">
        <f t="shared" si="16"/>
        <v>35900</v>
      </c>
      <c r="D106" s="42">
        <f t="shared" si="16"/>
        <v>0</v>
      </c>
      <c r="E106" s="42"/>
      <c r="F106" s="42"/>
      <c r="G106" s="42">
        <f t="shared" si="17"/>
        <v>0</v>
      </c>
      <c r="H106" s="42"/>
      <c r="I106" s="42"/>
      <c r="J106" s="42">
        <f t="shared" si="9"/>
        <v>0</v>
      </c>
      <c r="K106" s="42">
        <v>35900</v>
      </c>
      <c r="L106" s="42">
        <v>35900</v>
      </c>
      <c r="M106" s="42">
        <f t="shared" si="10"/>
        <v>0</v>
      </c>
      <c r="N106" s="42"/>
      <c r="O106" s="42"/>
      <c r="P106" s="42">
        <f t="shared" si="11"/>
        <v>0</v>
      </c>
      <c r="Q106" s="42"/>
      <c r="R106" s="42"/>
      <c r="S106" s="42">
        <f t="shared" si="12"/>
        <v>0</v>
      </c>
      <c r="T106" s="42"/>
      <c r="U106" s="42"/>
      <c r="V106" s="42">
        <f t="shared" si="13"/>
        <v>0</v>
      </c>
      <c r="W106" s="42"/>
      <c r="X106" s="42"/>
      <c r="Y106" s="42">
        <f t="shared" si="14"/>
        <v>0</v>
      </c>
      <c r="Z106" s="42"/>
      <c r="AA106" s="42"/>
      <c r="AB106" s="42">
        <f t="shared" si="15"/>
        <v>0</v>
      </c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1"/>
      <c r="BM106" s="11"/>
      <c r="BN106" s="11"/>
      <c r="BO106" s="11"/>
      <c r="BP106" s="11"/>
      <c r="BQ106" s="11"/>
      <c r="BR106" s="11"/>
      <c r="BS106" s="11"/>
      <c r="BT106" s="11"/>
      <c r="BU106" s="11"/>
      <c r="BV106" s="11"/>
      <c r="BW106" s="11"/>
      <c r="BX106" s="11"/>
      <c r="BY106" s="11"/>
      <c r="BZ106" s="11"/>
      <c r="CA106" s="11"/>
      <c r="CB106" s="11"/>
      <c r="CC106" s="11"/>
      <c r="CD106" s="11"/>
      <c r="CE106" s="11"/>
      <c r="CF106" s="11"/>
      <c r="CG106" s="11"/>
      <c r="CH106" s="11"/>
      <c r="CI106" s="11"/>
      <c r="CJ106" s="11"/>
      <c r="CK106" s="11"/>
      <c r="CL106" s="11"/>
      <c r="CM106" s="11"/>
      <c r="CN106" s="11"/>
      <c r="CO106" s="11"/>
      <c r="CP106" s="11"/>
      <c r="CQ106" s="11"/>
      <c r="CR106" s="11"/>
      <c r="CS106" s="11"/>
      <c r="CT106" s="11"/>
      <c r="CU106" s="11"/>
      <c r="CV106" s="11"/>
      <c r="CW106" s="11"/>
      <c r="CX106" s="11"/>
      <c r="CY106" s="11"/>
      <c r="CZ106" s="11"/>
      <c r="DA106" s="11"/>
      <c r="DB106" s="11"/>
      <c r="DC106" s="11"/>
      <c r="DD106" s="11"/>
      <c r="DE106" s="11"/>
      <c r="DF106" s="11"/>
      <c r="DG106" s="11"/>
      <c r="DH106" s="11"/>
      <c r="DI106" s="11"/>
      <c r="DJ106" s="11"/>
      <c r="DK106" s="11"/>
      <c r="DL106" s="11"/>
      <c r="DM106" s="11"/>
      <c r="DN106" s="11"/>
      <c r="DO106" s="11"/>
      <c r="DP106" s="11"/>
      <c r="DQ106" s="11"/>
      <c r="DR106" s="11"/>
      <c r="DS106" s="11"/>
      <c r="DT106" s="11"/>
      <c r="DU106" s="11"/>
      <c r="DV106" s="11"/>
      <c r="DW106" s="11"/>
      <c r="DX106" s="11"/>
      <c r="DY106" s="11"/>
      <c r="DZ106" s="11"/>
      <c r="EA106" s="11"/>
      <c r="EB106" s="11"/>
      <c r="EC106" s="11"/>
      <c r="ED106" s="11"/>
      <c r="EE106" s="11"/>
      <c r="EF106" s="11"/>
      <c r="EG106" s="11"/>
      <c r="EH106" s="11"/>
      <c r="EI106" s="11"/>
      <c r="EJ106" s="11"/>
      <c r="EK106" s="11"/>
      <c r="EL106" s="11"/>
      <c r="EM106" s="11"/>
      <c r="EN106" s="11"/>
      <c r="EO106" s="11"/>
      <c r="EP106" s="11"/>
      <c r="EQ106" s="11"/>
      <c r="ER106" s="11"/>
      <c r="ES106" s="11"/>
      <c r="ET106" s="11"/>
      <c r="EU106" s="11"/>
      <c r="EV106" s="11"/>
      <c r="EW106" s="11"/>
      <c r="EX106" s="11"/>
      <c r="EY106" s="11"/>
      <c r="EZ106" s="11"/>
      <c r="FA106" s="11"/>
      <c r="FB106" s="11"/>
      <c r="FC106" s="11"/>
      <c r="FD106" s="11"/>
      <c r="FE106" s="11"/>
      <c r="FF106" s="11"/>
      <c r="FG106" s="11"/>
      <c r="FH106" s="11"/>
      <c r="FI106" s="11"/>
      <c r="FJ106" s="11"/>
      <c r="FK106" s="11"/>
      <c r="FL106" s="11"/>
      <c r="FM106" s="11"/>
      <c r="FN106" s="11"/>
      <c r="FO106" s="11"/>
      <c r="FP106" s="11"/>
      <c r="FQ106" s="11"/>
      <c r="FR106" s="11"/>
      <c r="FS106" s="11"/>
      <c r="FT106" s="11"/>
      <c r="FU106" s="11"/>
      <c r="FV106" s="11"/>
      <c r="FW106" s="11"/>
      <c r="FX106" s="11"/>
      <c r="FY106" s="11"/>
      <c r="FZ106" s="11"/>
      <c r="GA106" s="11"/>
      <c r="GB106" s="11"/>
      <c r="GC106" s="11"/>
      <c r="GD106" s="11"/>
      <c r="GE106" s="11"/>
    </row>
    <row r="107" spans="1:187" s="11" customFormat="1">
      <c r="A107" s="34" t="s">
        <v>33</v>
      </c>
      <c r="B107" s="31">
        <f t="shared" si="16"/>
        <v>70991</v>
      </c>
      <c r="C107" s="31">
        <f t="shared" si="16"/>
        <v>77954</v>
      </c>
      <c r="D107" s="31">
        <f t="shared" si="16"/>
        <v>6963</v>
      </c>
      <c r="E107" s="31">
        <f>SUM(E108,E110,E116)</f>
        <v>0</v>
      </c>
      <c r="F107" s="31">
        <f>SUM(F108,F110,F116)</f>
        <v>0</v>
      </c>
      <c r="G107" s="31">
        <f t="shared" si="17"/>
        <v>0</v>
      </c>
      <c r="H107" s="31">
        <f>SUM(H108,H110,H116)</f>
        <v>6060</v>
      </c>
      <c r="I107" s="31">
        <f>SUM(I108,I110,I116)</f>
        <v>5999</v>
      </c>
      <c r="J107" s="31">
        <f t="shared" si="9"/>
        <v>-61</v>
      </c>
      <c r="K107" s="31">
        <f>SUM(K108,K110,K116)</f>
        <v>37357</v>
      </c>
      <c r="L107" s="31">
        <f>SUM(L108,L110,L116)</f>
        <v>40869</v>
      </c>
      <c r="M107" s="31">
        <f t="shared" si="10"/>
        <v>3512</v>
      </c>
      <c r="N107" s="31">
        <f>SUM(N108,N110,N116)</f>
        <v>0</v>
      </c>
      <c r="O107" s="31">
        <f>SUM(O108,O110,O116)</f>
        <v>0</v>
      </c>
      <c r="P107" s="31">
        <f t="shared" si="11"/>
        <v>0</v>
      </c>
      <c r="Q107" s="31">
        <f>SUM(Q108,Q110,Q116)</f>
        <v>8830</v>
      </c>
      <c r="R107" s="31">
        <f>SUM(R108,R110,R116)</f>
        <v>12342</v>
      </c>
      <c r="S107" s="31">
        <f t="shared" si="12"/>
        <v>3512</v>
      </c>
      <c r="T107" s="31">
        <f>SUM(T108,T110,T116)</f>
        <v>0</v>
      </c>
      <c r="U107" s="31">
        <f>SUM(U108,U110,U116)</f>
        <v>0</v>
      </c>
      <c r="V107" s="31">
        <f t="shared" si="13"/>
        <v>0</v>
      </c>
      <c r="W107" s="31">
        <f>SUM(W108,W110,W116)</f>
        <v>0</v>
      </c>
      <c r="X107" s="31">
        <f>SUM(X108,X110,X116)</f>
        <v>0</v>
      </c>
      <c r="Y107" s="31">
        <f t="shared" si="14"/>
        <v>0</v>
      </c>
      <c r="Z107" s="31">
        <f>SUM(Z108,Z110,Z116)</f>
        <v>18744</v>
      </c>
      <c r="AA107" s="31">
        <f>SUM(AA108,AA110,AA116)</f>
        <v>18744</v>
      </c>
      <c r="AB107" s="31">
        <f t="shared" si="15"/>
        <v>0</v>
      </c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28"/>
      <c r="BA107" s="28"/>
      <c r="BB107" s="28"/>
      <c r="BC107" s="28"/>
      <c r="BD107" s="28"/>
      <c r="BE107" s="28"/>
      <c r="BF107" s="28"/>
      <c r="BG107" s="28"/>
      <c r="BH107" s="28"/>
      <c r="BI107" s="28"/>
      <c r="BJ107" s="28"/>
      <c r="BK107" s="28"/>
      <c r="BL107" s="28"/>
      <c r="BM107" s="28"/>
      <c r="BN107" s="28"/>
      <c r="BO107" s="28"/>
      <c r="BP107" s="28"/>
      <c r="BQ107" s="28"/>
      <c r="BR107" s="28"/>
      <c r="BS107" s="28"/>
      <c r="BT107" s="28"/>
      <c r="BU107" s="28"/>
      <c r="BV107" s="28"/>
      <c r="BW107" s="28"/>
      <c r="BX107" s="28"/>
      <c r="BY107" s="28"/>
      <c r="BZ107" s="28"/>
      <c r="CA107" s="28"/>
      <c r="CB107" s="28"/>
      <c r="CC107" s="28"/>
      <c r="CD107" s="28"/>
      <c r="CE107" s="28"/>
      <c r="CF107" s="28"/>
      <c r="CG107" s="28"/>
      <c r="CH107" s="28"/>
      <c r="CI107" s="28"/>
      <c r="CJ107" s="28"/>
      <c r="CK107" s="28"/>
      <c r="CL107" s="28"/>
      <c r="CM107" s="28"/>
      <c r="CN107" s="28"/>
      <c r="CO107" s="28"/>
      <c r="CP107" s="28"/>
      <c r="CQ107" s="28"/>
      <c r="CR107" s="28"/>
      <c r="CS107" s="28"/>
      <c r="CT107" s="28"/>
      <c r="CU107" s="28"/>
      <c r="CV107" s="28"/>
      <c r="CW107" s="28"/>
      <c r="CX107" s="28"/>
      <c r="CY107" s="28"/>
      <c r="CZ107" s="28"/>
      <c r="DA107" s="28"/>
      <c r="DB107" s="28"/>
      <c r="DC107" s="28"/>
      <c r="DD107" s="28"/>
      <c r="DE107" s="28"/>
      <c r="DF107" s="28"/>
      <c r="DG107" s="28"/>
      <c r="DH107" s="28"/>
      <c r="DI107" s="28"/>
      <c r="DJ107" s="28"/>
      <c r="DK107" s="28"/>
      <c r="DL107" s="28"/>
      <c r="DM107" s="28"/>
      <c r="DN107" s="28"/>
      <c r="DO107" s="28"/>
      <c r="DP107" s="28"/>
      <c r="DQ107" s="28"/>
      <c r="DR107" s="28"/>
      <c r="DS107" s="28"/>
      <c r="DT107" s="28"/>
      <c r="DU107" s="28"/>
      <c r="DV107" s="28"/>
      <c r="DW107" s="28"/>
      <c r="DX107" s="28"/>
      <c r="DY107" s="28"/>
      <c r="DZ107" s="28"/>
      <c r="EA107" s="28"/>
      <c r="EB107" s="28"/>
      <c r="EC107" s="28"/>
      <c r="ED107" s="28"/>
      <c r="EE107" s="28"/>
      <c r="EF107" s="28"/>
      <c r="EG107" s="28"/>
      <c r="EH107" s="28"/>
      <c r="EI107" s="28"/>
      <c r="EJ107" s="28"/>
      <c r="EK107" s="28"/>
      <c r="EL107" s="28"/>
      <c r="EM107" s="28"/>
      <c r="EN107" s="28"/>
      <c r="EO107" s="28"/>
      <c r="EP107" s="28"/>
      <c r="EQ107" s="28"/>
      <c r="ER107" s="28"/>
      <c r="ES107" s="28"/>
      <c r="ET107" s="28"/>
      <c r="EU107" s="28"/>
      <c r="EV107" s="28"/>
      <c r="EW107" s="28"/>
      <c r="EX107" s="28"/>
      <c r="EY107" s="28"/>
      <c r="EZ107" s="28"/>
      <c r="FA107" s="28"/>
      <c r="FB107" s="28"/>
      <c r="FC107" s="28"/>
      <c r="FD107" s="28"/>
      <c r="FE107" s="28"/>
      <c r="FF107" s="28"/>
      <c r="FG107" s="28"/>
      <c r="FH107" s="28"/>
      <c r="FI107" s="28"/>
      <c r="FJ107" s="28"/>
      <c r="FK107" s="28"/>
      <c r="FL107" s="28"/>
      <c r="FM107" s="28"/>
      <c r="FN107" s="28"/>
      <c r="FO107" s="28"/>
      <c r="FP107" s="28"/>
      <c r="FQ107" s="28"/>
      <c r="FR107" s="28"/>
      <c r="FS107" s="28"/>
      <c r="FT107" s="28"/>
      <c r="FU107" s="28"/>
      <c r="FV107" s="28"/>
      <c r="FW107" s="28"/>
      <c r="FX107" s="28"/>
      <c r="FY107" s="28"/>
      <c r="FZ107" s="28"/>
      <c r="GA107" s="28"/>
      <c r="GB107" s="28"/>
      <c r="GC107" s="28"/>
      <c r="GD107" s="28"/>
      <c r="GE107" s="28"/>
    </row>
    <row r="108" spans="1:187" s="11" customFormat="1">
      <c r="A108" s="29" t="s">
        <v>96</v>
      </c>
      <c r="B108" s="30">
        <f t="shared" si="16"/>
        <v>8375</v>
      </c>
      <c r="C108" s="30">
        <f t="shared" si="16"/>
        <v>8375</v>
      </c>
      <c r="D108" s="30">
        <f t="shared" si="16"/>
        <v>0</v>
      </c>
      <c r="E108" s="30">
        <f>SUM(E109:E109)</f>
        <v>0</v>
      </c>
      <c r="F108" s="30">
        <f>SUM(F109:F109)</f>
        <v>0</v>
      </c>
      <c r="G108" s="30">
        <f t="shared" si="17"/>
        <v>0</v>
      </c>
      <c r="H108" s="30">
        <f>SUM(H109:H109)</f>
        <v>0</v>
      </c>
      <c r="I108" s="30">
        <f>SUM(I109:I109)</f>
        <v>0</v>
      </c>
      <c r="J108" s="30">
        <f t="shared" si="9"/>
        <v>0</v>
      </c>
      <c r="K108" s="30">
        <f>SUM(K109:K109)</f>
        <v>2662</v>
      </c>
      <c r="L108" s="30">
        <f>SUM(L109:L109)</f>
        <v>2662</v>
      </c>
      <c r="M108" s="30">
        <f t="shared" si="10"/>
        <v>0</v>
      </c>
      <c r="N108" s="30">
        <f>SUM(N109:N109)</f>
        <v>0</v>
      </c>
      <c r="O108" s="30">
        <f>SUM(O109:O109)</f>
        <v>0</v>
      </c>
      <c r="P108" s="30">
        <f t="shared" si="11"/>
        <v>0</v>
      </c>
      <c r="Q108" s="30">
        <f>SUM(Q109:Q109)</f>
        <v>5713</v>
      </c>
      <c r="R108" s="30">
        <f>SUM(R109:R109)</f>
        <v>5713</v>
      </c>
      <c r="S108" s="30">
        <f t="shared" si="12"/>
        <v>0</v>
      </c>
      <c r="T108" s="30">
        <f>SUM(T109:T109)</f>
        <v>0</v>
      </c>
      <c r="U108" s="30">
        <f>SUM(U109:U109)</f>
        <v>0</v>
      </c>
      <c r="V108" s="30">
        <f t="shared" si="13"/>
        <v>0</v>
      </c>
      <c r="W108" s="30">
        <f>SUM(W109:W109)</f>
        <v>0</v>
      </c>
      <c r="X108" s="30">
        <f>SUM(X109:X109)</f>
        <v>0</v>
      </c>
      <c r="Y108" s="30">
        <f t="shared" si="14"/>
        <v>0</v>
      </c>
      <c r="Z108" s="30">
        <f>SUM(Z109:Z109)</f>
        <v>0</v>
      </c>
      <c r="AA108" s="30">
        <f>SUM(AA109:AA109)</f>
        <v>0</v>
      </c>
      <c r="AB108" s="30">
        <f t="shared" si="15"/>
        <v>0</v>
      </c>
    </row>
    <row r="109" spans="1:187" s="11" customFormat="1" ht="31.5">
      <c r="A109" s="35" t="s">
        <v>110</v>
      </c>
      <c r="B109" s="36">
        <f t="shared" si="16"/>
        <v>8375</v>
      </c>
      <c r="C109" s="36">
        <f t="shared" si="16"/>
        <v>8375</v>
      </c>
      <c r="D109" s="36">
        <f t="shared" si="16"/>
        <v>0</v>
      </c>
      <c r="E109" s="36">
        <v>0</v>
      </c>
      <c r="F109" s="36">
        <v>0</v>
      </c>
      <c r="G109" s="36">
        <f t="shared" si="17"/>
        <v>0</v>
      </c>
      <c r="H109" s="36"/>
      <c r="I109" s="36"/>
      <c r="J109" s="36">
        <f t="shared" si="9"/>
        <v>0</v>
      </c>
      <c r="K109" s="36">
        <f>1744+918</f>
        <v>2662</v>
      </c>
      <c r="L109" s="36">
        <f>1744+918</f>
        <v>2662</v>
      </c>
      <c r="M109" s="36">
        <f t="shared" si="10"/>
        <v>0</v>
      </c>
      <c r="N109" s="36"/>
      <c r="O109" s="36"/>
      <c r="P109" s="36">
        <f t="shared" si="11"/>
        <v>0</v>
      </c>
      <c r="Q109" s="36">
        <f>5656+57</f>
        <v>5713</v>
      </c>
      <c r="R109" s="36">
        <f>5656+57</f>
        <v>5713</v>
      </c>
      <c r="S109" s="36">
        <f t="shared" si="12"/>
        <v>0</v>
      </c>
      <c r="T109" s="36"/>
      <c r="U109" s="36"/>
      <c r="V109" s="36">
        <f t="shared" si="13"/>
        <v>0</v>
      </c>
      <c r="W109" s="36"/>
      <c r="X109" s="36"/>
      <c r="Y109" s="36">
        <f t="shared" si="14"/>
        <v>0</v>
      </c>
      <c r="Z109" s="36"/>
      <c r="AA109" s="36"/>
      <c r="AB109" s="36">
        <f t="shared" si="15"/>
        <v>0</v>
      </c>
    </row>
    <row r="110" spans="1:187" s="11" customFormat="1" ht="31.5">
      <c r="A110" s="29" t="s">
        <v>103</v>
      </c>
      <c r="B110" s="31">
        <f t="shared" si="16"/>
        <v>41011</v>
      </c>
      <c r="C110" s="31">
        <f t="shared" si="16"/>
        <v>47974</v>
      </c>
      <c r="D110" s="31">
        <f t="shared" si="16"/>
        <v>6963</v>
      </c>
      <c r="E110" s="31">
        <f>SUM(E111:E115)</f>
        <v>0</v>
      </c>
      <c r="F110" s="31">
        <f>SUM(F111:F115)</f>
        <v>0</v>
      </c>
      <c r="G110" s="31">
        <f t="shared" si="17"/>
        <v>0</v>
      </c>
      <c r="H110" s="31">
        <f>SUM(H111:H115)</f>
        <v>6060</v>
      </c>
      <c r="I110" s="31">
        <f>SUM(I111:I115)</f>
        <v>5999</v>
      </c>
      <c r="J110" s="31">
        <f t="shared" si="9"/>
        <v>-61</v>
      </c>
      <c r="K110" s="31">
        <f>SUM(K111:K115)</f>
        <v>14951</v>
      </c>
      <c r="L110" s="31">
        <f>SUM(L111:L115)</f>
        <v>18463</v>
      </c>
      <c r="M110" s="31">
        <f t="shared" si="10"/>
        <v>3512</v>
      </c>
      <c r="N110" s="31">
        <f>SUM(N111:N115)</f>
        <v>0</v>
      </c>
      <c r="O110" s="31">
        <f>SUM(O111:O115)</f>
        <v>0</v>
      </c>
      <c r="P110" s="31">
        <f t="shared" si="11"/>
        <v>0</v>
      </c>
      <c r="Q110" s="31">
        <f>SUM(Q111:Q115)</f>
        <v>1256</v>
      </c>
      <c r="R110" s="31">
        <f>SUM(R111:R115)</f>
        <v>4768</v>
      </c>
      <c r="S110" s="31">
        <f t="shared" si="12"/>
        <v>3512</v>
      </c>
      <c r="T110" s="31">
        <f>SUM(T111:T115)</f>
        <v>0</v>
      </c>
      <c r="U110" s="31">
        <f>SUM(U111:U115)</f>
        <v>0</v>
      </c>
      <c r="V110" s="31">
        <f t="shared" si="13"/>
        <v>0</v>
      </c>
      <c r="W110" s="31">
        <f>SUM(W111:W115)</f>
        <v>0</v>
      </c>
      <c r="X110" s="31">
        <f>SUM(X111:X115)</f>
        <v>0</v>
      </c>
      <c r="Y110" s="31">
        <f t="shared" si="14"/>
        <v>0</v>
      </c>
      <c r="Z110" s="31">
        <f>SUM(Z111:Z115)</f>
        <v>18744</v>
      </c>
      <c r="AA110" s="31">
        <f>SUM(AA111:AA115)</f>
        <v>18744</v>
      </c>
      <c r="AB110" s="31">
        <f t="shared" si="15"/>
        <v>0</v>
      </c>
    </row>
    <row r="111" spans="1:187" s="11" customFormat="1">
      <c r="A111" s="41" t="s">
        <v>111</v>
      </c>
      <c r="B111" s="36">
        <f t="shared" si="16"/>
        <v>20000</v>
      </c>
      <c r="C111" s="36">
        <f t="shared" si="16"/>
        <v>20000</v>
      </c>
      <c r="D111" s="36">
        <f t="shared" si="16"/>
        <v>0</v>
      </c>
      <c r="E111" s="36">
        <v>0</v>
      </c>
      <c r="F111" s="36">
        <v>0</v>
      </c>
      <c r="G111" s="36">
        <f t="shared" si="17"/>
        <v>0</v>
      </c>
      <c r="H111" s="36">
        <v>0</v>
      </c>
      <c r="I111" s="36">
        <v>0</v>
      </c>
      <c r="J111" s="36">
        <f t="shared" si="9"/>
        <v>0</v>
      </c>
      <c r="K111" s="36"/>
      <c r="L111" s="36"/>
      <c r="M111" s="36">
        <f t="shared" si="10"/>
        <v>0</v>
      </c>
      <c r="N111" s="36"/>
      <c r="O111" s="36"/>
      <c r="P111" s="36">
        <f t="shared" si="11"/>
        <v>0</v>
      </c>
      <c r="Q111" s="36">
        <f>10000+10000-18744</f>
        <v>1256</v>
      </c>
      <c r="R111" s="36">
        <f>10000+10000-18744</f>
        <v>1256</v>
      </c>
      <c r="S111" s="36">
        <f t="shared" si="12"/>
        <v>0</v>
      </c>
      <c r="T111" s="36"/>
      <c r="U111" s="36"/>
      <c r="V111" s="36">
        <f t="shared" si="13"/>
        <v>0</v>
      </c>
      <c r="W111" s="36"/>
      <c r="X111" s="36"/>
      <c r="Y111" s="36">
        <f t="shared" si="14"/>
        <v>0</v>
      </c>
      <c r="Z111" s="36">
        <v>18744</v>
      </c>
      <c r="AA111" s="36">
        <v>18744</v>
      </c>
      <c r="AB111" s="36">
        <f t="shared" si="15"/>
        <v>0</v>
      </c>
    </row>
    <row r="112" spans="1:187" s="11" customFormat="1" ht="31.5">
      <c r="A112" s="41" t="s">
        <v>112</v>
      </c>
      <c r="B112" s="36">
        <f t="shared" si="16"/>
        <v>0</v>
      </c>
      <c r="C112" s="36">
        <f t="shared" si="16"/>
        <v>7024</v>
      </c>
      <c r="D112" s="36">
        <f t="shared" si="16"/>
        <v>7024</v>
      </c>
      <c r="E112" s="36">
        <v>0</v>
      </c>
      <c r="F112" s="36">
        <v>0</v>
      </c>
      <c r="G112" s="36">
        <f t="shared" si="17"/>
        <v>0</v>
      </c>
      <c r="H112" s="36">
        <v>0</v>
      </c>
      <c r="I112" s="36">
        <v>0</v>
      </c>
      <c r="J112" s="36">
        <f t="shared" si="9"/>
        <v>0</v>
      </c>
      <c r="K112" s="36"/>
      <c r="L112" s="36">
        <v>3512</v>
      </c>
      <c r="M112" s="36">
        <f t="shared" si="10"/>
        <v>3512</v>
      </c>
      <c r="N112" s="36"/>
      <c r="O112" s="36"/>
      <c r="P112" s="36">
        <f t="shared" si="11"/>
        <v>0</v>
      </c>
      <c r="Q112" s="36"/>
      <c r="R112" s="36">
        <v>3512</v>
      </c>
      <c r="S112" s="36">
        <f t="shared" si="12"/>
        <v>3512</v>
      </c>
      <c r="T112" s="36"/>
      <c r="U112" s="36"/>
      <c r="V112" s="36">
        <f t="shared" si="13"/>
        <v>0</v>
      </c>
      <c r="W112" s="36"/>
      <c r="X112" s="36"/>
      <c r="Y112" s="36">
        <f t="shared" si="14"/>
        <v>0</v>
      </c>
      <c r="Z112" s="36"/>
      <c r="AA112" s="36"/>
      <c r="AB112" s="36">
        <f t="shared" si="15"/>
        <v>0</v>
      </c>
    </row>
    <row r="113" spans="1:187" s="11" customFormat="1" ht="31.5">
      <c r="A113" s="37" t="s">
        <v>113</v>
      </c>
      <c r="B113" s="36">
        <f t="shared" si="16"/>
        <v>7993</v>
      </c>
      <c r="C113" s="36">
        <f t="shared" si="16"/>
        <v>7993</v>
      </c>
      <c r="D113" s="36">
        <f t="shared" si="16"/>
        <v>0</v>
      </c>
      <c r="E113" s="36">
        <v>0</v>
      </c>
      <c r="F113" s="36">
        <v>0</v>
      </c>
      <c r="G113" s="36">
        <f t="shared" si="17"/>
        <v>0</v>
      </c>
      <c r="H113" s="36">
        <v>0</v>
      </c>
      <c r="I113" s="36">
        <v>0</v>
      </c>
      <c r="J113" s="36">
        <f t="shared" si="9"/>
        <v>0</v>
      </c>
      <c r="K113" s="36">
        <v>7993</v>
      </c>
      <c r="L113" s="36">
        <v>7993</v>
      </c>
      <c r="M113" s="36">
        <f t="shared" si="10"/>
        <v>0</v>
      </c>
      <c r="N113" s="36">
        <v>0</v>
      </c>
      <c r="O113" s="36">
        <v>0</v>
      </c>
      <c r="P113" s="36">
        <f t="shared" si="11"/>
        <v>0</v>
      </c>
      <c r="Q113" s="36">
        <v>0</v>
      </c>
      <c r="R113" s="36">
        <v>0</v>
      </c>
      <c r="S113" s="36">
        <f t="shared" si="12"/>
        <v>0</v>
      </c>
      <c r="T113" s="36">
        <v>0</v>
      </c>
      <c r="U113" s="36">
        <v>0</v>
      </c>
      <c r="V113" s="36">
        <f t="shared" si="13"/>
        <v>0</v>
      </c>
      <c r="W113" s="36">
        <v>0</v>
      </c>
      <c r="X113" s="36">
        <v>0</v>
      </c>
      <c r="Y113" s="36">
        <f t="shared" si="14"/>
        <v>0</v>
      </c>
      <c r="Z113" s="36"/>
      <c r="AA113" s="36"/>
      <c r="AB113" s="36">
        <f t="shared" si="15"/>
        <v>0</v>
      </c>
    </row>
    <row r="114" spans="1:187" s="11" customFormat="1" ht="47.25">
      <c r="A114" s="37" t="s">
        <v>114</v>
      </c>
      <c r="B114" s="36">
        <f t="shared" si="16"/>
        <v>6958</v>
      </c>
      <c r="C114" s="36">
        <f t="shared" si="16"/>
        <v>6958</v>
      </c>
      <c r="D114" s="36">
        <f t="shared" si="16"/>
        <v>0</v>
      </c>
      <c r="E114" s="36">
        <v>0</v>
      </c>
      <c r="F114" s="36">
        <v>0</v>
      </c>
      <c r="G114" s="36">
        <f t="shared" si="17"/>
        <v>0</v>
      </c>
      <c r="H114" s="36">
        <v>0</v>
      </c>
      <c r="I114" s="36">
        <v>0</v>
      </c>
      <c r="J114" s="36">
        <f t="shared" si="9"/>
        <v>0</v>
      </c>
      <c r="K114" s="36">
        <f>6958</f>
        <v>6958</v>
      </c>
      <c r="L114" s="36">
        <f>6958</f>
        <v>6958</v>
      </c>
      <c r="M114" s="36">
        <f t="shared" si="10"/>
        <v>0</v>
      </c>
      <c r="N114" s="36">
        <v>0</v>
      </c>
      <c r="O114" s="36">
        <v>0</v>
      </c>
      <c r="P114" s="36">
        <f t="shared" si="11"/>
        <v>0</v>
      </c>
      <c r="Q114" s="36">
        <v>0</v>
      </c>
      <c r="R114" s="36">
        <v>0</v>
      </c>
      <c r="S114" s="36">
        <f t="shared" si="12"/>
        <v>0</v>
      </c>
      <c r="T114" s="36">
        <v>0</v>
      </c>
      <c r="U114" s="36">
        <v>0</v>
      </c>
      <c r="V114" s="36">
        <f t="shared" si="13"/>
        <v>0</v>
      </c>
      <c r="W114" s="36">
        <v>0</v>
      </c>
      <c r="X114" s="36">
        <v>0</v>
      </c>
      <c r="Y114" s="36">
        <f t="shared" si="14"/>
        <v>0</v>
      </c>
      <c r="Z114" s="36"/>
      <c r="AA114" s="36"/>
      <c r="AB114" s="36">
        <f t="shared" si="15"/>
        <v>0</v>
      </c>
    </row>
    <row r="115" spans="1:187" s="11" customFormat="1" ht="31.5">
      <c r="A115" s="35" t="s">
        <v>115</v>
      </c>
      <c r="B115" s="36">
        <f t="shared" si="16"/>
        <v>6060</v>
      </c>
      <c r="C115" s="36">
        <f t="shared" si="16"/>
        <v>5999</v>
      </c>
      <c r="D115" s="36">
        <f t="shared" si="16"/>
        <v>-61</v>
      </c>
      <c r="E115" s="36">
        <v>0</v>
      </c>
      <c r="F115" s="36">
        <v>0</v>
      </c>
      <c r="G115" s="36">
        <f t="shared" si="17"/>
        <v>0</v>
      </c>
      <c r="H115" s="36">
        <v>6060</v>
      </c>
      <c r="I115" s="36">
        <f>6060-61</f>
        <v>5999</v>
      </c>
      <c r="J115" s="36">
        <f t="shared" si="9"/>
        <v>-61</v>
      </c>
      <c r="K115" s="36"/>
      <c r="L115" s="36"/>
      <c r="M115" s="36">
        <f t="shared" si="10"/>
        <v>0</v>
      </c>
      <c r="N115" s="36"/>
      <c r="O115" s="36"/>
      <c r="P115" s="36">
        <f t="shared" si="11"/>
        <v>0</v>
      </c>
      <c r="Q115" s="36"/>
      <c r="R115" s="36"/>
      <c r="S115" s="36">
        <f t="shared" si="12"/>
        <v>0</v>
      </c>
      <c r="T115" s="36"/>
      <c r="U115" s="36"/>
      <c r="V115" s="36">
        <f t="shared" si="13"/>
        <v>0</v>
      </c>
      <c r="W115" s="36"/>
      <c r="X115" s="36"/>
      <c r="Y115" s="36">
        <f t="shared" si="14"/>
        <v>0</v>
      </c>
      <c r="Z115" s="36">
        <v>0</v>
      </c>
      <c r="AA115" s="36">
        <v>0</v>
      </c>
      <c r="AB115" s="36">
        <f t="shared" si="15"/>
        <v>0</v>
      </c>
    </row>
    <row r="116" spans="1:187" s="11" customFormat="1">
      <c r="A116" s="29" t="s">
        <v>116</v>
      </c>
      <c r="B116" s="30">
        <f t="shared" si="16"/>
        <v>21605</v>
      </c>
      <c r="C116" s="30">
        <f t="shared" si="16"/>
        <v>21605</v>
      </c>
      <c r="D116" s="30">
        <f t="shared" si="16"/>
        <v>0</v>
      </c>
      <c r="E116" s="30">
        <f>SUM(E117:E119)</f>
        <v>0</v>
      </c>
      <c r="F116" s="30">
        <f>SUM(F117:F119)</f>
        <v>0</v>
      </c>
      <c r="G116" s="30">
        <f t="shared" si="17"/>
        <v>0</v>
      </c>
      <c r="H116" s="30">
        <f>SUM(H117:H119)</f>
        <v>0</v>
      </c>
      <c r="I116" s="30">
        <f>SUM(I117:I119)</f>
        <v>0</v>
      </c>
      <c r="J116" s="30">
        <f t="shared" si="9"/>
        <v>0</v>
      </c>
      <c r="K116" s="30">
        <f>SUM(K117:K119)</f>
        <v>19744</v>
      </c>
      <c r="L116" s="30">
        <f>SUM(L117:L119)</f>
        <v>19744</v>
      </c>
      <c r="M116" s="30">
        <f t="shared" si="10"/>
        <v>0</v>
      </c>
      <c r="N116" s="30">
        <f>SUM(N117:N119)</f>
        <v>0</v>
      </c>
      <c r="O116" s="30">
        <f>SUM(O117:O119)</f>
        <v>0</v>
      </c>
      <c r="P116" s="30">
        <f t="shared" si="11"/>
        <v>0</v>
      </c>
      <c r="Q116" s="30">
        <f>SUM(Q117:Q119)</f>
        <v>1861</v>
      </c>
      <c r="R116" s="30">
        <f>SUM(R117:R119)</f>
        <v>1861</v>
      </c>
      <c r="S116" s="30">
        <f t="shared" si="12"/>
        <v>0</v>
      </c>
      <c r="T116" s="30">
        <f>SUM(T117:T119)</f>
        <v>0</v>
      </c>
      <c r="U116" s="30">
        <f>SUM(U117:U119)</f>
        <v>0</v>
      </c>
      <c r="V116" s="30">
        <f t="shared" si="13"/>
        <v>0</v>
      </c>
      <c r="W116" s="30">
        <f>SUM(W117:W119)</f>
        <v>0</v>
      </c>
      <c r="X116" s="30">
        <f>SUM(X117:X119)</f>
        <v>0</v>
      </c>
      <c r="Y116" s="30">
        <f t="shared" si="14"/>
        <v>0</v>
      </c>
      <c r="Z116" s="30">
        <f>SUM(Z117:Z119)</f>
        <v>0</v>
      </c>
      <c r="AA116" s="30">
        <f>SUM(AA117:AA119)</f>
        <v>0</v>
      </c>
      <c r="AB116" s="30">
        <f t="shared" si="15"/>
        <v>0</v>
      </c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28"/>
      <c r="AQ116" s="28"/>
      <c r="AR116" s="28"/>
      <c r="AS116" s="28"/>
      <c r="AT116" s="28"/>
      <c r="AU116" s="28"/>
      <c r="AV116" s="28"/>
      <c r="AW116" s="28"/>
      <c r="AX116" s="28"/>
      <c r="AY116" s="28"/>
      <c r="AZ116" s="28"/>
      <c r="BA116" s="28"/>
      <c r="BB116" s="28"/>
      <c r="BC116" s="28"/>
      <c r="BD116" s="28"/>
      <c r="BE116" s="28"/>
      <c r="BF116" s="28"/>
      <c r="BG116" s="28"/>
      <c r="BH116" s="28"/>
      <c r="BI116" s="28"/>
      <c r="BJ116" s="28"/>
      <c r="BK116" s="28"/>
      <c r="BL116" s="28"/>
      <c r="BM116" s="28"/>
      <c r="BN116" s="28"/>
      <c r="BO116" s="28"/>
      <c r="BP116" s="28"/>
      <c r="BQ116" s="28"/>
      <c r="BR116" s="28"/>
      <c r="BS116" s="28"/>
      <c r="BT116" s="28"/>
      <c r="BU116" s="28"/>
      <c r="BV116" s="28"/>
      <c r="BW116" s="28"/>
      <c r="BX116" s="28"/>
      <c r="BY116" s="28"/>
      <c r="BZ116" s="28"/>
      <c r="CA116" s="28"/>
      <c r="CB116" s="28"/>
      <c r="CC116" s="28"/>
      <c r="CD116" s="28"/>
      <c r="CE116" s="28"/>
      <c r="CF116" s="28"/>
      <c r="CG116" s="28"/>
      <c r="CH116" s="28"/>
      <c r="CI116" s="28"/>
      <c r="CJ116" s="28"/>
      <c r="CK116" s="28"/>
      <c r="CL116" s="28"/>
      <c r="CM116" s="28"/>
      <c r="CN116" s="28"/>
      <c r="CO116" s="28"/>
      <c r="CP116" s="28"/>
      <c r="CQ116" s="28"/>
      <c r="CR116" s="28"/>
      <c r="CS116" s="28"/>
      <c r="CT116" s="28"/>
      <c r="CU116" s="28"/>
      <c r="CV116" s="28"/>
      <c r="CW116" s="28"/>
      <c r="CX116" s="28"/>
      <c r="CY116" s="28"/>
      <c r="CZ116" s="28"/>
      <c r="DA116" s="28"/>
      <c r="DB116" s="28"/>
      <c r="DC116" s="28"/>
      <c r="DD116" s="28"/>
      <c r="DE116" s="28"/>
      <c r="DF116" s="28"/>
      <c r="DG116" s="28"/>
      <c r="DH116" s="28"/>
      <c r="DI116" s="28"/>
      <c r="DJ116" s="28"/>
      <c r="DK116" s="28"/>
      <c r="DL116" s="28"/>
      <c r="DM116" s="28"/>
      <c r="DN116" s="28"/>
      <c r="DO116" s="28"/>
      <c r="DP116" s="28"/>
      <c r="DQ116" s="28"/>
      <c r="DR116" s="28"/>
      <c r="DS116" s="28"/>
      <c r="DT116" s="28"/>
      <c r="DU116" s="28"/>
      <c r="DV116" s="28"/>
      <c r="DW116" s="28"/>
      <c r="DX116" s="28"/>
      <c r="DY116" s="28"/>
      <c r="DZ116" s="28"/>
      <c r="EA116" s="28"/>
      <c r="EB116" s="28"/>
      <c r="EC116" s="28"/>
      <c r="ED116" s="28"/>
      <c r="EE116" s="28"/>
      <c r="EF116" s="28"/>
      <c r="EG116" s="28"/>
      <c r="EH116" s="28"/>
      <c r="EI116" s="28"/>
      <c r="EJ116" s="28"/>
      <c r="EK116" s="28"/>
      <c r="EL116" s="28"/>
      <c r="EM116" s="28"/>
      <c r="EN116" s="28"/>
      <c r="EO116" s="28"/>
      <c r="EP116" s="28"/>
      <c r="EQ116" s="28"/>
      <c r="ER116" s="28"/>
      <c r="ES116" s="28"/>
      <c r="ET116" s="28"/>
      <c r="EU116" s="28"/>
      <c r="EV116" s="28"/>
      <c r="EW116" s="28"/>
      <c r="EX116" s="28"/>
      <c r="EY116" s="28"/>
      <c r="EZ116" s="28"/>
      <c r="FA116" s="28"/>
      <c r="FB116" s="28"/>
      <c r="FC116" s="28"/>
      <c r="FD116" s="28"/>
      <c r="FE116" s="28"/>
      <c r="FF116" s="28"/>
      <c r="FG116" s="28"/>
      <c r="FH116" s="28"/>
      <c r="FI116" s="28"/>
      <c r="FJ116" s="28"/>
      <c r="FK116" s="28"/>
      <c r="FL116" s="28"/>
      <c r="FM116" s="28"/>
      <c r="FN116" s="28"/>
      <c r="FO116" s="28"/>
      <c r="FP116" s="28"/>
      <c r="FQ116" s="28"/>
      <c r="FR116" s="28"/>
      <c r="FS116" s="28"/>
      <c r="FT116" s="28"/>
      <c r="FU116" s="28"/>
      <c r="FV116" s="28"/>
      <c r="FW116" s="28"/>
      <c r="FX116" s="28"/>
      <c r="FY116" s="28"/>
      <c r="FZ116" s="28"/>
      <c r="GA116" s="28"/>
      <c r="GB116" s="28"/>
      <c r="GC116" s="28"/>
      <c r="GD116" s="28"/>
      <c r="GE116" s="28"/>
    </row>
    <row r="117" spans="1:187" s="11" customFormat="1" ht="78.75">
      <c r="A117" s="35" t="s">
        <v>117</v>
      </c>
      <c r="B117" s="36">
        <f t="shared" si="16"/>
        <v>19744</v>
      </c>
      <c r="C117" s="36">
        <f t="shared" si="16"/>
        <v>19744</v>
      </c>
      <c r="D117" s="36">
        <f t="shared" si="16"/>
        <v>0</v>
      </c>
      <c r="E117" s="36">
        <v>0</v>
      </c>
      <c r="F117" s="36">
        <v>0</v>
      </c>
      <c r="G117" s="36">
        <f t="shared" si="17"/>
        <v>0</v>
      </c>
      <c r="H117" s="36"/>
      <c r="I117" s="36"/>
      <c r="J117" s="36">
        <f t="shared" si="9"/>
        <v>0</v>
      </c>
      <c r="K117" s="36">
        <v>19744</v>
      </c>
      <c r="L117" s="36">
        <v>19744</v>
      </c>
      <c r="M117" s="36">
        <f t="shared" si="10"/>
        <v>0</v>
      </c>
      <c r="N117" s="36"/>
      <c r="O117" s="36"/>
      <c r="P117" s="36">
        <f t="shared" si="11"/>
        <v>0</v>
      </c>
      <c r="Q117" s="36"/>
      <c r="R117" s="36"/>
      <c r="S117" s="36">
        <f t="shared" si="12"/>
        <v>0</v>
      </c>
      <c r="T117" s="36">
        <v>0</v>
      </c>
      <c r="U117" s="36">
        <v>0</v>
      </c>
      <c r="V117" s="36">
        <f t="shared" si="13"/>
        <v>0</v>
      </c>
      <c r="W117" s="36"/>
      <c r="X117" s="36"/>
      <c r="Y117" s="36">
        <f t="shared" si="14"/>
        <v>0</v>
      </c>
      <c r="Z117" s="36"/>
      <c r="AA117" s="36"/>
      <c r="AB117" s="36">
        <f t="shared" si="15"/>
        <v>0</v>
      </c>
    </row>
    <row r="118" spans="1:187" s="11" customFormat="1" ht="31.5">
      <c r="A118" s="38" t="s">
        <v>118</v>
      </c>
      <c r="B118" s="36">
        <f t="shared" si="16"/>
        <v>1593</v>
      </c>
      <c r="C118" s="36">
        <f t="shared" si="16"/>
        <v>1593</v>
      </c>
      <c r="D118" s="36">
        <f t="shared" si="16"/>
        <v>0</v>
      </c>
      <c r="E118" s="36">
        <v>0</v>
      </c>
      <c r="F118" s="36">
        <v>0</v>
      </c>
      <c r="G118" s="36">
        <f t="shared" si="17"/>
        <v>0</v>
      </c>
      <c r="H118" s="36">
        <v>0</v>
      </c>
      <c r="I118" s="36">
        <v>0</v>
      </c>
      <c r="J118" s="36">
        <f t="shared" si="9"/>
        <v>0</v>
      </c>
      <c r="K118" s="36">
        <v>0</v>
      </c>
      <c r="L118" s="36">
        <v>0</v>
      </c>
      <c r="M118" s="36">
        <f t="shared" si="10"/>
        <v>0</v>
      </c>
      <c r="N118" s="36"/>
      <c r="O118" s="36"/>
      <c r="P118" s="36">
        <f t="shared" si="11"/>
        <v>0</v>
      </c>
      <c r="Q118" s="36">
        <v>1593</v>
      </c>
      <c r="R118" s="36">
        <v>1593</v>
      </c>
      <c r="S118" s="36">
        <f t="shared" si="12"/>
        <v>0</v>
      </c>
      <c r="T118" s="36">
        <v>0</v>
      </c>
      <c r="U118" s="36">
        <v>0</v>
      </c>
      <c r="V118" s="36">
        <f t="shared" si="13"/>
        <v>0</v>
      </c>
      <c r="W118" s="36"/>
      <c r="X118" s="36"/>
      <c r="Y118" s="36">
        <f t="shared" si="14"/>
        <v>0</v>
      </c>
      <c r="Z118" s="36"/>
      <c r="AA118" s="36"/>
      <c r="AB118" s="36">
        <f t="shared" si="15"/>
        <v>0</v>
      </c>
    </row>
    <row r="119" spans="1:187" s="11" customFormat="1" ht="31.5">
      <c r="A119" s="38" t="s">
        <v>119</v>
      </c>
      <c r="B119" s="36">
        <f t="shared" si="16"/>
        <v>268</v>
      </c>
      <c r="C119" s="36">
        <f t="shared" si="16"/>
        <v>268</v>
      </c>
      <c r="D119" s="36">
        <f t="shared" si="16"/>
        <v>0</v>
      </c>
      <c r="E119" s="36">
        <v>0</v>
      </c>
      <c r="F119" s="36">
        <v>0</v>
      </c>
      <c r="G119" s="36">
        <f t="shared" si="17"/>
        <v>0</v>
      </c>
      <c r="H119" s="36">
        <v>0</v>
      </c>
      <c r="I119" s="36">
        <v>0</v>
      </c>
      <c r="J119" s="36">
        <f t="shared" si="9"/>
        <v>0</v>
      </c>
      <c r="K119" s="36">
        <v>0</v>
      </c>
      <c r="L119" s="36">
        <v>0</v>
      </c>
      <c r="M119" s="36">
        <f t="shared" si="10"/>
        <v>0</v>
      </c>
      <c r="N119" s="36"/>
      <c r="O119" s="36"/>
      <c r="P119" s="36">
        <f t="shared" si="11"/>
        <v>0</v>
      </c>
      <c r="Q119" s="36">
        <v>268</v>
      </c>
      <c r="R119" s="36">
        <v>268</v>
      </c>
      <c r="S119" s="36">
        <f t="shared" si="12"/>
        <v>0</v>
      </c>
      <c r="T119" s="36">
        <f>3019-3019</f>
        <v>0</v>
      </c>
      <c r="U119" s="36">
        <f>3019-3019</f>
        <v>0</v>
      </c>
      <c r="V119" s="36">
        <f t="shared" si="13"/>
        <v>0</v>
      </c>
      <c r="W119" s="36"/>
      <c r="X119" s="36"/>
      <c r="Y119" s="36">
        <f t="shared" si="14"/>
        <v>0</v>
      </c>
      <c r="Z119" s="36"/>
      <c r="AA119" s="36"/>
      <c r="AB119" s="36">
        <f t="shared" si="15"/>
        <v>0</v>
      </c>
    </row>
    <row r="120" spans="1:187" s="11" customFormat="1">
      <c r="A120" s="29" t="s">
        <v>47</v>
      </c>
      <c r="B120" s="30">
        <f t="shared" si="16"/>
        <v>3448176</v>
      </c>
      <c r="C120" s="30">
        <f t="shared" si="16"/>
        <v>3494201</v>
      </c>
      <c r="D120" s="30">
        <f t="shared" si="16"/>
        <v>46025</v>
      </c>
      <c r="E120" s="30">
        <f>SUM(E121,E147,E170,E144,E183)</f>
        <v>0</v>
      </c>
      <c r="F120" s="30">
        <f>SUM(F121,F147,F170,F144,F183)</f>
        <v>0</v>
      </c>
      <c r="G120" s="30">
        <f t="shared" si="17"/>
        <v>0</v>
      </c>
      <c r="H120" s="30">
        <f>SUM(H121,H147,H170,H144,H183)</f>
        <v>0</v>
      </c>
      <c r="I120" s="30">
        <f>SUM(I121,I147,I170,I144,I183)</f>
        <v>0</v>
      </c>
      <c r="J120" s="30">
        <f t="shared" si="9"/>
        <v>0</v>
      </c>
      <c r="K120" s="30">
        <f>SUM(K121,K147,K170,K144,K183)</f>
        <v>236219</v>
      </c>
      <c r="L120" s="30">
        <f>SUM(L121,L147,L170,L144,L183)</f>
        <v>283704</v>
      </c>
      <c r="M120" s="30">
        <f t="shared" si="10"/>
        <v>47485</v>
      </c>
      <c r="N120" s="30">
        <f>SUM(N121,N147,N170,N144,N183)</f>
        <v>24644</v>
      </c>
      <c r="O120" s="30">
        <f>SUM(O121,O147,O170,O144,O183)</f>
        <v>24644</v>
      </c>
      <c r="P120" s="30">
        <f t="shared" si="11"/>
        <v>0</v>
      </c>
      <c r="Q120" s="30">
        <f>SUM(Q121,Q147,Q170,Q144,Q183)</f>
        <v>184169</v>
      </c>
      <c r="R120" s="30">
        <f>SUM(R121,R147,R170,R144,R183)</f>
        <v>183380</v>
      </c>
      <c r="S120" s="30">
        <f t="shared" si="12"/>
        <v>-789</v>
      </c>
      <c r="T120" s="30">
        <f>SUM(T121,T147,T170,T144,T183)</f>
        <v>0</v>
      </c>
      <c r="U120" s="30">
        <f>SUM(U121,U147,U170,U144,U183)</f>
        <v>0</v>
      </c>
      <c r="V120" s="30">
        <f t="shared" si="13"/>
        <v>0</v>
      </c>
      <c r="W120" s="30">
        <f>SUM(W121,W147,W170,W144,W183)</f>
        <v>61255</v>
      </c>
      <c r="X120" s="30">
        <f>SUM(X121,X147,X170,X144,X183)</f>
        <v>84456</v>
      </c>
      <c r="Y120" s="30">
        <f t="shared" si="14"/>
        <v>23201</v>
      </c>
      <c r="Z120" s="30">
        <f>SUM(Z121,Z147,Z170,Z144,Z183)</f>
        <v>2941889</v>
      </c>
      <c r="AA120" s="30">
        <f>SUM(AA121,AA147,AA170,AA144,AA183)</f>
        <v>2918017</v>
      </c>
      <c r="AB120" s="30">
        <f t="shared" si="15"/>
        <v>-23872</v>
      </c>
    </row>
    <row r="121" spans="1:187" s="11" customFormat="1">
      <c r="A121" s="29" t="s">
        <v>96</v>
      </c>
      <c r="B121" s="30">
        <f t="shared" si="16"/>
        <v>124143</v>
      </c>
      <c r="C121" s="30">
        <f t="shared" si="16"/>
        <v>150681</v>
      </c>
      <c r="D121" s="30">
        <f t="shared" si="16"/>
        <v>26538</v>
      </c>
      <c r="E121" s="30">
        <f>SUM(E122:E143)</f>
        <v>0</v>
      </c>
      <c r="F121" s="30">
        <f>SUM(F122:F143)</f>
        <v>0</v>
      </c>
      <c r="G121" s="30">
        <f t="shared" si="17"/>
        <v>0</v>
      </c>
      <c r="H121" s="30">
        <f>SUM(H122:H143)</f>
        <v>0</v>
      </c>
      <c r="I121" s="30">
        <f>SUM(I122:I143)</f>
        <v>0</v>
      </c>
      <c r="J121" s="30">
        <f t="shared" si="9"/>
        <v>0</v>
      </c>
      <c r="K121" s="30">
        <f>SUM(K122:K143)</f>
        <v>38676</v>
      </c>
      <c r="L121" s="30">
        <f>SUM(L122:L143)</f>
        <v>47885</v>
      </c>
      <c r="M121" s="30">
        <f t="shared" si="10"/>
        <v>9209</v>
      </c>
      <c r="N121" s="30">
        <f>SUM(N122:N143)</f>
        <v>7250</v>
      </c>
      <c r="O121" s="30">
        <f>SUM(O122:O143)</f>
        <v>7250</v>
      </c>
      <c r="P121" s="30">
        <f t="shared" si="11"/>
        <v>0</v>
      </c>
      <c r="Q121" s="30">
        <f>SUM(Q122:Q143)</f>
        <v>78217</v>
      </c>
      <c r="R121" s="30">
        <f>SUM(R122:R143)</f>
        <v>78217</v>
      </c>
      <c r="S121" s="30">
        <f t="shared" si="12"/>
        <v>0</v>
      </c>
      <c r="T121" s="30">
        <f>SUM(T122:T143)</f>
        <v>0</v>
      </c>
      <c r="U121" s="30">
        <f>SUM(U122:U143)</f>
        <v>0</v>
      </c>
      <c r="V121" s="30">
        <f t="shared" si="13"/>
        <v>0</v>
      </c>
      <c r="W121" s="30">
        <f>SUM(W122:W143)</f>
        <v>0</v>
      </c>
      <c r="X121" s="30">
        <f>SUM(X122:X143)</f>
        <v>17329</v>
      </c>
      <c r="Y121" s="30">
        <f t="shared" si="14"/>
        <v>17329</v>
      </c>
      <c r="Z121" s="30">
        <f>SUM(Z122:Z143)</f>
        <v>0</v>
      </c>
      <c r="AA121" s="30">
        <f>SUM(AA122:AA143)</f>
        <v>0</v>
      </c>
      <c r="AB121" s="30">
        <f t="shared" si="15"/>
        <v>0</v>
      </c>
    </row>
    <row r="122" spans="1:187" s="28" customFormat="1" ht="47.25">
      <c r="A122" s="35" t="s">
        <v>120</v>
      </c>
      <c r="B122" s="36">
        <f t="shared" si="16"/>
        <v>13814</v>
      </c>
      <c r="C122" s="36">
        <f t="shared" si="16"/>
        <v>13814</v>
      </c>
      <c r="D122" s="36">
        <f t="shared" si="16"/>
        <v>0</v>
      </c>
      <c r="E122" s="36">
        <v>0</v>
      </c>
      <c r="F122" s="36">
        <v>0</v>
      </c>
      <c r="G122" s="36">
        <f>F122-E122</f>
        <v>0</v>
      </c>
      <c r="H122" s="36"/>
      <c r="I122" s="36"/>
      <c r="J122" s="36">
        <f t="shared" si="9"/>
        <v>0</v>
      </c>
      <c r="K122" s="36">
        <v>5000</v>
      </c>
      <c r="L122" s="36">
        <v>5000</v>
      </c>
      <c r="M122" s="36">
        <f t="shared" si="10"/>
        <v>0</v>
      </c>
      <c r="N122" s="36"/>
      <c r="O122" s="36"/>
      <c r="P122" s="36">
        <f t="shared" si="11"/>
        <v>0</v>
      </c>
      <c r="Q122" s="36">
        <v>8814</v>
      </c>
      <c r="R122" s="36">
        <v>8814</v>
      </c>
      <c r="S122" s="36">
        <f t="shared" si="12"/>
        <v>0</v>
      </c>
      <c r="T122" s="36">
        <v>0</v>
      </c>
      <c r="U122" s="36">
        <v>0</v>
      </c>
      <c r="V122" s="36">
        <f t="shared" si="13"/>
        <v>0</v>
      </c>
      <c r="W122" s="36"/>
      <c r="X122" s="36"/>
      <c r="Y122" s="36">
        <f t="shared" si="14"/>
        <v>0</v>
      </c>
      <c r="Z122" s="36"/>
      <c r="AA122" s="36"/>
      <c r="AB122" s="36">
        <f t="shared" si="15"/>
        <v>0</v>
      </c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D122" s="11"/>
      <c r="BE122" s="11"/>
      <c r="BF122" s="11"/>
      <c r="BG122" s="11"/>
      <c r="BH122" s="11"/>
      <c r="BI122" s="11"/>
      <c r="BJ122" s="11"/>
      <c r="BK122" s="11"/>
      <c r="BL122" s="11"/>
      <c r="BM122" s="11"/>
      <c r="BN122" s="11"/>
      <c r="BO122" s="11"/>
      <c r="BP122" s="11"/>
      <c r="BQ122" s="11"/>
      <c r="BR122" s="11"/>
      <c r="BS122" s="11"/>
      <c r="BT122" s="11"/>
      <c r="BU122" s="11"/>
      <c r="BV122" s="11"/>
      <c r="BW122" s="11"/>
      <c r="BX122" s="11"/>
      <c r="BY122" s="11"/>
      <c r="BZ122" s="11"/>
      <c r="CA122" s="11"/>
      <c r="CB122" s="11"/>
      <c r="CC122" s="11"/>
      <c r="CD122" s="11"/>
      <c r="CE122" s="11"/>
      <c r="CF122" s="11"/>
      <c r="CG122" s="11"/>
      <c r="CH122" s="11"/>
      <c r="CI122" s="11"/>
      <c r="CJ122" s="11"/>
      <c r="CK122" s="11"/>
      <c r="CL122" s="11"/>
      <c r="CM122" s="11"/>
      <c r="CN122" s="11"/>
      <c r="CO122" s="11"/>
      <c r="CP122" s="11"/>
      <c r="CQ122" s="11"/>
      <c r="CR122" s="11"/>
      <c r="CS122" s="11"/>
      <c r="CT122" s="11"/>
      <c r="CU122" s="11"/>
      <c r="CV122" s="11"/>
      <c r="CW122" s="11"/>
      <c r="CX122" s="11"/>
      <c r="CY122" s="11"/>
      <c r="CZ122" s="11"/>
      <c r="DA122" s="11"/>
      <c r="DB122" s="11"/>
      <c r="DC122" s="11"/>
      <c r="DD122" s="11"/>
      <c r="DE122" s="11"/>
      <c r="DF122" s="11"/>
      <c r="DG122" s="11"/>
      <c r="DH122" s="11"/>
      <c r="DI122" s="11"/>
      <c r="DJ122" s="11"/>
      <c r="DK122" s="11"/>
      <c r="DL122" s="11"/>
      <c r="DM122" s="11"/>
      <c r="DN122" s="11"/>
      <c r="DO122" s="11"/>
      <c r="DP122" s="11"/>
      <c r="DQ122" s="11"/>
      <c r="DR122" s="11"/>
      <c r="DS122" s="11"/>
      <c r="DT122" s="11"/>
      <c r="DU122" s="11"/>
      <c r="DV122" s="11"/>
      <c r="DW122" s="11"/>
      <c r="DX122" s="11"/>
      <c r="DY122" s="11"/>
      <c r="DZ122" s="11"/>
      <c r="EA122" s="11"/>
      <c r="EB122" s="11"/>
      <c r="EC122" s="11"/>
      <c r="ED122" s="11"/>
      <c r="EE122" s="11"/>
      <c r="EF122" s="11"/>
      <c r="EG122" s="11"/>
      <c r="EH122" s="11"/>
      <c r="EI122" s="11"/>
      <c r="EJ122" s="11"/>
      <c r="EK122" s="11"/>
      <c r="EL122" s="11"/>
      <c r="EM122" s="11"/>
      <c r="EN122" s="11"/>
      <c r="EO122" s="11"/>
      <c r="EP122" s="11"/>
      <c r="EQ122" s="11"/>
      <c r="ER122" s="11"/>
      <c r="ES122" s="11"/>
      <c r="ET122" s="11"/>
      <c r="EU122" s="11"/>
      <c r="EV122" s="11"/>
      <c r="EW122" s="11"/>
      <c r="EX122" s="11"/>
      <c r="EY122" s="11"/>
      <c r="EZ122" s="11"/>
      <c r="FA122" s="11"/>
      <c r="FB122" s="11"/>
      <c r="FC122" s="11"/>
      <c r="FD122" s="11"/>
      <c r="FE122" s="11"/>
      <c r="FF122" s="11"/>
      <c r="FG122" s="11"/>
      <c r="FH122" s="11"/>
      <c r="FI122" s="11"/>
      <c r="FJ122" s="11"/>
      <c r="FK122" s="11"/>
      <c r="FL122" s="11"/>
      <c r="FM122" s="11"/>
      <c r="FN122" s="11"/>
      <c r="FO122" s="11"/>
      <c r="FP122" s="11"/>
      <c r="FQ122" s="11"/>
      <c r="FR122" s="11"/>
      <c r="FS122" s="11"/>
      <c r="FT122" s="11"/>
      <c r="FU122" s="11"/>
      <c r="FV122" s="11"/>
      <c r="FW122" s="11"/>
      <c r="FX122" s="11"/>
      <c r="FY122" s="11"/>
      <c r="FZ122" s="11"/>
      <c r="GA122" s="11"/>
      <c r="GB122" s="11"/>
      <c r="GC122" s="11"/>
      <c r="GD122" s="11"/>
      <c r="GE122" s="11"/>
    </row>
    <row r="123" spans="1:187" s="28" customFormat="1" ht="47.25">
      <c r="A123" s="35" t="s">
        <v>121</v>
      </c>
      <c r="B123" s="36">
        <f t="shared" si="16"/>
        <v>0</v>
      </c>
      <c r="C123" s="36">
        <f t="shared" si="16"/>
        <v>17329</v>
      </c>
      <c r="D123" s="36">
        <f t="shared" si="16"/>
        <v>17329</v>
      </c>
      <c r="E123" s="36">
        <v>0</v>
      </c>
      <c r="F123" s="36"/>
      <c r="G123" s="36">
        <f>F123-E123</f>
        <v>0</v>
      </c>
      <c r="H123" s="36"/>
      <c r="I123" s="36"/>
      <c r="J123" s="36">
        <f>I123-H123</f>
        <v>0</v>
      </c>
      <c r="K123" s="36"/>
      <c r="L123" s="36"/>
      <c r="M123" s="36">
        <f>L123-K123</f>
        <v>0</v>
      </c>
      <c r="N123" s="36"/>
      <c r="O123" s="36"/>
      <c r="P123" s="36">
        <f>O123-N123</f>
        <v>0</v>
      </c>
      <c r="Q123" s="36"/>
      <c r="R123" s="36"/>
      <c r="S123" s="36">
        <f>R123-Q123</f>
        <v>0</v>
      </c>
      <c r="T123" s="36">
        <v>0</v>
      </c>
      <c r="U123" s="36"/>
      <c r="V123" s="36">
        <f>U123-T123</f>
        <v>0</v>
      </c>
      <c r="W123" s="36"/>
      <c r="X123" s="36">
        <f>14093+3236</f>
        <v>17329</v>
      </c>
      <c r="Y123" s="36">
        <f>X123-W123</f>
        <v>17329</v>
      </c>
      <c r="Z123" s="36"/>
      <c r="AA123" s="36"/>
      <c r="AB123" s="36">
        <f>AA123-Z123</f>
        <v>0</v>
      </c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  <c r="AY123" s="11"/>
      <c r="AZ123" s="11"/>
      <c r="BA123" s="11"/>
      <c r="BB123" s="11"/>
      <c r="BC123" s="11"/>
      <c r="BD123" s="11"/>
      <c r="BE123" s="11"/>
      <c r="BF123" s="11"/>
      <c r="BG123" s="11"/>
      <c r="BH123" s="11"/>
      <c r="BI123" s="11"/>
      <c r="BJ123" s="11"/>
      <c r="BK123" s="11"/>
      <c r="BL123" s="11"/>
      <c r="BM123" s="11"/>
      <c r="BN123" s="11"/>
      <c r="BO123" s="11"/>
      <c r="BP123" s="11"/>
      <c r="BQ123" s="11"/>
      <c r="BR123" s="11"/>
      <c r="BS123" s="11"/>
      <c r="BT123" s="11"/>
      <c r="BU123" s="11"/>
      <c r="BV123" s="11"/>
      <c r="BW123" s="11"/>
      <c r="BX123" s="11"/>
      <c r="BY123" s="11"/>
      <c r="BZ123" s="11"/>
      <c r="CA123" s="11"/>
      <c r="CB123" s="11"/>
      <c r="CC123" s="11"/>
      <c r="CD123" s="11"/>
      <c r="CE123" s="11"/>
      <c r="CF123" s="11"/>
      <c r="CG123" s="11"/>
      <c r="CH123" s="11"/>
      <c r="CI123" s="11"/>
      <c r="CJ123" s="11"/>
      <c r="CK123" s="11"/>
      <c r="CL123" s="11"/>
      <c r="CM123" s="11"/>
      <c r="CN123" s="11"/>
      <c r="CO123" s="11"/>
      <c r="CP123" s="11"/>
      <c r="CQ123" s="11"/>
      <c r="CR123" s="11"/>
      <c r="CS123" s="11"/>
      <c r="CT123" s="11"/>
      <c r="CU123" s="11"/>
      <c r="CV123" s="11"/>
      <c r="CW123" s="11"/>
      <c r="CX123" s="11"/>
      <c r="CY123" s="11"/>
      <c r="CZ123" s="11"/>
      <c r="DA123" s="11"/>
      <c r="DB123" s="11"/>
      <c r="DC123" s="11"/>
      <c r="DD123" s="11"/>
      <c r="DE123" s="11"/>
      <c r="DF123" s="11"/>
      <c r="DG123" s="11"/>
      <c r="DH123" s="11"/>
      <c r="DI123" s="11"/>
      <c r="DJ123" s="11"/>
      <c r="DK123" s="11"/>
      <c r="DL123" s="11"/>
      <c r="DM123" s="11"/>
      <c r="DN123" s="11"/>
      <c r="DO123" s="11"/>
      <c r="DP123" s="11"/>
      <c r="DQ123" s="11"/>
      <c r="DR123" s="11"/>
      <c r="DS123" s="11"/>
      <c r="DT123" s="11"/>
      <c r="DU123" s="11"/>
      <c r="DV123" s="11"/>
      <c r="DW123" s="11"/>
      <c r="DX123" s="11"/>
      <c r="DY123" s="11"/>
      <c r="DZ123" s="11"/>
      <c r="EA123" s="11"/>
      <c r="EB123" s="11"/>
      <c r="EC123" s="11"/>
      <c r="ED123" s="11"/>
      <c r="EE123" s="11"/>
      <c r="EF123" s="11"/>
      <c r="EG123" s="11"/>
      <c r="EH123" s="11"/>
      <c r="EI123" s="11"/>
      <c r="EJ123" s="11"/>
      <c r="EK123" s="11"/>
      <c r="EL123" s="11"/>
      <c r="EM123" s="11"/>
      <c r="EN123" s="11"/>
      <c r="EO123" s="11"/>
      <c r="EP123" s="11"/>
      <c r="EQ123" s="11"/>
      <c r="ER123" s="11"/>
      <c r="ES123" s="11"/>
      <c r="ET123" s="11"/>
      <c r="EU123" s="11"/>
      <c r="EV123" s="11"/>
      <c r="EW123" s="11"/>
      <c r="EX123" s="11"/>
      <c r="EY123" s="11"/>
      <c r="EZ123" s="11"/>
      <c r="FA123" s="11"/>
      <c r="FB123" s="11"/>
      <c r="FC123" s="11"/>
      <c r="FD123" s="11"/>
      <c r="FE123" s="11"/>
      <c r="FF123" s="11"/>
      <c r="FG123" s="11"/>
      <c r="FH123" s="11"/>
      <c r="FI123" s="11"/>
      <c r="FJ123" s="11"/>
      <c r="FK123" s="11"/>
      <c r="FL123" s="11"/>
      <c r="FM123" s="11"/>
      <c r="FN123" s="11"/>
      <c r="FO123" s="11"/>
      <c r="FP123" s="11"/>
      <c r="FQ123" s="11"/>
      <c r="FR123" s="11"/>
      <c r="FS123" s="11"/>
      <c r="FT123" s="11"/>
      <c r="FU123" s="11"/>
      <c r="FV123" s="11"/>
      <c r="FW123" s="11"/>
      <c r="FX123" s="11"/>
      <c r="FY123" s="11"/>
      <c r="FZ123" s="11"/>
      <c r="GA123" s="11"/>
      <c r="GB123" s="11"/>
      <c r="GC123" s="11"/>
      <c r="GD123" s="11"/>
      <c r="GE123" s="11"/>
    </row>
    <row r="124" spans="1:187" s="28" customFormat="1" ht="47.25">
      <c r="A124" s="35" t="s">
        <v>122</v>
      </c>
      <c r="B124" s="36">
        <f t="shared" si="16"/>
        <v>19999</v>
      </c>
      <c r="C124" s="36">
        <f t="shared" si="16"/>
        <v>19999</v>
      </c>
      <c r="D124" s="36">
        <f t="shared" si="16"/>
        <v>0</v>
      </c>
      <c r="E124" s="36">
        <v>0</v>
      </c>
      <c r="F124" s="36">
        <v>0</v>
      </c>
      <c r="G124" s="36">
        <f t="shared" si="17"/>
        <v>0</v>
      </c>
      <c r="H124" s="36"/>
      <c r="I124" s="36"/>
      <c r="J124" s="36">
        <f t="shared" si="9"/>
        <v>0</v>
      </c>
      <c r="K124" s="36">
        <v>0</v>
      </c>
      <c r="L124" s="36">
        <v>0</v>
      </c>
      <c r="M124" s="36">
        <f t="shared" si="10"/>
        <v>0</v>
      </c>
      <c r="N124" s="36"/>
      <c r="O124" s="36"/>
      <c r="P124" s="36">
        <f t="shared" si="11"/>
        <v>0</v>
      </c>
      <c r="Q124" s="36">
        <v>19999</v>
      </c>
      <c r="R124" s="36">
        <v>19999</v>
      </c>
      <c r="S124" s="36">
        <f t="shared" si="12"/>
        <v>0</v>
      </c>
      <c r="T124" s="36">
        <v>0</v>
      </c>
      <c r="U124" s="36">
        <v>0</v>
      </c>
      <c r="V124" s="36">
        <f t="shared" si="13"/>
        <v>0</v>
      </c>
      <c r="W124" s="36"/>
      <c r="X124" s="36"/>
      <c r="Y124" s="36">
        <f t="shared" si="14"/>
        <v>0</v>
      </c>
      <c r="Z124" s="36"/>
      <c r="AA124" s="36"/>
      <c r="AB124" s="36">
        <f t="shared" si="15"/>
        <v>0</v>
      </c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/>
      <c r="AY124" s="11"/>
      <c r="AZ124" s="11"/>
      <c r="BA124" s="11"/>
      <c r="BB124" s="11"/>
      <c r="BC124" s="11"/>
      <c r="BD124" s="11"/>
      <c r="BE124" s="11"/>
      <c r="BF124" s="11"/>
      <c r="BG124" s="11"/>
      <c r="BH124" s="11"/>
      <c r="BI124" s="11"/>
      <c r="BJ124" s="11"/>
      <c r="BK124" s="11"/>
      <c r="BL124" s="11"/>
      <c r="BM124" s="11"/>
      <c r="BN124" s="11"/>
      <c r="BO124" s="11"/>
      <c r="BP124" s="11"/>
      <c r="BQ124" s="11"/>
      <c r="BR124" s="11"/>
      <c r="BS124" s="11"/>
      <c r="BT124" s="11"/>
      <c r="BU124" s="11"/>
      <c r="BV124" s="11"/>
      <c r="BW124" s="11"/>
      <c r="BX124" s="11"/>
      <c r="BY124" s="11"/>
      <c r="BZ124" s="11"/>
      <c r="CA124" s="11"/>
      <c r="CB124" s="11"/>
      <c r="CC124" s="11"/>
      <c r="CD124" s="11"/>
      <c r="CE124" s="11"/>
      <c r="CF124" s="11"/>
      <c r="CG124" s="11"/>
      <c r="CH124" s="11"/>
      <c r="CI124" s="11"/>
      <c r="CJ124" s="11"/>
      <c r="CK124" s="11"/>
      <c r="CL124" s="11"/>
      <c r="CM124" s="11"/>
      <c r="CN124" s="11"/>
      <c r="CO124" s="11"/>
      <c r="CP124" s="11"/>
      <c r="CQ124" s="11"/>
      <c r="CR124" s="11"/>
      <c r="CS124" s="11"/>
      <c r="CT124" s="11"/>
      <c r="CU124" s="11"/>
      <c r="CV124" s="11"/>
      <c r="CW124" s="11"/>
      <c r="CX124" s="11"/>
      <c r="CY124" s="11"/>
      <c r="CZ124" s="11"/>
      <c r="DA124" s="11"/>
      <c r="DB124" s="11"/>
      <c r="DC124" s="11"/>
      <c r="DD124" s="11"/>
      <c r="DE124" s="11"/>
      <c r="DF124" s="11"/>
      <c r="DG124" s="11"/>
      <c r="DH124" s="11"/>
      <c r="DI124" s="11"/>
      <c r="DJ124" s="11"/>
      <c r="DK124" s="11"/>
      <c r="DL124" s="11"/>
      <c r="DM124" s="11"/>
      <c r="DN124" s="11"/>
      <c r="DO124" s="11"/>
      <c r="DP124" s="11"/>
      <c r="DQ124" s="11"/>
      <c r="DR124" s="11"/>
      <c r="DS124" s="11"/>
      <c r="DT124" s="11"/>
      <c r="DU124" s="11"/>
      <c r="DV124" s="11"/>
      <c r="DW124" s="11"/>
      <c r="DX124" s="11"/>
      <c r="DY124" s="11"/>
      <c r="DZ124" s="11"/>
      <c r="EA124" s="11"/>
      <c r="EB124" s="11"/>
      <c r="EC124" s="11"/>
      <c r="ED124" s="11"/>
      <c r="EE124" s="11"/>
      <c r="EF124" s="11"/>
      <c r="EG124" s="11"/>
      <c r="EH124" s="11"/>
      <c r="EI124" s="11"/>
      <c r="EJ124" s="11"/>
      <c r="EK124" s="11"/>
      <c r="EL124" s="11"/>
      <c r="EM124" s="11"/>
      <c r="EN124" s="11"/>
      <c r="EO124" s="11"/>
      <c r="EP124" s="11"/>
      <c r="EQ124" s="11"/>
      <c r="ER124" s="11"/>
      <c r="ES124" s="11"/>
      <c r="ET124" s="11"/>
      <c r="EU124" s="11"/>
      <c r="EV124" s="11"/>
      <c r="EW124" s="11"/>
      <c r="EX124" s="11"/>
      <c r="EY124" s="11"/>
      <c r="EZ124" s="11"/>
      <c r="FA124" s="11"/>
      <c r="FB124" s="11"/>
      <c r="FC124" s="11"/>
      <c r="FD124" s="11"/>
      <c r="FE124" s="11"/>
      <c r="FF124" s="11"/>
      <c r="FG124" s="11"/>
      <c r="FH124" s="11"/>
      <c r="FI124" s="11"/>
      <c r="FJ124" s="11"/>
      <c r="FK124" s="11"/>
      <c r="FL124" s="11"/>
      <c r="FM124" s="11"/>
      <c r="FN124" s="11"/>
      <c r="FO124" s="11"/>
      <c r="FP124" s="11"/>
      <c r="FQ124" s="11"/>
      <c r="FR124" s="11"/>
      <c r="FS124" s="11"/>
      <c r="FT124" s="11"/>
      <c r="FU124" s="11"/>
      <c r="FV124" s="11"/>
      <c r="FW124" s="11"/>
      <c r="FX124" s="11"/>
      <c r="FY124" s="11"/>
      <c r="FZ124" s="11"/>
      <c r="GA124" s="11"/>
      <c r="GB124" s="11"/>
      <c r="GC124" s="11"/>
      <c r="GD124" s="11"/>
      <c r="GE124" s="11"/>
    </row>
    <row r="125" spans="1:187" s="28" customFormat="1" ht="31.5">
      <c r="A125" s="35" t="s">
        <v>123</v>
      </c>
      <c r="B125" s="36">
        <f t="shared" si="16"/>
        <v>3280</v>
      </c>
      <c r="C125" s="36">
        <f t="shared" si="16"/>
        <v>3280</v>
      </c>
      <c r="D125" s="36">
        <f t="shared" si="16"/>
        <v>0</v>
      </c>
      <c r="E125" s="36">
        <v>0</v>
      </c>
      <c r="F125" s="36">
        <v>0</v>
      </c>
      <c r="G125" s="36">
        <f t="shared" si="17"/>
        <v>0</v>
      </c>
      <c r="H125" s="36"/>
      <c r="I125" s="36"/>
      <c r="J125" s="36">
        <f t="shared" si="9"/>
        <v>0</v>
      </c>
      <c r="K125" s="36">
        <v>0</v>
      </c>
      <c r="L125" s="36">
        <v>0</v>
      </c>
      <c r="M125" s="36">
        <f t="shared" si="10"/>
        <v>0</v>
      </c>
      <c r="N125" s="36"/>
      <c r="O125" s="36"/>
      <c r="P125" s="36">
        <f t="shared" si="11"/>
        <v>0</v>
      </c>
      <c r="Q125" s="36">
        <v>3280</v>
      </c>
      <c r="R125" s="36">
        <v>3280</v>
      </c>
      <c r="S125" s="36">
        <f t="shared" si="12"/>
        <v>0</v>
      </c>
      <c r="T125" s="36">
        <v>0</v>
      </c>
      <c r="U125" s="36">
        <v>0</v>
      </c>
      <c r="V125" s="36">
        <f t="shared" si="13"/>
        <v>0</v>
      </c>
      <c r="W125" s="36"/>
      <c r="X125" s="36"/>
      <c r="Y125" s="36">
        <f t="shared" si="14"/>
        <v>0</v>
      </c>
      <c r="Z125" s="36"/>
      <c r="AA125" s="36"/>
      <c r="AB125" s="36">
        <f t="shared" si="15"/>
        <v>0</v>
      </c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  <c r="AZ125" s="11"/>
      <c r="BA125" s="11"/>
      <c r="BB125" s="11"/>
      <c r="BC125" s="11"/>
      <c r="BD125" s="11"/>
      <c r="BE125" s="11"/>
      <c r="BF125" s="11"/>
      <c r="BG125" s="11"/>
      <c r="BH125" s="11"/>
      <c r="BI125" s="11"/>
      <c r="BJ125" s="11"/>
      <c r="BK125" s="11"/>
      <c r="BL125" s="11"/>
      <c r="BM125" s="11"/>
      <c r="BN125" s="11"/>
      <c r="BO125" s="11"/>
      <c r="BP125" s="11"/>
      <c r="BQ125" s="11"/>
      <c r="BR125" s="11"/>
      <c r="BS125" s="11"/>
      <c r="BT125" s="11"/>
      <c r="BU125" s="11"/>
      <c r="BV125" s="11"/>
      <c r="BW125" s="11"/>
      <c r="BX125" s="11"/>
      <c r="BY125" s="11"/>
      <c r="BZ125" s="11"/>
      <c r="CA125" s="11"/>
      <c r="CB125" s="11"/>
      <c r="CC125" s="11"/>
      <c r="CD125" s="11"/>
      <c r="CE125" s="11"/>
      <c r="CF125" s="11"/>
      <c r="CG125" s="11"/>
      <c r="CH125" s="11"/>
      <c r="CI125" s="11"/>
      <c r="CJ125" s="11"/>
      <c r="CK125" s="11"/>
      <c r="CL125" s="11"/>
      <c r="CM125" s="11"/>
      <c r="CN125" s="11"/>
      <c r="CO125" s="11"/>
      <c r="CP125" s="11"/>
      <c r="CQ125" s="11"/>
      <c r="CR125" s="11"/>
      <c r="CS125" s="11"/>
      <c r="CT125" s="11"/>
      <c r="CU125" s="11"/>
      <c r="CV125" s="11"/>
      <c r="CW125" s="11"/>
      <c r="CX125" s="11"/>
      <c r="CY125" s="11"/>
      <c r="CZ125" s="11"/>
      <c r="DA125" s="11"/>
      <c r="DB125" s="11"/>
      <c r="DC125" s="11"/>
      <c r="DD125" s="11"/>
      <c r="DE125" s="11"/>
      <c r="DF125" s="11"/>
      <c r="DG125" s="11"/>
      <c r="DH125" s="11"/>
      <c r="DI125" s="11"/>
      <c r="DJ125" s="11"/>
      <c r="DK125" s="11"/>
      <c r="DL125" s="11"/>
      <c r="DM125" s="11"/>
      <c r="DN125" s="11"/>
      <c r="DO125" s="11"/>
      <c r="DP125" s="11"/>
      <c r="DQ125" s="11"/>
      <c r="DR125" s="11"/>
      <c r="DS125" s="11"/>
      <c r="DT125" s="11"/>
      <c r="DU125" s="11"/>
      <c r="DV125" s="11"/>
      <c r="DW125" s="11"/>
      <c r="DX125" s="11"/>
      <c r="DY125" s="11"/>
      <c r="DZ125" s="11"/>
      <c r="EA125" s="11"/>
      <c r="EB125" s="11"/>
      <c r="EC125" s="11"/>
      <c r="ED125" s="11"/>
      <c r="EE125" s="11"/>
      <c r="EF125" s="11"/>
      <c r="EG125" s="11"/>
      <c r="EH125" s="11"/>
      <c r="EI125" s="11"/>
      <c r="EJ125" s="11"/>
      <c r="EK125" s="11"/>
      <c r="EL125" s="11"/>
      <c r="EM125" s="11"/>
      <c r="EN125" s="11"/>
      <c r="EO125" s="11"/>
      <c r="EP125" s="11"/>
      <c r="EQ125" s="11"/>
      <c r="ER125" s="11"/>
      <c r="ES125" s="11"/>
      <c r="ET125" s="11"/>
      <c r="EU125" s="11"/>
      <c r="EV125" s="11"/>
      <c r="EW125" s="11"/>
      <c r="EX125" s="11"/>
      <c r="EY125" s="11"/>
      <c r="EZ125" s="11"/>
      <c r="FA125" s="11"/>
      <c r="FB125" s="11"/>
      <c r="FC125" s="11"/>
      <c r="FD125" s="11"/>
      <c r="FE125" s="11"/>
      <c r="FF125" s="11"/>
      <c r="FG125" s="11"/>
      <c r="FH125" s="11"/>
      <c r="FI125" s="11"/>
      <c r="FJ125" s="11"/>
      <c r="FK125" s="11"/>
      <c r="FL125" s="11"/>
      <c r="FM125" s="11"/>
      <c r="FN125" s="11"/>
      <c r="FO125" s="11"/>
      <c r="FP125" s="11"/>
      <c r="FQ125" s="11"/>
      <c r="FR125" s="11"/>
      <c r="FS125" s="11"/>
      <c r="FT125" s="11"/>
      <c r="FU125" s="11"/>
      <c r="FV125" s="11"/>
      <c r="FW125" s="11"/>
      <c r="FX125" s="11"/>
      <c r="FY125" s="11"/>
      <c r="FZ125" s="11"/>
      <c r="GA125" s="11"/>
      <c r="GB125" s="11"/>
      <c r="GC125" s="11"/>
      <c r="GD125" s="11"/>
      <c r="GE125" s="11"/>
    </row>
    <row r="126" spans="1:187" s="28" customFormat="1" ht="47.25">
      <c r="A126" s="35" t="s">
        <v>124</v>
      </c>
      <c r="B126" s="36">
        <f t="shared" si="16"/>
        <v>24632</v>
      </c>
      <c r="C126" s="36">
        <f t="shared" si="16"/>
        <v>24632</v>
      </c>
      <c r="D126" s="36">
        <f t="shared" si="16"/>
        <v>0</v>
      </c>
      <c r="E126" s="36">
        <v>0</v>
      </c>
      <c r="F126" s="36">
        <v>0</v>
      </c>
      <c r="G126" s="36">
        <f t="shared" si="17"/>
        <v>0</v>
      </c>
      <c r="H126" s="36"/>
      <c r="I126" s="36"/>
      <c r="J126" s="36">
        <f t="shared" si="9"/>
        <v>0</v>
      </c>
      <c r="K126" s="36">
        <v>0</v>
      </c>
      <c r="L126" s="36">
        <v>0</v>
      </c>
      <c r="M126" s="36">
        <f t="shared" si="10"/>
        <v>0</v>
      </c>
      <c r="N126" s="36"/>
      <c r="O126" s="36"/>
      <c r="P126" s="36">
        <f t="shared" si="11"/>
        <v>0</v>
      </c>
      <c r="Q126" s="36">
        <v>24632</v>
      </c>
      <c r="R126" s="36">
        <v>24632</v>
      </c>
      <c r="S126" s="36">
        <f t="shared" si="12"/>
        <v>0</v>
      </c>
      <c r="T126" s="36">
        <v>0</v>
      </c>
      <c r="U126" s="36">
        <v>0</v>
      </c>
      <c r="V126" s="36">
        <f t="shared" si="13"/>
        <v>0</v>
      </c>
      <c r="W126" s="36"/>
      <c r="X126" s="36"/>
      <c r="Y126" s="36">
        <f t="shared" si="14"/>
        <v>0</v>
      </c>
      <c r="Z126" s="36"/>
      <c r="AA126" s="36"/>
      <c r="AB126" s="36">
        <f t="shared" si="15"/>
        <v>0</v>
      </c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1"/>
      <c r="AY126" s="11"/>
      <c r="AZ126" s="11"/>
      <c r="BA126" s="11"/>
      <c r="BB126" s="11"/>
      <c r="BC126" s="11"/>
      <c r="BD126" s="11"/>
      <c r="BE126" s="11"/>
      <c r="BF126" s="11"/>
      <c r="BG126" s="11"/>
      <c r="BH126" s="11"/>
      <c r="BI126" s="11"/>
      <c r="BJ126" s="11"/>
      <c r="BK126" s="11"/>
      <c r="BL126" s="11"/>
      <c r="BM126" s="11"/>
      <c r="BN126" s="11"/>
      <c r="BO126" s="11"/>
      <c r="BP126" s="11"/>
      <c r="BQ126" s="11"/>
      <c r="BR126" s="11"/>
      <c r="BS126" s="11"/>
      <c r="BT126" s="11"/>
      <c r="BU126" s="11"/>
      <c r="BV126" s="11"/>
      <c r="BW126" s="11"/>
      <c r="BX126" s="11"/>
      <c r="BY126" s="11"/>
      <c r="BZ126" s="11"/>
      <c r="CA126" s="11"/>
      <c r="CB126" s="11"/>
      <c r="CC126" s="11"/>
      <c r="CD126" s="11"/>
      <c r="CE126" s="11"/>
      <c r="CF126" s="11"/>
      <c r="CG126" s="11"/>
      <c r="CH126" s="11"/>
      <c r="CI126" s="11"/>
      <c r="CJ126" s="11"/>
      <c r="CK126" s="11"/>
      <c r="CL126" s="11"/>
      <c r="CM126" s="11"/>
      <c r="CN126" s="11"/>
      <c r="CO126" s="11"/>
      <c r="CP126" s="11"/>
      <c r="CQ126" s="11"/>
      <c r="CR126" s="11"/>
      <c r="CS126" s="11"/>
      <c r="CT126" s="11"/>
      <c r="CU126" s="11"/>
      <c r="CV126" s="11"/>
      <c r="CW126" s="11"/>
      <c r="CX126" s="11"/>
      <c r="CY126" s="11"/>
      <c r="CZ126" s="11"/>
      <c r="DA126" s="11"/>
      <c r="DB126" s="11"/>
      <c r="DC126" s="11"/>
      <c r="DD126" s="11"/>
      <c r="DE126" s="11"/>
      <c r="DF126" s="11"/>
      <c r="DG126" s="11"/>
      <c r="DH126" s="11"/>
      <c r="DI126" s="11"/>
      <c r="DJ126" s="11"/>
      <c r="DK126" s="11"/>
      <c r="DL126" s="11"/>
      <c r="DM126" s="11"/>
      <c r="DN126" s="11"/>
      <c r="DO126" s="11"/>
      <c r="DP126" s="11"/>
      <c r="DQ126" s="11"/>
      <c r="DR126" s="11"/>
      <c r="DS126" s="11"/>
      <c r="DT126" s="11"/>
      <c r="DU126" s="11"/>
      <c r="DV126" s="11"/>
      <c r="DW126" s="11"/>
      <c r="DX126" s="11"/>
      <c r="DY126" s="11"/>
      <c r="DZ126" s="11"/>
      <c r="EA126" s="11"/>
      <c r="EB126" s="11"/>
      <c r="EC126" s="11"/>
      <c r="ED126" s="11"/>
      <c r="EE126" s="11"/>
      <c r="EF126" s="11"/>
      <c r="EG126" s="11"/>
      <c r="EH126" s="11"/>
      <c r="EI126" s="11"/>
      <c r="EJ126" s="11"/>
      <c r="EK126" s="11"/>
      <c r="EL126" s="11"/>
      <c r="EM126" s="11"/>
      <c r="EN126" s="11"/>
      <c r="EO126" s="11"/>
      <c r="EP126" s="11"/>
      <c r="EQ126" s="11"/>
      <c r="ER126" s="11"/>
      <c r="ES126" s="11"/>
      <c r="ET126" s="11"/>
      <c r="EU126" s="11"/>
      <c r="EV126" s="11"/>
      <c r="EW126" s="11"/>
      <c r="EX126" s="11"/>
      <c r="EY126" s="11"/>
      <c r="EZ126" s="11"/>
      <c r="FA126" s="11"/>
      <c r="FB126" s="11"/>
      <c r="FC126" s="11"/>
      <c r="FD126" s="11"/>
      <c r="FE126" s="11"/>
      <c r="FF126" s="11"/>
      <c r="FG126" s="11"/>
      <c r="FH126" s="11"/>
      <c r="FI126" s="11"/>
      <c r="FJ126" s="11"/>
      <c r="FK126" s="11"/>
      <c r="FL126" s="11"/>
      <c r="FM126" s="11"/>
      <c r="FN126" s="11"/>
      <c r="FO126" s="11"/>
      <c r="FP126" s="11"/>
      <c r="FQ126" s="11"/>
      <c r="FR126" s="11"/>
      <c r="FS126" s="11"/>
      <c r="FT126" s="11"/>
      <c r="FU126" s="11"/>
      <c r="FV126" s="11"/>
      <c r="FW126" s="11"/>
      <c r="FX126" s="11"/>
      <c r="FY126" s="11"/>
      <c r="FZ126" s="11"/>
      <c r="GA126" s="11"/>
      <c r="GB126" s="11"/>
      <c r="GC126" s="11"/>
      <c r="GD126" s="11"/>
      <c r="GE126" s="11"/>
    </row>
    <row r="127" spans="1:187" s="28" customFormat="1" ht="31.5">
      <c r="A127" s="35" t="s">
        <v>125</v>
      </c>
      <c r="B127" s="36">
        <f t="shared" si="16"/>
        <v>3746</v>
      </c>
      <c r="C127" s="36">
        <f t="shared" si="16"/>
        <v>3746</v>
      </c>
      <c r="D127" s="36">
        <f t="shared" si="16"/>
        <v>0</v>
      </c>
      <c r="E127" s="36">
        <v>0</v>
      </c>
      <c r="F127" s="36">
        <v>0</v>
      </c>
      <c r="G127" s="36">
        <f t="shared" si="17"/>
        <v>0</v>
      </c>
      <c r="H127" s="36"/>
      <c r="I127" s="36"/>
      <c r="J127" s="36">
        <f t="shared" si="9"/>
        <v>0</v>
      </c>
      <c r="K127" s="36">
        <v>3746</v>
      </c>
      <c r="L127" s="36">
        <v>3746</v>
      </c>
      <c r="M127" s="36">
        <f t="shared" si="10"/>
        <v>0</v>
      </c>
      <c r="N127" s="36"/>
      <c r="O127" s="36"/>
      <c r="P127" s="36">
        <f t="shared" si="11"/>
        <v>0</v>
      </c>
      <c r="Q127" s="36"/>
      <c r="R127" s="36"/>
      <c r="S127" s="36">
        <f t="shared" si="12"/>
        <v>0</v>
      </c>
      <c r="T127" s="36">
        <v>0</v>
      </c>
      <c r="U127" s="36">
        <v>0</v>
      </c>
      <c r="V127" s="36">
        <f t="shared" si="13"/>
        <v>0</v>
      </c>
      <c r="W127" s="36"/>
      <c r="X127" s="36"/>
      <c r="Y127" s="36">
        <f t="shared" si="14"/>
        <v>0</v>
      </c>
      <c r="Z127" s="36"/>
      <c r="AA127" s="36"/>
      <c r="AB127" s="36">
        <f t="shared" si="15"/>
        <v>0</v>
      </c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  <c r="AZ127" s="11"/>
      <c r="BA127" s="11"/>
      <c r="BB127" s="11"/>
      <c r="BC127" s="11"/>
      <c r="BD127" s="11"/>
      <c r="BE127" s="11"/>
      <c r="BF127" s="11"/>
      <c r="BG127" s="11"/>
      <c r="BH127" s="11"/>
      <c r="BI127" s="11"/>
      <c r="BJ127" s="11"/>
      <c r="BK127" s="11"/>
      <c r="BL127" s="11"/>
      <c r="BM127" s="11"/>
      <c r="BN127" s="11"/>
      <c r="BO127" s="11"/>
      <c r="BP127" s="11"/>
      <c r="BQ127" s="11"/>
      <c r="BR127" s="11"/>
      <c r="BS127" s="11"/>
      <c r="BT127" s="11"/>
      <c r="BU127" s="11"/>
      <c r="BV127" s="11"/>
      <c r="BW127" s="11"/>
      <c r="BX127" s="11"/>
      <c r="BY127" s="11"/>
      <c r="BZ127" s="11"/>
      <c r="CA127" s="11"/>
      <c r="CB127" s="11"/>
      <c r="CC127" s="11"/>
      <c r="CD127" s="11"/>
      <c r="CE127" s="11"/>
      <c r="CF127" s="11"/>
      <c r="CG127" s="11"/>
      <c r="CH127" s="11"/>
      <c r="CI127" s="11"/>
      <c r="CJ127" s="11"/>
      <c r="CK127" s="11"/>
      <c r="CL127" s="11"/>
      <c r="CM127" s="11"/>
      <c r="CN127" s="11"/>
      <c r="CO127" s="11"/>
      <c r="CP127" s="11"/>
      <c r="CQ127" s="11"/>
      <c r="CR127" s="11"/>
      <c r="CS127" s="11"/>
      <c r="CT127" s="11"/>
      <c r="CU127" s="11"/>
      <c r="CV127" s="11"/>
      <c r="CW127" s="11"/>
      <c r="CX127" s="11"/>
      <c r="CY127" s="11"/>
      <c r="CZ127" s="11"/>
      <c r="DA127" s="11"/>
      <c r="DB127" s="11"/>
      <c r="DC127" s="11"/>
      <c r="DD127" s="11"/>
      <c r="DE127" s="11"/>
      <c r="DF127" s="11"/>
      <c r="DG127" s="11"/>
      <c r="DH127" s="11"/>
      <c r="DI127" s="11"/>
      <c r="DJ127" s="11"/>
      <c r="DK127" s="11"/>
      <c r="DL127" s="11"/>
      <c r="DM127" s="11"/>
      <c r="DN127" s="11"/>
      <c r="DO127" s="11"/>
      <c r="DP127" s="11"/>
      <c r="DQ127" s="11"/>
      <c r="DR127" s="11"/>
      <c r="DS127" s="11"/>
      <c r="DT127" s="11"/>
      <c r="DU127" s="11"/>
      <c r="DV127" s="11"/>
      <c r="DW127" s="11"/>
      <c r="DX127" s="11"/>
      <c r="DY127" s="11"/>
      <c r="DZ127" s="11"/>
      <c r="EA127" s="11"/>
      <c r="EB127" s="11"/>
      <c r="EC127" s="11"/>
      <c r="ED127" s="11"/>
      <c r="EE127" s="11"/>
      <c r="EF127" s="11"/>
      <c r="EG127" s="11"/>
      <c r="EH127" s="11"/>
      <c r="EI127" s="11"/>
      <c r="EJ127" s="11"/>
      <c r="EK127" s="11"/>
      <c r="EL127" s="11"/>
      <c r="EM127" s="11"/>
      <c r="EN127" s="11"/>
      <c r="EO127" s="11"/>
      <c r="EP127" s="11"/>
      <c r="EQ127" s="11"/>
      <c r="ER127" s="11"/>
      <c r="ES127" s="11"/>
      <c r="ET127" s="11"/>
      <c r="EU127" s="11"/>
      <c r="EV127" s="11"/>
      <c r="EW127" s="11"/>
      <c r="EX127" s="11"/>
      <c r="EY127" s="11"/>
      <c r="EZ127" s="11"/>
      <c r="FA127" s="11"/>
      <c r="FB127" s="11"/>
      <c r="FC127" s="11"/>
      <c r="FD127" s="11"/>
      <c r="FE127" s="11"/>
      <c r="FF127" s="11"/>
      <c r="FG127" s="11"/>
      <c r="FH127" s="11"/>
      <c r="FI127" s="11"/>
      <c r="FJ127" s="11"/>
      <c r="FK127" s="11"/>
      <c r="FL127" s="11"/>
      <c r="FM127" s="11"/>
      <c r="FN127" s="11"/>
      <c r="FO127" s="11"/>
      <c r="FP127" s="11"/>
      <c r="FQ127" s="11"/>
      <c r="FR127" s="11"/>
      <c r="FS127" s="11"/>
      <c r="FT127" s="11"/>
      <c r="FU127" s="11"/>
      <c r="FV127" s="11"/>
      <c r="FW127" s="11"/>
      <c r="FX127" s="11"/>
      <c r="FY127" s="11"/>
      <c r="FZ127" s="11"/>
      <c r="GA127" s="11"/>
      <c r="GB127" s="11"/>
      <c r="GC127" s="11"/>
      <c r="GD127" s="11"/>
      <c r="GE127" s="11"/>
    </row>
    <row r="128" spans="1:187" s="28" customFormat="1">
      <c r="A128" s="35" t="s">
        <v>126</v>
      </c>
      <c r="B128" s="36">
        <f t="shared" si="16"/>
        <v>5870</v>
      </c>
      <c r="C128" s="36">
        <f t="shared" si="16"/>
        <v>5870</v>
      </c>
      <c r="D128" s="36">
        <f t="shared" si="16"/>
        <v>0</v>
      </c>
      <c r="E128" s="36">
        <v>0</v>
      </c>
      <c r="F128" s="36">
        <v>0</v>
      </c>
      <c r="G128" s="36">
        <f t="shared" si="17"/>
        <v>0</v>
      </c>
      <c r="H128" s="36"/>
      <c r="I128" s="36"/>
      <c r="J128" s="36">
        <f t="shared" si="9"/>
        <v>0</v>
      </c>
      <c r="K128" s="36">
        <v>5870</v>
      </c>
      <c r="L128" s="36">
        <v>5870</v>
      </c>
      <c r="M128" s="36">
        <f t="shared" si="10"/>
        <v>0</v>
      </c>
      <c r="N128" s="36"/>
      <c r="O128" s="36"/>
      <c r="P128" s="36">
        <f t="shared" si="11"/>
        <v>0</v>
      </c>
      <c r="Q128" s="36"/>
      <c r="R128" s="36"/>
      <c r="S128" s="36">
        <f t="shared" si="12"/>
        <v>0</v>
      </c>
      <c r="T128" s="36">
        <v>0</v>
      </c>
      <c r="U128" s="36">
        <v>0</v>
      </c>
      <c r="V128" s="36">
        <f t="shared" si="13"/>
        <v>0</v>
      </c>
      <c r="W128" s="36"/>
      <c r="X128" s="36"/>
      <c r="Y128" s="36">
        <f t="shared" si="14"/>
        <v>0</v>
      </c>
      <c r="Z128" s="36"/>
      <c r="AA128" s="36"/>
      <c r="AB128" s="36">
        <f t="shared" si="15"/>
        <v>0</v>
      </c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1"/>
      <c r="BH128" s="11"/>
      <c r="BI128" s="11"/>
      <c r="BJ128" s="11"/>
      <c r="BK128" s="11"/>
      <c r="BL128" s="11"/>
      <c r="BM128" s="11"/>
      <c r="BN128" s="11"/>
      <c r="BO128" s="11"/>
      <c r="BP128" s="11"/>
      <c r="BQ128" s="11"/>
      <c r="BR128" s="11"/>
      <c r="BS128" s="11"/>
      <c r="BT128" s="11"/>
      <c r="BU128" s="11"/>
      <c r="BV128" s="11"/>
      <c r="BW128" s="11"/>
      <c r="BX128" s="11"/>
      <c r="BY128" s="11"/>
      <c r="BZ128" s="11"/>
      <c r="CA128" s="11"/>
      <c r="CB128" s="11"/>
      <c r="CC128" s="11"/>
      <c r="CD128" s="11"/>
      <c r="CE128" s="11"/>
      <c r="CF128" s="11"/>
      <c r="CG128" s="11"/>
      <c r="CH128" s="11"/>
      <c r="CI128" s="11"/>
      <c r="CJ128" s="11"/>
      <c r="CK128" s="11"/>
      <c r="CL128" s="11"/>
      <c r="CM128" s="11"/>
      <c r="CN128" s="11"/>
      <c r="CO128" s="11"/>
      <c r="CP128" s="11"/>
      <c r="CQ128" s="11"/>
      <c r="CR128" s="11"/>
      <c r="CS128" s="11"/>
      <c r="CT128" s="11"/>
      <c r="CU128" s="11"/>
      <c r="CV128" s="11"/>
      <c r="CW128" s="11"/>
      <c r="CX128" s="11"/>
      <c r="CY128" s="11"/>
      <c r="CZ128" s="11"/>
      <c r="DA128" s="11"/>
      <c r="DB128" s="11"/>
      <c r="DC128" s="11"/>
      <c r="DD128" s="11"/>
      <c r="DE128" s="11"/>
      <c r="DF128" s="11"/>
      <c r="DG128" s="11"/>
      <c r="DH128" s="11"/>
      <c r="DI128" s="11"/>
      <c r="DJ128" s="11"/>
      <c r="DK128" s="11"/>
      <c r="DL128" s="11"/>
      <c r="DM128" s="11"/>
      <c r="DN128" s="11"/>
      <c r="DO128" s="11"/>
      <c r="DP128" s="11"/>
      <c r="DQ128" s="11"/>
      <c r="DR128" s="11"/>
      <c r="DS128" s="11"/>
      <c r="DT128" s="11"/>
      <c r="DU128" s="11"/>
      <c r="DV128" s="11"/>
      <c r="DW128" s="11"/>
      <c r="DX128" s="11"/>
      <c r="DY128" s="11"/>
      <c r="DZ128" s="11"/>
      <c r="EA128" s="11"/>
      <c r="EB128" s="11"/>
      <c r="EC128" s="11"/>
      <c r="ED128" s="11"/>
      <c r="EE128" s="11"/>
      <c r="EF128" s="11"/>
      <c r="EG128" s="11"/>
      <c r="EH128" s="11"/>
      <c r="EI128" s="11"/>
      <c r="EJ128" s="11"/>
      <c r="EK128" s="11"/>
      <c r="EL128" s="11"/>
      <c r="EM128" s="11"/>
      <c r="EN128" s="11"/>
      <c r="EO128" s="11"/>
      <c r="EP128" s="11"/>
      <c r="EQ128" s="11"/>
      <c r="ER128" s="11"/>
      <c r="ES128" s="11"/>
      <c r="ET128" s="11"/>
      <c r="EU128" s="11"/>
      <c r="EV128" s="11"/>
      <c r="EW128" s="11"/>
      <c r="EX128" s="11"/>
      <c r="EY128" s="11"/>
      <c r="EZ128" s="11"/>
      <c r="FA128" s="11"/>
      <c r="FB128" s="11"/>
      <c r="FC128" s="11"/>
      <c r="FD128" s="11"/>
      <c r="FE128" s="11"/>
      <c r="FF128" s="11"/>
      <c r="FG128" s="11"/>
      <c r="FH128" s="11"/>
      <c r="FI128" s="11"/>
      <c r="FJ128" s="11"/>
      <c r="FK128" s="11"/>
      <c r="FL128" s="11"/>
      <c r="FM128" s="11"/>
      <c r="FN128" s="11"/>
      <c r="FO128" s="11"/>
      <c r="FP128" s="11"/>
      <c r="FQ128" s="11"/>
      <c r="FR128" s="11"/>
      <c r="FS128" s="11"/>
      <c r="FT128" s="11"/>
      <c r="FU128" s="11"/>
      <c r="FV128" s="11"/>
      <c r="FW128" s="11"/>
      <c r="FX128" s="11"/>
      <c r="FY128" s="11"/>
      <c r="FZ128" s="11"/>
      <c r="GA128" s="11"/>
      <c r="GB128" s="11"/>
      <c r="GC128" s="11"/>
      <c r="GD128" s="11"/>
      <c r="GE128" s="11"/>
    </row>
    <row r="129" spans="1:187" s="28" customFormat="1" ht="31.5">
      <c r="A129" s="35" t="s">
        <v>127</v>
      </c>
      <c r="B129" s="36">
        <f t="shared" si="16"/>
        <v>18343</v>
      </c>
      <c r="C129" s="36">
        <f t="shared" si="16"/>
        <v>18343</v>
      </c>
      <c r="D129" s="36">
        <f t="shared" si="16"/>
        <v>0</v>
      </c>
      <c r="E129" s="36">
        <v>0</v>
      </c>
      <c r="F129" s="36">
        <v>0</v>
      </c>
      <c r="G129" s="36">
        <f t="shared" si="17"/>
        <v>0</v>
      </c>
      <c r="H129" s="36"/>
      <c r="I129" s="36"/>
      <c r="J129" s="36">
        <f t="shared" si="9"/>
        <v>0</v>
      </c>
      <c r="K129" s="36">
        <v>0</v>
      </c>
      <c r="L129" s="36">
        <v>0</v>
      </c>
      <c r="M129" s="36">
        <f t="shared" si="10"/>
        <v>0</v>
      </c>
      <c r="N129" s="36"/>
      <c r="O129" s="36"/>
      <c r="P129" s="36">
        <f t="shared" si="11"/>
        <v>0</v>
      </c>
      <c r="Q129" s="36">
        <v>18343</v>
      </c>
      <c r="R129" s="36">
        <v>18343</v>
      </c>
      <c r="S129" s="36">
        <f t="shared" si="12"/>
        <v>0</v>
      </c>
      <c r="T129" s="36">
        <v>0</v>
      </c>
      <c r="U129" s="36">
        <v>0</v>
      </c>
      <c r="V129" s="36">
        <f t="shared" si="13"/>
        <v>0</v>
      </c>
      <c r="W129" s="36"/>
      <c r="X129" s="36"/>
      <c r="Y129" s="36">
        <f t="shared" si="14"/>
        <v>0</v>
      </c>
      <c r="Z129" s="36"/>
      <c r="AA129" s="36"/>
      <c r="AB129" s="36">
        <f t="shared" si="15"/>
        <v>0</v>
      </c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1"/>
      <c r="AY129" s="11"/>
      <c r="AZ129" s="11"/>
      <c r="BA129" s="11"/>
      <c r="BB129" s="11"/>
      <c r="BC129" s="11"/>
      <c r="BD129" s="11"/>
      <c r="BE129" s="11"/>
      <c r="BF129" s="11"/>
      <c r="BG129" s="11"/>
      <c r="BH129" s="11"/>
      <c r="BI129" s="11"/>
      <c r="BJ129" s="11"/>
      <c r="BK129" s="11"/>
      <c r="BL129" s="11"/>
      <c r="BM129" s="11"/>
      <c r="BN129" s="11"/>
      <c r="BO129" s="11"/>
      <c r="BP129" s="11"/>
      <c r="BQ129" s="11"/>
      <c r="BR129" s="11"/>
      <c r="BS129" s="11"/>
      <c r="BT129" s="11"/>
      <c r="BU129" s="11"/>
      <c r="BV129" s="11"/>
      <c r="BW129" s="11"/>
      <c r="BX129" s="11"/>
      <c r="BY129" s="11"/>
      <c r="BZ129" s="11"/>
      <c r="CA129" s="11"/>
      <c r="CB129" s="11"/>
      <c r="CC129" s="11"/>
      <c r="CD129" s="11"/>
      <c r="CE129" s="11"/>
      <c r="CF129" s="11"/>
      <c r="CG129" s="11"/>
      <c r="CH129" s="11"/>
      <c r="CI129" s="11"/>
      <c r="CJ129" s="11"/>
      <c r="CK129" s="11"/>
      <c r="CL129" s="11"/>
      <c r="CM129" s="11"/>
      <c r="CN129" s="11"/>
      <c r="CO129" s="11"/>
      <c r="CP129" s="11"/>
      <c r="CQ129" s="11"/>
      <c r="CR129" s="11"/>
      <c r="CS129" s="11"/>
      <c r="CT129" s="11"/>
      <c r="CU129" s="11"/>
      <c r="CV129" s="11"/>
      <c r="CW129" s="11"/>
      <c r="CX129" s="11"/>
      <c r="CY129" s="11"/>
      <c r="CZ129" s="11"/>
      <c r="DA129" s="11"/>
      <c r="DB129" s="11"/>
      <c r="DC129" s="11"/>
      <c r="DD129" s="11"/>
      <c r="DE129" s="11"/>
      <c r="DF129" s="11"/>
      <c r="DG129" s="11"/>
      <c r="DH129" s="11"/>
      <c r="DI129" s="11"/>
      <c r="DJ129" s="11"/>
      <c r="DK129" s="11"/>
      <c r="DL129" s="11"/>
      <c r="DM129" s="11"/>
      <c r="DN129" s="11"/>
      <c r="DO129" s="11"/>
      <c r="DP129" s="11"/>
      <c r="DQ129" s="11"/>
      <c r="DR129" s="11"/>
      <c r="DS129" s="11"/>
      <c r="DT129" s="11"/>
      <c r="DU129" s="11"/>
      <c r="DV129" s="11"/>
      <c r="DW129" s="11"/>
      <c r="DX129" s="11"/>
      <c r="DY129" s="11"/>
      <c r="DZ129" s="11"/>
      <c r="EA129" s="11"/>
      <c r="EB129" s="11"/>
      <c r="EC129" s="11"/>
      <c r="ED129" s="11"/>
      <c r="EE129" s="11"/>
      <c r="EF129" s="11"/>
      <c r="EG129" s="11"/>
      <c r="EH129" s="11"/>
      <c r="EI129" s="11"/>
      <c r="EJ129" s="11"/>
      <c r="EK129" s="11"/>
      <c r="EL129" s="11"/>
      <c r="EM129" s="11"/>
      <c r="EN129" s="11"/>
      <c r="EO129" s="11"/>
      <c r="EP129" s="11"/>
      <c r="EQ129" s="11"/>
      <c r="ER129" s="11"/>
      <c r="ES129" s="11"/>
      <c r="ET129" s="11"/>
      <c r="EU129" s="11"/>
      <c r="EV129" s="11"/>
      <c r="EW129" s="11"/>
      <c r="EX129" s="11"/>
      <c r="EY129" s="11"/>
      <c r="EZ129" s="11"/>
      <c r="FA129" s="11"/>
      <c r="FB129" s="11"/>
      <c r="FC129" s="11"/>
      <c r="FD129" s="11"/>
      <c r="FE129" s="11"/>
      <c r="FF129" s="11"/>
      <c r="FG129" s="11"/>
      <c r="FH129" s="11"/>
      <c r="FI129" s="11"/>
      <c r="FJ129" s="11"/>
      <c r="FK129" s="11"/>
      <c r="FL129" s="11"/>
      <c r="FM129" s="11"/>
      <c r="FN129" s="11"/>
      <c r="FO129" s="11"/>
      <c r="FP129" s="11"/>
      <c r="FQ129" s="11"/>
      <c r="FR129" s="11"/>
      <c r="FS129" s="11"/>
      <c r="FT129" s="11"/>
      <c r="FU129" s="11"/>
      <c r="FV129" s="11"/>
      <c r="FW129" s="11"/>
      <c r="FX129" s="11"/>
      <c r="FY129" s="11"/>
      <c r="FZ129" s="11"/>
      <c r="GA129" s="11"/>
      <c r="GB129" s="11"/>
      <c r="GC129" s="11"/>
      <c r="GD129" s="11"/>
      <c r="GE129" s="11"/>
    </row>
    <row r="130" spans="1:187" s="28" customFormat="1" ht="31.5">
      <c r="A130" s="35" t="s">
        <v>128</v>
      </c>
      <c r="B130" s="36">
        <f t="shared" si="16"/>
        <v>6241</v>
      </c>
      <c r="C130" s="36">
        <f t="shared" si="16"/>
        <v>6241</v>
      </c>
      <c r="D130" s="36">
        <f t="shared" si="16"/>
        <v>0</v>
      </c>
      <c r="E130" s="36">
        <v>0</v>
      </c>
      <c r="F130" s="36">
        <v>0</v>
      </c>
      <c r="G130" s="36">
        <f t="shared" si="17"/>
        <v>0</v>
      </c>
      <c r="H130" s="36"/>
      <c r="I130" s="36"/>
      <c r="J130" s="36">
        <f t="shared" si="9"/>
        <v>0</v>
      </c>
      <c r="K130" s="36">
        <v>6241</v>
      </c>
      <c r="L130" s="36">
        <v>6241</v>
      </c>
      <c r="M130" s="36">
        <f t="shared" si="10"/>
        <v>0</v>
      </c>
      <c r="N130" s="36"/>
      <c r="O130" s="36"/>
      <c r="P130" s="36">
        <f t="shared" si="11"/>
        <v>0</v>
      </c>
      <c r="Q130" s="36"/>
      <c r="R130" s="36"/>
      <c r="S130" s="36">
        <f t="shared" si="12"/>
        <v>0</v>
      </c>
      <c r="T130" s="36">
        <v>0</v>
      </c>
      <c r="U130" s="36">
        <v>0</v>
      </c>
      <c r="V130" s="36">
        <f t="shared" si="13"/>
        <v>0</v>
      </c>
      <c r="W130" s="36"/>
      <c r="X130" s="36"/>
      <c r="Y130" s="36">
        <f t="shared" si="14"/>
        <v>0</v>
      </c>
      <c r="Z130" s="36"/>
      <c r="AA130" s="36"/>
      <c r="AB130" s="36">
        <f t="shared" si="15"/>
        <v>0</v>
      </c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1"/>
      <c r="AY130" s="11"/>
      <c r="AZ130" s="11"/>
      <c r="BA130" s="11"/>
      <c r="BB130" s="11"/>
      <c r="BC130" s="11"/>
      <c r="BD130" s="11"/>
      <c r="BE130" s="11"/>
      <c r="BF130" s="11"/>
      <c r="BG130" s="11"/>
      <c r="BH130" s="11"/>
      <c r="BI130" s="11"/>
      <c r="BJ130" s="11"/>
      <c r="BK130" s="11"/>
      <c r="BL130" s="11"/>
      <c r="BM130" s="11"/>
      <c r="BN130" s="11"/>
      <c r="BO130" s="11"/>
      <c r="BP130" s="11"/>
      <c r="BQ130" s="11"/>
      <c r="BR130" s="11"/>
      <c r="BS130" s="11"/>
      <c r="BT130" s="11"/>
      <c r="BU130" s="11"/>
      <c r="BV130" s="11"/>
      <c r="BW130" s="11"/>
      <c r="BX130" s="11"/>
      <c r="BY130" s="11"/>
      <c r="BZ130" s="11"/>
      <c r="CA130" s="11"/>
      <c r="CB130" s="11"/>
      <c r="CC130" s="11"/>
      <c r="CD130" s="11"/>
      <c r="CE130" s="11"/>
      <c r="CF130" s="11"/>
      <c r="CG130" s="11"/>
      <c r="CH130" s="11"/>
      <c r="CI130" s="11"/>
      <c r="CJ130" s="11"/>
      <c r="CK130" s="11"/>
      <c r="CL130" s="11"/>
      <c r="CM130" s="11"/>
      <c r="CN130" s="11"/>
      <c r="CO130" s="11"/>
      <c r="CP130" s="11"/>
      <c r="CQ130" s="11"/>
      <c r="CR130" s="11"/>
      <c r="CS130" s="11"/>
      <c r="CT130" s="11"/>
      <c r="CU130" s="11"/>
      <c r="CV130" s="11"/>
      <c r="CW130" s="11"/>
      <c r="CX130" s="11"/>
      <c r="CY130" s="11"/>
      <c r="CZ130" s="11"/>
      <c r="DA130" s="11"/>
      <c r="DB130" s="11"/>
      <c r="DC130" s="11"/>
      <c r="DD130" s="11"/>
      <c r="DE130" s="11"/>
      <c r="DF130" s="11"/>
      <c r="DG130" s="11"/>
      <c r="DH130" s="11"/>
      <c r="DI130" s="11"/>
      <c r="DJ130" s="11"/>
      <c r="DK130" s="11"/>
      <c r="DL130" s="11"/>
      <c r="DM130" s="11"/>
      <c r="DN130" s="11"/>
      <c r="DO130" s="11"/>
      <c r="DP130" s="11"/>
      <c r="DQ130" s="11"/>
      <c r="DR130" s="11"/>
      <c r="DS130" s="11"/>
      <c r="DT130" s="11"/>
      <c r="DU130" s="11"/>
      <c r="DV130" s="11"/>
      <c r="DW130" s="11"/>
      <c r="DX130" s="11"/>
      <c r="DY130" s="11"/>
      <c r="DZ130" s="11"/>
      <c r="EA130" s="11"/>
      <c r="EB130" s="11"/>
      <c r="EC130" s="11"/>
      <c r="ED130" s="11"/>
      <c r="EE130" s="11"/>
      <c r="EF130" s="11"/>
      <c r="EG130" s="11"/>
      <c r="EH130" s="11"/>
      <c r="EI130" s="11"/>
      <c r="EJ130" s="11"/>
      <c r="EK130" s="11"/>
      <c r="EL130" s="11"/>
      <c r="EM130" s="11"/>
      <c r="EN130" s="11"/>
      <c r="EO130" s="11"/>
      <c r="EP130" s="11"/>
      <c r="EQ130" s="11"/>
      <c r="ER130" s="11"/>
      <c r="ES130" s="11"/>
      <c r="ET130" s="11"/>
      <c r="EU130" s="11"/>
      <c r="EV130" s="11"/>
      <c r="EW130" s="11"/>
      <c r="EX130" s="11"/>
      <c r="EY130" s="11"/>
      <c r="EZ130" s="11"/>
      <c r="FA130" s="11"/>
      <c r="FB130" s="11"/>
      <c r="FC130" s="11"/>
      <c r="FD130" s="11"/>
      <c r="FE130" s="11"/>
      <c r="FF130" s="11"/>
      <c r="FG130" s="11"/>
      <c r="FH130" s="11"/>
      <c r="FI130" s="11"/>
      <c r="FJ130" s="11"/>
      <c r="FK130" s="11"/>
      <c r="FL130" s="11"/>
      <c r="FM130" s="11"/>
      <c r="FN130" s="11"/>
      <c r="FO130" s="11"/>
      <c r="FP130" s="11"/>
      <c r="FQ130" s="11"/>
      <c r="FR130" s="11"/>
      <c r="FS130" s="11"/>
      <c r="FT130" s="11"/>
      <c r="FU130" s="11"/>
      <c r="FV130" s="11"/>
      <c r="FW130" s="11"/>
      <c r="FX130" s="11"/>
      <c r="FY130" s="11"/>
      <c r="FZ130" s="11"/>
      <c r="GA130" s="11"/>
      <c r="GB130" s="11"/>
      <c r="GC130" s="11"/>
      <c r="GD130" s="11"/>
      <c r="GE130" s="11"/>
    </row>
    <row r="131" spans="1:187" s="28" customFormat="1" ht="63">
      <c r="A131" s="35" t="s">
        <v>129</v>
      </c>
      <c r="B131" s="36">
        <f t="shared" si="16"/>
        <v>1250</v>
      </c>
      <c r="C131" s="36">
        <f t="shared" si="16"/>
        <v>1250</v>
      </c>
      <c r="D131" s="36">
        <f t="shared" si="16"/>
        <v>0</v>
      </c>
      <c r="E131" s="36">
        <v>0</v>
      </c>
      <c r="F131" s="36">
        <v>0</v>
      </c>
      <c r="G131" s="36">
        <f t="shared" si="17"/>
        <v>0</v>
      </c>
      <c r="H131" s="36"/>
      <c r="I131" s="36"/>
      <c r="J131" s="36">
        <f t="shared" si="9"/>
        <v>0</v>
      </c>
      <c r="K131" s="36">
        <v>0</v>
      </c>
      <c r="L131" s="36">
        <v>0</v>
      </c>
      <c r="M131" s="36">
        <f t="shared" si="10"/>
        <v>0</v>
      </c>
      <c r="N131" s="36">
        <v>1250</v>
      </c>
      <c r="O131" s="36">
        <v>1250</v>
      </c>
      <c r="P131" s="36">
        <f t="shared" si="11"/>
        <v>0</v>
      </c>
      <c r="Q131" s="36"/>
      <c r="R131" s="36"/>
      <c r="S131" s="36">
        <f t="shared" si="12"/>
        <v>0</v>
      </c>
      <c r="T131" s="36">
        <v>0</v>
      </c>
      <c r="U131" s="36">
        <v>0</v>
      </c>
      <c r="V131" s="36">
        <f t="shared" si="13"/>
        <v>0</v>
      </c>
      <c r="W131" s="36"/>
      <c r="X131" s="36"/>
      <c r="Y131" s="36">
        <f t="shared" si="14"/>
        <v>0</v>
      </c>
      <c r="Z131" s="36"/>
      <c r="AA131" s="36"/>
      <c r="AB131" s="36">
        <f t="shared" si="15"/>
        <v>0</v>
      </c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1"/>
      <c r="AY131" s="11"/>
      <c r="AZ131" s="11"/>
      <c r="BA131" s="11"/>
      <c r="BB131" s="11"/>
      <c r="BC131" s="11"/>
      <c r="BD131" s="11"/>
      <c r="BE131" s="11"/>
      <c r="BF131" s="11"/>
      <c r="BG131" s="11"/>
      <c r="BH131" s="11"/>
      <c r="BI131" s="11"/>
      <c r="BJ131" s="11"/>
      <c r="BK131" s="11"/>
      <c r="BL131" s="11"/>
      <c r="BM131" s="11"/>
      <c r="BN131" s="11"/>
      <c r="BO131" s="11"/>
      <c r="BP131" s="11"/>
      <c r="BQ131" s="11"/>
      <c r="BR131" s="11"/>
      <c r="BS131" s="11"/>
      <c r="BT131" s="11"/>
      <c r="BU131" s="11"/>
      <c r="BV131" s="11"/>
      <c r="BW131" s="11"/>
      <c r="BX131" s="11"/>
      <c r="BY131" s="11"/>
      <c r="BZ131" s="11"/>
      <c r="CA131" s="11"/>
      <c r="CB131" s="11"/>
      <c r="CC131" s="11"/>
      <c r="CD131" s="11"/>
      <c r="CE131" s="11"/>
      <c r="CF131" s="11"/>
      <c r="CG131" s="11"/>
      <c r="CH131" s="11"/>
      <c r="CI131" s="11"/>
      <c r="CJ131" s="11"/>
      <c r="CK131" s="11"/>
      <c r="CL131" s="11"/>
      <c r="CM131" s="11"/>
      <c r="CN131" s="11"/>
      <c r="CO131" s="11"/>
      <c r="CP131" s="11"/>
      <c r="CQ131" s="11"/>
      <c r="CR131" s="11"/>
      <c r="CS131" s="11"/>
      <c r="CT131" s="11"/>
      <c r="CU131" s="11"/>
      <c r="CV131" s="11"/>
      <c r="CW131" s="11"/>
      <c r="CX131" s="11"/>
      <c r="CY131" s="11"/>
      <c r="CZ131" s="11"/>
      <c r="DA131" s="11"/>
      <c r="DB131" s="11"/>
      <c r="DC131" s="11"/>
      <c r="DD131" s="11"/>
      <c r="DE131" s="11"/>
      <c r="DF131" s="11"/>
      <c r="DG131" s="11"/>
      <c r="DH131" s="11"/>
      <c r="DI131" s="11"/>
      <c r="DJ131" s="11"/>
      <c r="DK131" s="11"/>
      <c r="DL131" s="11"/>
      <c r="DM131" s="11"/>
      <c r="DN131" s="11"/>
      <c r="DO131" s="11"/>
      <c r="DP131" s="11"/>
      <c r="DQ131" s="11"/>
      <c r="DR131" s="11"/>
      <c r="DS131" s="11"/>
      <c r="DT131" s="11"/>
      <c r="DU131" s="11"/>
      <c r="DV131" s="11"/>
      <c r="DW131" s="11"/>
      <c r="DX131" s="11"/>
      <c r="DY131" s="11"/>
      <c r="DZ131" s="11"/>
      <c r="EA131" s="11"/>
      <c r="EB131" s="11"/>
      <c r="EC131" s="11"/>
      <c r="ED131" s="11"/>
      <c r="EE131" s="11"/>
      <c r="EF131" s="11"/>
      <c r="EG131" s="11"/>
      <c r="EH131" s="11"/>
      <c r="EI131" s="11"/>
      <c r="EJ131" s="11"/>
      <c r="EK131" s="11"/>
      <c r="EL131" s="11"/>
      <c r="EM131" s="11"/>
      <c r="EN131" s="11"/>
      <c r="EO131" s="11"/>
      <c r="EP131" s="11"/>
      <c r="EQ131" s="11"/>
      <c r="ER131" s="11"/>
      <c r="ES131" s="11"/>
      <c r="ET131" s="11"/>
      <c r="EU131" s="11"/>
      <c r="EV131" s="11"/>
      <c r="EW131" s="11"/>
      <c r="EX131" s="11"/>
      <c r="EY131" s="11"/>
      <c r="EZ131" s="11"/>
      <c r="FA131" s="11"/>
      <c r="FB131" s="11"/>
      <c r="FC131" s="11"/>
      <c r="FD131" s="11"/>
      <c r="FE131" s="11"/>
      <c r="FF131" s="11"/>
      <c r="FG131" s="11"/>
      <c r="FH131" s="11"/>
      <c r="FI131" s="11"/>
      <c r="FJ131" s="11"/>
      <c r="FK131" s="11"/>
      <c r="FL131" s="11"/>
      <c r="FM131" s="11"/>
      <c r="FN131" s="11"/>
      <c r="FO131" s="11"/>
      <c r="FP131" s="11"/>
      <c r="FQ131" s="11"/>
      <c r="FR131" s="11"/>
      <c r="FS131" s="11"/>
      <c r="FT131" s="11"/>
      <c r="FU131" s="11"/>
      <c r="FV131" s="11"/>
      <c r="FW131" s="11"/>
      <c r="FX131" s="11"/>
      <c r="FY131" s="11"/>
      <c r="FZ131" s="11"/>
      <c r="GA131" s="11"/>
      <c r="GB131" s="11"/>
      <c r="GC131" s="11"/>
      <c r="GD131" s="11"/>
      <c r="GE131" s="11"/>
    </row>
    <row r="132" spans="1:187" s="11" customFormat="1" ht="31.5">
      <c r="A132" s="35" t="s">
        <v>130</v>
      </c>
      <c r="B132" s="36">
        <f t="shared" si="16"/>
        <v>1500</v>
      </c>
      <c r="C132" s="36">
        <f t="shared" si="16"/>
        <v>1499</v>
      </c>
      <c r="D132" s="36">
        <f t="shared" si="16"/>
        <v>-1</v>
      </c>
      <c r="E132" s="36">
        <v>0</v>
      </c>
      <c r="F132" s="36">
        <v>0</v>
      </c>
      <c r="G132" s="36">
        <f t="shared" si="17"/>
        <v>0</v>
      </c>
      <c r="H132" s="36"/>
      <c r="I132" s="36"/>
      <c r="J132" s="36">
        <f t="shared" si="9"/>
        <v>0</v>
      </c>
      <c r="K132" s="36">
        <v>1500</v>
      </c>
      <c r="L132" s="36">
        <f>1500-1</f>
        <v>1499</v>
      </c>
      <c r="M132" s="36">
        <f t="shared" si="10"/>
        <v>-1</v>
      </c>
      <c r="N132" s="36"/>
      <c r="O132" s="36"/>
      <c r="P132" s="36">
        <f t="shared" si="11"/>
        <v>0</v>
      </c>
      <c r="Q132" s="36">
        <v>0</v>
      </c>
      <c r="R132" s="36">
        <v>0</v>
      </c>
      <c r="S132" s="36">
        <f t="shared" si="12"/>
        <v>0</v>
      </c>
      <c r="T132" s="36"/>
      <c r="U132" s="36"/>
      <c r="V132" s="36">
        <f t="shared" si="13"/>
        <v>0</v>
      </c>
      <c r="W132" s="36"/>
      <c r="X132" s="36"/>
      <c r="Y132" s="36">
        <f t="shared" si="14"/>
        <v>0</v>
      </c>
      <c r="Z132" s="36"/>
      <c r="AA132" s="36"/>
      <c r="AB132" s="36">
        <f t="shared" si="15"/>
        <v>0</v>
      </c>
    </row>
    <row r="133" spans="1:187" s="11" customFormat="1" ht="31.5">
      <c r="A133" s="35" t="s">
        <v>131</v>
      </c>
      <c r="B133" s="36">
        <f t="shared" si="16"/>
        <v>0</v>
      </c>
      <c r="C133" s="36">
        <f t="shared" si="16"/>
        <v>2400</v>
      </c>
      <c r="D133" s="36">
        <f t="shared" si="16"/>
        <v>2400</v>
      </c>
      <c r="E133" s="36">
        <v>0</v>
      </c>
      <c r="F133" s="36">
        <v>0</v>
      </c>
      <c r="G133" s="36">
        <f t="shared" si="17"/>
        <v>0</v>
      </c>
      <c r="H133" s="36"/>
      <c r="I133" s="36"/>
      <c r="J133" s="36">
        <f t="shared" ref="J133:J195" si="18">I133-H133</f>
        <v>0</v>
      </c>
      <c r="K133" s="36"/>
      <c r="L133" s="36">
        <v>2400</v>
      </c>
      <c r="M133" s="36">
        <f t="shared" ref="M133:M195" si="19">L133-K133</f>
        <v>2400</v>
      </c>
      <c r="N133" s="36"/>
      <c r="O133" s="36"/>
      <c r="P133" s="36">
        <f t="shared" ref="P133:P166" si="20">O133-N133</f>
        <v>0</v>
      </c>
      <c r="Q133" s="36">
        <v>0</v>
      </c>
      <c r="R133" s="36">
        <v>0</v>
      </c>
      <c r="S133" s="36">
        <f t="shared" ref="S133:S195" si="21">R133-Q133</f>
        <v>0</v>
      </c>
      <c r="T133" s="36"/>
      <c r="U133" s="36"/>
      <c r="V133" s="36">
        <f t="shared" ref="V133:V195" si="22">U133-T133</f>
        <v>0</v>
      </c>
      <c r="W133" s="36"/>
      <c r="X133" s="36"/>
      <c r="Y133" s="36">
        <f t="shared" ref="Y133:Y195" si="23">X133-W133</f>
        <v>0</v>
      </c>
      <c r="Z133" s="36"/>
      <c r="AA133" s="36"/>
      <c r="AB133" s="36">
        <f t="shared" ref="AB133:AB195" si="24">AA133-Z133</f>
        <v>0</v>
      </c>
    </row>
    <row r="134" spans="1:187" s="11" customFormat="1" ht="31.5">
      <c r="A134" s="35" t="s">
        <v>132</v>
      </c>
      <c r="B134" s="36">
        <f t="shared" si="16"/>
        <v>0</v>
      </c>
      <c r="C134" s="36">
        <f t="shared" si="16"/>
        <v>5779</v>
      </c>
      <c r="D134" s="36">
        <f t="shared" si="16"/>
        <v>5779</v>
      </c>
      <c r="E134" s="36">
        <v>0</v>
      </c>
      <c r="F134" s="36">
        <v>0</v>
      </c>
      <c r="G134" s="36">
        <f t="shared" si="17"/>
        <v>0</v>
      </c>
      <c r="H134" s="36"/>
      <c r="I134" s="36"/>
      <c r="J134" s="36">
        <f t="shared" si="18"/>
        <v>0</v>
      </c>
      <c r="K134" s="36"/>
      <c r="L134" s="36">
        <v>5779</v>
      </c>
      <c r="M134" s="36">
        <f t="shared" si="19"/>
        <v>5779</v>
      </c>
      <c r="N134" s="36"/>
      <c r="O134" s="36"/>
      <c r="P134" s="36">
        <f t="shared" si="20"/>
        <v>0</v>
      </c>
      <c r="Q134" s="36">
        <v>0</v>
      </c>
      <c r="R134" s="36">
        <v>0</v>
      </c>
      <c r="S134" s="36">
        <f t="shared" si="21"/>
        <v>0</v>
      </c>
      <c r="T134" s="36"/>
      <c r="U134" s="36"/>
      <c r="V134" s="36">
        <f t="shared" si="22"/>
        <v>0</v>
      </c>
      <c r="W134" s="36"/>
      <c r="X134" s="36"/>
      <c r="Y134" s="36">
        <f t="shared" si="23"/>
        <v>0</v>
      </c>
      <c r="Z134" s="36"/>
      <c r="AA134" s="36"/>
      <c r="AB134" s="36">
        <f t="shared" si="24"/>
        <v>0</v>
      </c>
    </row>
    <row r="135" spans="1:187" s="11" customFormat="1" ht="31.5">
      <c r="A135" s="35" t="s">
        <v>133</v>
      </c>
      <c r="B135" s="36">
        <f t="shared" si="16"/>
        <v>4188</v>
      </c>
      <c r="C135" s="36">
        <f t="shared" si="16"/>
        <v>4188</v>
      </c>
      <c r="D135" s="36">
        <f t="shared" si="16"/>
        <v>0</v>
      </c>
      <c r="E135" s="36">
        <v>0</v>
      </c>
      <c r="F135" s="36">
        <v>0</v>
      </c>
      <c r="G135" s="36">
        <f t="shared" si="17"/>
        <v>0</v>
      </c>
      <c r="H135" s="36"/>
      <c r="I135" s="36"/>
      <c r="J135" s="36">
        <f t="shared" si="18"/>
        <v>0</v>
      </c>
      <c r="K135" s="36">
        <f>3660+4654-3660-466</f>
        <v>4188</v>
      </c>
      <c r="L135" s="36">
        <f>3660+4654-3660-466</f>
        <v>4188</v>
      </c>
      <c r="M135" s="36">
        <f t="shared" si="19"/>
        <v>0</v>
      </c>
      <c r="N135" s="36"/>
      <c r="O135" s="36"/>
      <c r="P135" s="36">
        <f t="shared" si="20"/>
        <v>0</v>
      </c>
      <c r="Q135" s="36">
        <v>0</v>
      </c>
      <c r="R135" s="36">
        <v>0</v>
      </c>
      <c r="S135" s="36">
        <f t="shared" si="21"/>
        <v>0</v>
      </c>
      <c r="T135" s="36"/>
      <c r="U135" s="36"/>
      <c r="V135" s="36">
        <f t="shared" si="22"/>
        <v>0</v>
      </c>
      <c r="W135" s="36"/>
      <c r="X135" s="36"/>
      <c r="Y135" s="36">
        <f t="shared" si="23"/>
        <v>0</v>
      </c>
      <c r="Z135" s="36"/>
      <c r="AA135" s="36"/>
      <c r="AB135" s="36">
        <f t="shared" si="24"/>
        <v>0</v>
      </c>
    </row>
    <row r="136" spans="1:187" s="11" customFormat="1">
      <c r="A136" s="35" t="s">
        <v>134</v>
      </c>
      <c r="B136" s="36">
        <f t="shared" si="16"/>
        <v>5069</v>
      </c>
      <c r="C136" s="36">
        <f t="shared" si="16"/>
        <v>5069</v>
      </c>
      <c r="D136" s="36">
        <f t="shared" si="16"/>
        <v>0</v>
      </c>
      <c r="E136" s="36">
        <v>0</v>
      </c>
      <c r="F136" s="36">
        <v>0</v>
      </c>
      <c r="G136" s="36">
        <f t="shared" si="17"/>
        <v>0</v>
      </c>
      <c r="H136" s="36"/>
      <c r="I136" s="36"/>
      <c r="J136" s="36">
        <f t="shared" si="18"/>
        <v>0</v>
      </c>
      <c r="K136" s="36">
        <v>5069</v>
      </c>
      <c r="L136" s="36">
        <v>5069</v>
      </c>
      <c r="M136" s="36">
        <f t="shared" si="19"/>
        <v>0</v>
      </c>
      <c r="N136" s="36"/>
      <c r="O136" s="36"/>
      <c r="P136" s="36">
        <f t="shared" si="20"/>
        <v>0</v>
      </c>
      <c r="Q136" s="36">
        <v>0</v>
      </c>
      <c r="R136" s="36">
        <v>0</v>
      </c>
      <c r="S136" s="36">
        <f t="shared" si="21"/>
        <v>0</v>
      </c>
      <c r="T136" s="36"/>
      <c r="U136" s="36"/>
      <c r="V136" s="36">
        <f t="shared" si="22"/>
        <v>0</v>
      </c>
      <c r="W136" s="36"/>
      <c r="X136" s="36"/>
      <c r="Y136" s="36">
        <f t="shared" si="23"/>
        <v>0</v>
      </c>
      <c r="Z136" s="36"/>
      <c r="AA136" s="36"/>
      <c r="AB136" s="36">
        <f t="shared" si="24"/>
        <v>0</v>
      </c>
    </row>
    <row r="137" spans="1:187" s="11" customFormat="1" ht="63">
      <c r="A137" s="35" t="s">
        <v>135</v>
      </c>
      <c r="B137" s="36">
        <f t="shared" si="16"/>
        <v>6000</v>
      </c>
      <c r="C137" s="36">
        <f t="shared" si="16"/>
        <v>6000</v>
      </c>
      <c r="D137" s="36">
        <f t="shared" si="16"/>
        <v>0</v>
      </c>
      <c r="E137" s="36">
        <v>0</v>
      </c>
      <c r="F137" s="36">
        <v>0</v>
      </c>
      <c r="G137" s="36">
        <f t="shared" si="17"/>
        <v>0</v>
      </c>
      <c r="H137" s="36"/>
      <c r="I137" s="36"/>
      <c r="J137" s="36">
        <f t="shared" si="18"/>
        <v>0</v>
      </c>
      <c r="K137" s="36">
        <v>0</v>
      </c>
      <c r="L137" s="36">
        <v>0</v>
      </c>
      <c r="M137" s="36">
        <f t="shared" si="19"/>
        <v>0</v>
      </c>
      <c r="N137" s="36">
        <v>6000</v>
      </c>
      <c r="O137" s="36">
        <v>6000</v>
      </c>
      <c r="P137" s="36">
        <f t="shared" si="20"/>
        <v>0</v>
      </c>
      <c r="Q137" s="36">
        <v>0</v>
      </c>
      <c r="R137" s="36">
        <v>0</v>
      </c>
      <c r="S137" s="36">
        <f t="shared" si="21"/>
        <v>0</v>
      </c>
      <c r="T137" s="36"/>
      <c r="U137" s="36"/>
      <c r="V137" s="36">
        <f t="shared" si="22"/>
        <v>0</v>
      </c>
      <c r="W137" s="36"/>
      <c r="X137" s="36"/>
      <c r="Y137" s="36">
        <f t="shared" si="23"/>
        <v>0</v>
      </c>
      <c r="Z137" s="36"/>
      <c r="AA137" s="36"/>
      <c r="AB137" s="36">
        <f t="shared" si="24"/>
        <v>0</v>
      </c>
    </row>
    <row r="138" spans="1:187" s="28" customFormat="1" ht="31.5">
      <c r="A138" s="35" t="s">
        <v>136</v>
      </c>
      <c r="B138" s="36">
        <f t="shared" si="16"/>
        <v>872</v>
      </c>
      <c r="C138" s="36">
        <f t="shared" si="16"/>
        <v>872</v>
      </c>
      <c r="D138" s="36">
        <f t="shared" si="16"/>
        <v>0</v>
      </c>
      <c r="E138" s="36">
        <v>0</v>
      </c>
      <c r="F138" s="36">
        <v>0</v>
      </c>
      <c r="G138" s="36">
        <f t="shared" si="17"/>
        <v>0</v>
      </c>
      <c r="H138" s="36"/>
      <c r="I138" s="36"/>
      <c r="J138" s="36">
        <f t="shared" si="18"/>
        <v>0</v>
      </c>
      <c r="K138" s="36">
        <v>872</v>
      </c>
      <c r="L138" s="36">
        <v>872</v>
      </c>
      <c r="M138" s="36">
        <f t="shared" si="19"/>
        <v>0</v>
      </c>
      <c r="N138" s="36"/>
      <c r="O138" s="36"/>
      <c r="P138" s="36">
        <f t="shared" si="20"/>
        <v>0</v>
      </c>
      <c r="Q138" s="36"/>
      <c r="R138" s="36"/>
      <c r="S138" s="36">
        <f t="shared" si="21"/>
        <v>0</v>
      </c>
      <c r="T138" s="36">
        <v>0</v>
      </c>
      <c r="U138" s="36">
        <v>0</v>
      </c>
      <c r="V138" s="36">
        <f t="shared" si="22"/>
        <v>0</v>
      </c>
      <c r="W138" s="36"/>
      <c r="X138" s="36"/>
      <c r="Y138" s="36">
        <f t="shared" si="23"/>
        <v>0</v>
      </c>
      <c r="Z138" s="36"/>
      <c r="AA138" s="36"/>
      <c r="AB138" s="36">
        <f t="shared" si="24"/>
        <v>0</v>
      </c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1"/>
      <c r="AY138" s="11"/>
      <c r="AZ138" s="11"/>
      <c r="BA138" s="11"/>
      <c r="BB138" s="11"/>
      <c r="BC138" s="11"/>
      <c r="BD138" s="11"/>
      <c r="BE138" s="11"/>
      <c r="BF138" s="11"/>
      <c r="BG138" s="11"/>
      <c r="BH138" s="11"/>
      <c r="BI138" s="11"/>
      <c r="BJ138" s="11"/>
      <c r="BK138" s="11"/>
      <c r="BL138" s="11"/>
      <c r="BM138" s="11"/>
      <c r="BN138" s="11"/>
      <c r="BO138" s="11"/>
      <c r="BP138" s="11"/>
      <c r="BQ138" s="11"/>
      <c r="BR138" s="11"/>
      <c r="BS138" s="11"/>
      <c r="BT138" s="11"/>
      <c r="BU138" s="11"/>
      <c r="BV138" s="11"/>
      <c r="BW138" s="11"/>
      <c r="BX138" s="11"/>
      <c r="BY138" s="11"/>
      <c r="BZ138" s="11"/>
      <c r="CA138" s="11"/>
      <c r="CB138" s="11"/>
      <c r="CC138" s="11"/>
      <c r="CD138" s="11"/>
      <c r="CE138" s="11"/>
      <c r="CF138" s="11"/>
      <c r="CG138" s="11"/>
      <c r="CH138" s="11"/>
      <c r="CI138" s="11"/>
      <c r="CJ138" s="11"/>
      <c r="CK138" s="11"/>
      <c r="CL138" s="11"/>
      <c r="CM138" s="11"/>
      <c r="CN138" s="11"/>
      <c r="CO138" s="11"/>
      <c r="CP138" s="11"/>
      <c r="CQ138" s="11"/>
      <c r="CR138" s="11"/>
      <c r="CS138" s="11"/>
      <c r="CT138" s="11"/>
      <c r="CU138" s="11"/>
      <c r="CV138" s="11"/>
      <c r="CW138" s="11"/>
      <c r="CX138" s="11"/>
      <c r="CY138" s="11"/>
      <c r="CZ138" s="11"/>
      <c r="DA138" s="11"/>
      <c r="DB138" s="11"/>
      <c r="DC138" s="11"/>
      <c r="DD138" s="11"/>
      <c r="DE138" s="11"/>
      <c r="DF138" s="11"/>
      <c r="DG138" s="11"/>
      <c r="DH138" s="11"/>
      <c r="DI138" s="11"/>
      <c r="DJ138" s="11"/>
      <c r="DK138" s="11"/>
      <c r="DL138" s="11"/>
      <c r="DM138" s="11"/>
      <c r="DN138" s="11"/>
      <c r="DO138" s="11"/>
      <c r="DP138" s="11"/>
      <c r="DQ138" s="11"/>
      <c r="DR138" s="11"/>
      <c r="DS138" s="11"/>
      <c r="DT138" s="11"/>
      <c r="DU138" s="11"/>
      <c r="DV138" s="11"/>
      <c r="DW138" s="11"/>
      <c r="DX138" s="11"/>
      <c r="DY138" s="11"/>
      <c r="DZ138" s="11"/>
      <c r="EA138" s="11"/>
      <c r="EB138" s="11"/>
      <c r="EC138" s="11"/>
      <c r="ED138" s="11"/>
      <c r="EE138" s="11"/>
      <c r="EF138" s="11"/>
      <c r="EG138" s="11"/>
      <c r="EH138" s="11"/>
      <c r="EI138" s="11"/>
      <c r="EJ138" s="11"/>
      <c r="EK138" s="11"/>
      <c r="EL138" s="11"/>
      <c r="EM138" s="11"/>
      <c r="EN138" s="11"/>
      <c r="EO138" s="11"/>
      <c r="EP138" s="11"/>
      <c r="EQ138" s="11"/>
      <c r="ER138" s="11"/>
      <c r="ES138" s="11"/>
      <c r="ET138" s="11"/>
      <c r="EU138" s="11"/>
      <c r="EV138" s="11"/>
      <c r="EW138" s="11"/>
      <c r="EX138" s="11"/>
      <c r="EY138" s="11"/>
      <c r="EZ138" s="11"/>
      <c r="FA138" s="11"/>
      <c r="FB138" s="11"/>
      <c r="FC138" s="11"/>
      <c r="FD138" s="11"/>
      <c r="FE138" s="11"/>
      <c r="FF138" s="11"/>
      <c r="FG138" s="11"/>
      <c r="FH138" s="11"/>
      <c r="FI138" s="11"/>
      <c r="FJ138" s="11"/>
      <c r="FK138" s="11"/>
      <c r="FL138" s="11"/>
      <c r="FM138" s="11"/>
      <c r="FN138" s="11"/>
      <c r="FO138" s="11"/>
      <c r="FP138" s="11"/>
      <c r="FQ138" s="11"/>
      <c r="FR138" s="11"/>
      <c r="FS138" s="11"/>
      <c r="FT138" s="11"/>
      <c r="FU138" s="11"/>
      <c r="FV138" s="11"/>
      <c r="FW138" s="11"/>
      <c r="FX138" s="11"/>
      <c r="FY138" s="11"/>
      <c r="FZ138" s="11"/>
      <c r="GA138" s="11"/>
      <c r="GB138" s="11"/>
      <c r="GC138" s="11"/>
      <c r="GD138" s="11"/>
      <c r="GE138" s="11"/>
    </row>
    <row r="139" spans="1:187" s="28" customFormat="1" ht="31.5">
      <c r="A139" s="35" t="s">
        <v>137</v>
      </c>
      <c r="B139" s="36">
        <f t="shared" si="16"/>
        <v>2617</v>
      </c>
      <c r="C139" s="36">
        <f t="shared" si="16"/>
        <v>2617</v>
      </c>
      <c r="D139" s="36">
        <f t="shared" si="16"/>
        <v>0</v>
      </c>
      <c r="E139" s="36">
        <v>0</v>
      </c>
      <c r="F139" s="36">
        <v>0</v>
      </c>
      <c r="G139" s="36">
        <f t="shared" ref="G139:G203" si="25">F139-E139</f>
        <v>0</v>
      </c>
      <c r="H139" s="36"/>
      <c r="I139" s="36"/>
      <c r="J139" s="36">
        <f t="shared" si="18"/>
        <v>0</v>
      </c>
      <c r="K139" s="36">
        <v>2617</v>
      </c>
      <c r="L139" s="36">
        <v>2617</v>
      </c>
      <c r="M139" s="36">
        <f t="shared" si="19"/>
        <v>0</v>
      </c>
      <c r="N139" s="36"/>
      <c r="O139" s="36"/>
      <c r="P139" s="36">
        <f t="shared" si="20"/>
        <v>0</v>
      </c>
      <c r="Q139" s="36"/>
      <c r="R139" s="36"/>
      <c r="S139" s="36">
        <f t="shared" si="21"/>
        <v>0</v>
      </c>
      <c r="T139" s="36">
        <v>0</v>
      </c>
      <c r="U139" s="36">
        <v>0</v>
      </c>
      <c r="V139" s="36">
        <f t="shared" si="22"/>
        <v>0</v>
      </c>
      <c r="W139" s="36"/>
      <c r="X139" s="36"/>
      <c r="Y139" s="36">
        <f t="shared" si="23"/>
        <v>0</v>
      </c>
      <c r="Z139" s="36"/>
      <c r="AA139" s="36"/>
      <c r="AB139" s="36">
        <f t="shared" si="24"/>
        <v>0</v>
      </c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11"/>
      <c r="AY139" s="11"/>
      <c r="AZ139" s="11"/>
      <c r="BA139" s="11"/>
      <c r="BB139" s="11"/>
      <c r="BC139" s="11"/>
      <c r="BD139" s="11"/>
      <c r="BE139" s="11"/>
      <c r="BF139" s="11"/>
      <c r="BG139" s="11"/>
      <c r="BH139" s="11"/>
      <c r="BI139" s="11"/>
      <c r="BJ139" s="11"/>
      <c r="BK139" s="11"/>
      <c r="BL139" s="11"/>
      <c r="BM139" s="11"/>
      <c r="BN139" s="11"/>
      <c r="BO139" s="11"/>
      <c r="BP139" s="11"/>
      <c r="BQ139" s="11"/>
      <c r="BR139" s="11"/>
      <c r="BS139" s="11"/>
      <c r="BT139" s="11"/>
      <c r="BU139" s="11"/>
      <c r="BV139" s="11"/>
      <c r="BW139" s="11"/>
      <c r="BX139" s="11"/>
      <c r="BY139" s="11"/>
      <c r="BZ139" s="11"/>
      <c r="CA139" s="11"/>
      <c r="CB139" s="11"/>
      <c r="CC139" s="11"/>
      <c r="CD139" s="11"/>
      <c r="CE139" s="11"/>
      <c r="CF139" s="11"/>
      <c r="CG139" s="11"/>
      <c r="CH139" s="11"/>
      <c r="CI139" s="11"/>
      <c r="CJ139" s="11"/>
      <c r="CK139" s="11"/>
      <c r="CL139" s="11"/>
      <c r="CM139" s="11"/>
      <c r="CN139" s="11"/>
      <c r="CO139" s="11"/>
      <c r="CP139" s="11"/>
      <c r="CQ139" s="11"/>
      <c r="CR139" s="11"/>
      <c r="CS139" s="11"/>
      <c r="CT139" s="11"/>
      <c r="CU139" s="11"/>
      <c r="CV139" s="11"/>
      <c r="CW139" s="11"/>
      <c r="CX139" s="11"/>
      <c r="CY139" s="11"/>
      <c r="CZ139" s="11"/>
      <c r="DA139" s="11"/>
      <c r="DB139" s="11"/>
      <c r="DC139" s="11"/>
      <c r="DD139" s="11"/>
      <c r="DE139" s="11"/>
      <c r="DF139" s="11"/>
      <c r="DG139" s="11"/>
      <c r="DH139" s="11"/>
      <c r="DI139" s="11"/>
      <c r="DJ139" s="11"/>
      <c r="DK139" s="11"/>
      <c r="DL139" s="11"/>
      <c r="DM139" s="11"/>
      <c r="DN139" s="11"/>
      <c r="DO139" s="11"/>
      <c r="DP139" s="11"/>
      <c r="DQ139" s="11"/>
      <c r="DR139" s="11"/>
      <c r="DS139" s="11"/>
      <c r="DT139" s="11"/>
      <c r="DU139" s="11"/>
      <c r="DV139" s="11"/>
      <c r="DW139" s="11"/>
      <c r="DX139" s="11"/>
      <c r="DY139" s="11"/>
      <c r="DZ139" s="11"/>
      <c r="EA139" s="11"/>
      <c r="EB139" s="11"/>
      <c r="EC139" s="11"/>
      <c r="ED139" s="11"/>
      <c r="EE139" s="11"/>
      <c r="EF139" s="11"/>
      <c r="EG139" s="11"/>
      <c r="EH139" s="11"/>
      <c r="EI139" s="11"/>
      <c r="EJ139" s="11"/>
      <c r="EK139" s="11"/>
      <c r="EL139" s="11"/>
      <c r="EM139" s="11"/>
      <c r="EN139" s="11"/>
      <c r="EO139" s="11"/>
      <c r="EP139" s="11"/>
      <c r="EQ139" s="11"/>
      <c r="ER139" s="11"/>
      <c r="ES139" s="11"/>
      <c r="ET139" s="11"/>
      <c r="EU139" s="11"/>
      <c r="EV139" s="11"/>
      <c r="EW139" s="11"/>
      <c r="EX139" s="11"/>
      <c r="EY139" s="11"/>
      <c r="EZ139" s="11"/>
      <c r="FA139" s="11"/>
      <c r="FB139" s="11"/>
      <c r="FC139" s="11"/>
      <c r="FD139" s="11"/>
      <c r="FE139" s="11"/>
      <c r="FF139" s="11"/>
      <c r="FG139" s="11"/>
      <c r="FH139" s="11"/>
      <c r="FI139" s="11"/>
      <c r="FJ139" s="11"/>
      <c r="FK139" s="11"/>
      <c r="FL139" s="11"/>
      <c r="FM139" s="11"/>
      <c r="FN139" s="11"/>
      <c r="FO139" s="11"/>
      <c r="FP139" s="11"/>
      <c r="FQ139" s="11"/>
      <c r="FR139" s="11"/>
      <c r="FS139" s="11"/>
      <c r="FT139" s="11"/>
      <c r="FU139" s="11"/>
      <c r="FV139" s="11"/>
      <c r="FW139" s="11"/>
      <c r="FX139" s="11"/>
      <c r="FY139" s="11"/>
      <c r="FZ139" s="11"/>
      <c r="GA139" s="11"/>
      <c r="GB139" s="11"/>
      <c r="GC139" s="11"/>
      <c r="GD139" s="11"/>
      <c r="GE139" s="11"/>
    </row>
    <row r="140" spans="1:187" s="28" customFormat="1" ht="31.5">
      <c r="A140" s="35" t="s">
        <v>138</v>
      </c>
      <c r="B140" s="36">
        <f t="shared" si="16"/>
        <v>1511</v>
      </c>
      <c r="C140" s="36">
        <f t="shared" si="16"/>
        <v>1511</v>
      </c>
      <c r="D140" s="36">
        <f t="shared" si="16"/>
        <v>0</v>
      </c>
      <c r="E140" s="36">
        <v>0</v>
      </c>
      <c r="F140" s="36">
        <v>0</v>
      </c>
      <c r="G140" s="36">
        <f t="shared" si="25"/>
        <v>0</v>
      </c>
      <c r="H140" s="36"/>
      <c r="I140" s="36"/>
      <c r="J140" s="36">
        <f t="shared" si="18"/>
        <v>0</v>
      </c>
      <c r="K140" s="36">
        <v>1511</v>
      </c>
      <c r="L140" s="36">
        <v>1511</v>
      </c>
      <c r="M140" s="36">
        <f t="shared" si="19"/>
        <v>0</v>
      </c>
      <c r="N140" s="36"/>
      <c r="O140" s="36"/>
      <c r="P140" s="36">
        <f t="shared" si="20"/>
        <v>0</v>
      </c>
      <c r="Q140" s="36"/>
      <c r="R140" s="36"/>
      <c r="S140" s="36">
        <f t="shared" si="21"/>
        <v>0</v>
      </c>
      <c r="T140" s="36">
        <v>0</v>
      </c>
      <c r="U140" s="36">
        <v>0</v>
      </c>
      <c r="V140" s="36">
        <f t="shared" si="22"/>
        <v>0</v>
      </c>
      <c r="W140" s="36"/>
      <c r="X140" s="36"/>
      <c r="Y140" s="36">
        <f t="shared" si="23"/>
        <v>0</v>
      </c>
      <c r="Z140" s="36"/>
      <c r="AA140" s="36"/>
      <c r="AB140" s="36">
        <f t="shared" si="24"/>
        <v>0</v>
      </c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1"/>
      <c r="AY140" s="11"/>
      <c r="AZ140" s="11"/>
      <c r="BA140" s="11"/>
      <c r="BB140" s="11"/>
      <c r="BC140" s="11"/>
      <c r="BD140" s="11"/>
      <c r="BE140" s="11"/>
      <c r="BF140" s="11"/>
      <c r="BG140" s="11"/>
      <c r="BH140" s="11"/>
      <c r="BI140" s="11"/>
      <c r="BJ140" s="11"/>
      <c r="BK140" s="11"/>
      <c r="BL140" s="11"/>
      <c r="BM140" s="11"/>
      <c r="BN140" s="11"/>
      <c r="BO140" s="11"/>
      <c r="BP140" s="11"/>
      <c r="BQ140" s="11"/>
      <c r="BR140" s="11"/>
      <c r="BS140" s="11"/>
      <c r="BT140" s="11"/>
      <c r="BU140" s="11"/>
      <c r="BV140" s="11"/>
      <c r="BW140" s="11"/>
      <c r="BX140" s="11"/>
      <c r="BY140" s="11"/>
      <c r="BZ140" s="11"/>
      <c r="CA140" s="11"/>
      <c r="CB140" s="11"/>
      <c r="CC140" s="11"/>
      <c r="CD140" s="11"/>
      <c r="CE140" s="11"/>
      <c r="CF140" s="11"/>
      <c r="CG140" s="11"/>
      <c r="CH140" s="11"/>
      <c r="CI140" s="11"/>
      <c r="CJ140" s="11"/>
      <c r="CK140" s="11"/>
      <c r="CL140" s="11"/>
      <c r="CM140" s="11"/>
      <c r="CN140" s="11"/>
      <c r="CO140" s="11"/>
      <c r="CP140" s="11"/>
      <c r="CQ140" s="11"/>
      <c r="CR140" s="11"/>
      <c r="CS140" s="11"/>
      <c r="CT140" s="11"/>
      <c r="CU140" s="11"/>
      <c r="CV140" s="11"/>
      <c r="CW140" s="11"/>
      <c r="CX140" s="11"/>
      <c r="CY140" s="11"/>
      <c r="CZ140" s="11"/>
      <c r="DA140" s="11"/>
      <c r="DB140" s="11"/>
      <c r="DC140" s="11"/>
      <c r="DD140" s="11"/>
      <c r="DE140" s="11"/>
      <c r="DF140" s="11"/>
      <c r="DG140" s="11"/>
      <c r="DH140" s="11"/>
      <c r="DI140" s="11"/>
      <c r="DJ140" s="11"/>
      <c r="DK140" s="11"/>
      <c r="DL140" s="11"/>
      <c r="DM140" s="11"/>
      <c r="DN140" s="11"/>
      <c r="DO140" s="11"/>
      <c r="DP140" s="11"/>
      <c r="DQ140" s="11"/>
      <c r="DR140" s="11"/>
      <c r="DS140" s="11"/>
      <c r="DT140" s="11"/>
      <c r="DU140" s="11"/>
      <c r="DV140" s="11"/>
      <c r="DW140" s="11"/>
      <c r="DX140" s="11"/>
      <c r="DY140" s="11"/>
      <c r="DZ140" s="11"/>
      <c r="EA140" s="11"/>
      <c r="EB140" s="11"/>
      <c r="EC140" s="11"/>
      <c r="ED140" s="11"/>
      <c r="EE140" s="11"/>
      <c r="EF140" s="11"/>
      <c r="EG140" s="11"/>
      <c r="EH140" s="11"/>
      <c r="EI140" s="11"/>
      <c r="EJ140" s="11"/>
      <c r="EK140" s="11"/>
      <c r="EL140" s="11"/>
      <c r="EM140" s="11"/>
      <c r="EN140" s="11"/>
      <c r="EO140" s="11"/>
      <c r="EP140" s="11"/>
      <c r="EQ140" s="11"/>
      <c r="ER140" s="11"/>
      <c r="ES140" s="11"/>
      <c r="ET140" s="11"/>
      <c r="EU140" s="11"/>
      <c r="EV140" s="11"/>
      <c r="EW140" s="11"/>
      <c r="EX140" s="11"/>
      <c r="EY140" s="11"/>
      <c r="EZ140" s="11"/>
      <c r="FA140" s="11"/>
      <c r="FB140" s="11"/>
      <c r="FC140" s="11"/>
      <c r="FD140" s="11"/>
      <c r="FE140" s="11"/>
      <c r="FF140" s="11"/>
      <c r="FG140" s="11"/>
      <c r="FH140" s="11"/>
      <c r="FI140" s="11"/>
      <c r="FJ140" s="11"/>
      <c r="FK140" s="11"/>
      <c r="FL140" s="11"/>
      <c r="FM140" s="11"/>
      <c r="FN140" s="11"/>
      <c r="FO140" s="11"/>
      <c r="FP140" s="11"/>
      <c r="FQ140" s="11"/>
      <c r="FR140" s="11"/>
      <c r="FS140" s="11"/>
      <c r="FT140" s="11"/>
      <c r="FU140" s="11"/>
      <c r="FV140" s="11"/>
      <c r="FW140" s="11"/>
      <c r="FX140" s="11"/>
      <c r="FY140" s="11"/>
      <c r="FZ140" s="11"/>
      <c r="GA140" s="11"/>
      <c r="GB140" s="11"/>
      <c r="GC140" s="11"/>
      <c r="GD140" s="11"/>
      <c r="GE140" s="11"/>
    </row>
    <row r="141" spans="1:187" s="28" customFormat="1">
      <c r="A141" s="35" t="s">
        <v>139</v>
      </c>
      <c r="B141" s="36">
        <f t="shared" si="16"/>
        <v>0</v>
      </c>
      <c r="C141" s="36">
        <f t="shared" si="16"/>
        <v>1031</v>
      </c>
      <c r="D141" s="36">
        <f t="shared" si="16"/>
        <v>1031</v>
      </c>
      <c r="E141" s="36">
        <v>0</v>
      </c>
      <c r="F141" s="36">
        <v>0</v>
      </c>
      <c r="G141" s="36">
        <f t="shared" si="25"/>
        <v>0</v>
      </c>
      <c r="H141" s="36"/>
      <c r="I141" s="36"/>
      <c r="J141" s="36">
        <f t="shared" si="18"/>
        <v>0</v>
      </c>
      <c r="K141" s="36">
        <v>0</v>
      </c>
      <c r="L141" s="36">
        <v>1031</v>
      </c>
      <c r="M141" s="36">
        <f t="shared" si="19"/>
        <v>1031</v>
      </c>
      <c r="N141" s="36"/>
      <c r="O141" s="36"/>
      <c r="P141" s="36">
        <f t="shared" si="20"/>
        <v>0</v>
      </c>
      <c r="Q141" s="36"/>
      <c r="R141" s="36"/>
      <c r="S141" s="36">
        <f t="shared" si="21"/>
        <v>0</v>
      </c>
      <c r="T141" s="36">
        <v>0</v>
      </c>
      <c r="U141" s="36">
        <v>0</v>
      </c>
      <c r="V141" s="36">
        <f t="shared" si="22"/>
        <v>0</v>
      </c>
      <c r="W141" s="36"/>
      <c r="X141" s="36"/>
      <c r="Y141" s="36">
        <f t="shared" si="23"/>
        <v>0</v>
      </c>
      <c r="Z141" s="36"/>
      <c r="AA141" s="36"/>
      <c r="AB141" s="36">
        <f t="shared" si="24"/>
        <v>0</v>
      </c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1"/>
      <c r="AY141" s="11"/>
      <c r="AZ141" s="11"/>
      <c r="BA141" s="11"/>
      <c r="BB141" s="11"/>
      <c r="BC141" s="11"/>
      <c r="BD141" s="11"/>
      <c r="BE141" s="11"/>
      <c r="BF141" s="11"/>
      <c r="BG141" s="11"/>
      <c r="BH141" s="11"/>
      <c r="BI141" s="11"/>
      <c r="BJ141" s="11"/>
      <c r="BK141" s="11"/>
      <c r="BL141" s="11"/>
      <c r="BM141" s="11"/>
      <c r="BN141" s="11"/>
      <c r="BO141" s="11"/>
      <c r="BP141" s="11"/>
      <c r="BQ141" s="11"/>
      <c r="BR141" s="11"/>
      <c r="BS141" s="11"/>
      <c r="BT141" s="11"/>
      <c r="BU141" s="11"/>
      <c r="BV141" s="11"/>
      <c r="BW141" s="11"/>
      <c r="BX141" s="11"/>
      <c r="BY141" s="11"/>
      <c r="BZ141" s="11"/>
      <c r="CA141" s="11"/>
      <c r="CB141" s="11"/>
      <c r="CC141" s="11"/>
      <c r="CD141" s="11"/>
      <c r="CE141" s="11"/>
      <c r="CF141" s="11"/>
      <c r="CG141" s="11"/>
      <c r="CH141" s="11"/>
      <c r="CI141" s="11"/>
      <c r="CJ141" s="11"/>
      <c r="CK141" s="11"/>
      <c r="CL141" s="11"/>
      <c r="CM141" s="11"/>
      <c r="CN141" s="11"/>
      <c r="CO141" s="11"/>
      <c r="CP141" s="11"/>
      <c r="CQ141" s="11"/>
      <c r="CR141" s="11"/>
      <c r="CS141" s="11"/>
      <c r="CT141" s="11"/>
      <c r="CU141" s="11"/>
      <c r="CV141" s="11"/>
      <c r="CW141" s="11"/>
      <c r="CX141" s="11"/>
      <c r="CY141" s="11"/>
      <c r="CZ141" s="11"/>
      <c r="DA141" s="11"/>
      <c r="DB141" s="11"/>
      <c r="DC141" s="11"/>
      <c r="DD141" s="11"/>
      <c r="DE141" s="11"/>
      <c r="DF141" s="11"/>
      <c r="DG141" s="11"/>
      <c r="DH141" s="11"/>
      <c r="DI141" s="11"/>
      <c r="DJ141" s="11"/>
      <c r="DK141" s="11"/>
      <c r="DL141" s="11"/>
      <c r="DM141" s="11"/>
      <c r="DN141" s="11"/>
      <c r="DO141" s="11"/>
      <c r="DP141" s="11"/>
      <c r="DQ141" s="11"/>
      <c r="DR141" s="11"/>
      <c r="DS141" s="11"/>
      <c r="DT141" s="11"/>
      <c r="DU141" s="11"/>
      <c r="DV141" s="11"/>
      <c r="DW141" s="11"/>
      <c r="DX141" s="11"/>
      <c r="DY141" s="11"/>
      <c r="DZ141" s="11"/>
      <c r="EA141" s="11"/>
      <c r="EB141" s="11"/>
      <c r="EC141" s="11"/>
      <c r="ED141" s="11"/>
      <c r="EE141" s="11"/>
      <c r="EF141" s="11"/>
      <c r="EG141" s="11"/>
      <c r="EH141" s="11"/>
      <c r="EI141" s="11"/>
      <c r="EJ141" s="11"/>
      <c r="EK141" s="11"/>
      <c r="EL141" s="11"/>
      <c r="EM141" s="11"/>
      <c r="EN141" s="11"/>
      <c r="EO141" s="11"/>
      <c r="EP141" s="11"/>
      <c r="EQ141" s="11"/>
      <c r="ER141" s="11"/>
      <c r="ES141" s="11"/>
      <c r="ET141" s="11"/>
      <c r="EU141" s="11"/>
      <c r="EV141" s="11"/>
      <c r="EW141" s="11"/>
      <c r="EX141" s="11"/>
      <c r="EY141" s="11"/>
      <c r="EZ141" s="11"/>
      <c r="FA141" s="11"/>
      <c r="FB141" s="11"/>
      <c r="FC141" s="11"/>
      <c r="FD141" s="11"/>
      <c r="FE141" s="11"/>
      <c r="FF141" s="11"/>
      <c r="FG141" s="11"/>
      <c r="FH141" s="11"/>
      <c r="FI141" s="11"/>
      <c r="FJ141" s="11"/>
      <c r="FK141" s="11"/>
      <c r="FL141" s="11"/>
      <c r="FM141" s="11"/>
      <c r="FN141" s="11"/>
      <c r="FO141" s="11"/>
      <c r="FP141" s="11"/>
      <c r="FQ141" s="11"/>
      <c r="FR141" s="11"/>
      <c r="FS141" s="11"/>
      <c r="FT141" s="11"/>
      <c r="FU141" s="11"/>
      <c r="FV141" s="11"/>
      <c r="FW141" s="11"/>
      <c r="FX141" s="11"/>
      <c r="FY141" s="11"/>
      <c r="FZ141" s="11"/>
      <c r="GA141" s="11"/>
      <c r="GB141" s="11"/>
      <c r="GC141" s="11"/>
      <c r="GD141" s="11"/>
      <c r="GE141" s="11"/>
    </row>
    <row r="142" spans="1:187" s="28" customFormat="1" ht="31.5">
      <c r="A142" s="35" t="s">
        <v>140</v>
      </c>
      <c r="B142" s="36">
        <f t="shared" si="16"/>
        <v>2062</v>
      </c>
      <c r="C142" s="36">
        <f t="shared" si="16"/>
        <v>2062</v>
      </c>
      <c r="D142" s="36">
        <f t="shared" si="16"/>
        <v>0</v>
      </c>
      <c r="E142" s="36">
        <v>0</v>
      </c>
      <c r="F142" s="36">
        <v>0</v>
      </c>
      <c r="G142" s="36">
        <f t="shared" si="25"/>
        <v>0</v>
      </c>
      <c r="H142" s="36"/>
      <c r="I142" s="36"/>
      <c r="J142" s="36">
        <f t="shared" si="18"/>
        <v>0</v>
      </c>
      <c r="K142" s="36">
        <v>2062</v>
      </c>
      <c r="L142" s="36">
        <v>2062</v>
      </c>
      <c r="M142" s="36">
        <f t="shared" si="19"/>
        <v>0</v>
      </c>
      <c r="N142" s="36"/>
      <c r="O142" s="36"/>
      <c r="P142" s="36">
        <f t="shared" si="20"/>
        <v>0</v>
      </c>
      <c r="Q142" s="36"/>
      <c r="R142" s="36"/>
      <c r="S142" s="36">
        <f t="shared" si="21"/>
        <v>0</v>
      </c>
      <c r="T142" s="36">
        <v>0</v>
      </c>
      <c r="U142" s="36">
        <v>0</v>
      </c>
      <c r="V142" s="36">
        <f t="shared" si="22"/>
        <v>0</v>
      </c>
      <c r="W142" s="36"/>
      <c r="X142" s="36"/>
      <c r="Y142" s="36">
        <f t="shared" si="23"/>
        <v>0</v>
      </c>
      <c r="Z142" s="36"/>
      <c r="AA142" s="36"/>
      <c r="AB142" s="36">
        <f t="shared" si="24"/>
        <v>0</v>
      </c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  <c r="AX142" s="11"/>
      <c r="AY142" s="11"/>
      <c r="AZ142" s="11"/>
      <c r="BA142" s="11"/>
      <c r="BB142" s="11"/>
      <c r="BC142" s="11"/>
      <c r="BD142" s="11"/>
      <c r="BE142" s="11"/>
      <c r="BF142" s="11"/>
      <c r="BG142" s="11"/>
      <c r="BH142" s="11"/>
      <c r="BI142" s="11"/>
      <c r="BJ142" s="11"/>
      <c r="BK142" s="11"/>
      <c r="BL142" s="11"/>
      <c r="BM142" s="11"/>
      <c r="BN142" s="11"/>
      <c r="BO142" s="11"/>
      <c r="BP142" s="11"/>
      <c r="BQ142" s="11"/>
      <c r="BR142" s="11"/>
      <c r="BS142" s="11"/>
      <c r="BT142" s="11"/>
      <c r="BU142" s="11"/>
      <c r="BV142" s="11"/>
      <c r="BW142" s="11"/>
      <c r="BX142" s="11"/>
      <c r="BY142" s="11"/>
      <c r="BZ142" s="11"/>
      <c r="CA142" s="11"/>
      <c r="CB142" s="11"/>
      <c r="CC142" s="11"/>
      <c r="CD142" s="11"/>
      <c r="CE142" s="11"/>
      <c r="CF142" s="11"/>
      <c r="CG142" s="11"/>
      <c r="CH142" s="11"/>
      <c r="CI142" s="11"/>
      <c r="CJ142" s="11"/>
      <c r="CK142" s="11"/>
      <c r="CL142" s="11"/>
      <c r="CM142" s="11"/>
      <c r="CN142" s="11"/>
      <c r="CO142" s="11"/>
      <c r="CP142" s="11"/>
      <c r="CQ142" s="11"/>
      <c r="CR142" s="11"/>
      <c r="CS142" s="11"/>
      <c r="CT142" s="11"/>
      <c r="CU142" s="11"/>
      <c r="CV142" s="11"/>
      <c r="CW142" s="11"/>
      <c r="CX142" s="11"/>
      <c r="CY142" s="11"/>
      <c r="CZ142" s="11"/>
      <c r="DA142" s="11"/>
      <c r="DB142" s="11"/>
      <c r="DC142" s="11"/>
      <c r="DD142" s="11"/>
      <c r="DE142" s="11"/>
      <c r="DF142" s="11"/>
      <c r="DG142" s="11"/>
      <c r="DH142" s="11"/>
      <c r="DI142" s="11"/>
      <c r="DJ142" s="11"/>
      <c r="DK142" s="11"/>
      <c r="DL142" s="11"/>
      <c r="DM142" s="11"/>
      <c r="DN142" s="11"/>
      <c r="DO142" s="11"/>
      <c r="DP142" s="11"/>
      <c r="DQ142" s="11"/>
      <c r="DR142" s="11"/>
      <c r="DS142" s="11"/>
      <c r="DT142" s="11"/>
      <c r="DU142" s="11"/>
      <c r="DV142" s="11"/>
      <c r="DW142" s="11"/>
      <c r="DX142" s="11"/>
      <c r="DY142" s="11"/>
      <c r="DZ142" s="11"/>
      <c r="EA142" s="11"/>
      <c r="EB142" s="11"/>
      <c r="EC142" s="11"/>
      <c r="ED142" s="11"/>
      <c r="EE142" s="11"/>
      <c r="EF142" s="11"/>
      <c r="EG142" s="11"/>
      <c r="EH142" s="11"/>
      <c r="EI142" s="11"/>
      <c r="EJ142" s="11"/>
      <c r="EK142" s="11"/>
      <c r="EL142" s="11"/>
      <c r="EM142" s="11"/>
      <c r="EN142" s="11"/>
      <c r="EO142" s="11"/>
      <c r="EP142" s="11"/>
      <c r="EQ142" s="11"/>
      <c r="ER142" s="11"/>
      <c r="ES142" s="11"/>
      <c r="ET142" s="11"/>
      <c r="EU142" s="11"/>
      <c r="EV142" s="11"/>
      <c r="EW142" s="11"/>
      <c r="EX142" s="11"/>
      <c r="EY142" s="11"/>
      <c r="EZ142" s="11"/>
      <c r="FA142" s="11"/>
      <c r="FB142" s="11"/>
      <c r="FC142" s="11"/>
      <c r="FD142" s="11"/>
      <c r="FE142" s="11"/>
      <c r="FF142" s="11"/>
      <c r="FG142" s="11"/>
      <c r="FH142" s="11"/>
      <c r="FI142" s="11"/>
      <c r="FJ142" s="11"/>
      <c r="FK142" s="11"/>
      <c r="FL142" s="11"/>
      <c r="FM142" s="11"/>
      <c r="FN142" s="11"/>
      <c r="FO142" s="11"/>
      <c r="FP142" s="11"/>
      <c r="FQ142" s="11"/>
      <c r="FR142" s="11"/>
      <c r="FS142" s="11"/>
      <c r="FT142" s="11"/>
      <c r="FU142" s="11"/>
      <c r="FV142" s="11"/>
      <c r="FW142" s="11"/>
      <c r="FX142" s="11"/>
      <c r="FY142" s="11"/>
      <c r="FZ142" s="11"/>
      <c r="GA142" s="11"/>
      <c r="GB142" s="11"/>
      <c r="GC142" s="11"/>
      <c r="GD142" s="11"/>
      <c r="GE142" s="11"/>
    </row>
    <row r="143" spans="1:187" s="28" customFormat="1" ht="31.5">
      <c r="A143" s="35" t="s">
        <v>141</v>
      </c>
      <c r="B143" s="36">
        <f t="shared" si="16"/>
        <v>3149</v>
      </c>
      <c r="C143" s="36">
        <f t="shared" si="16"/>
        <v>3149</v>
      </c>
      <c r="D143" s="36">
        <f t="shared" si="16"/>
        <v>0</v>
      </c>
      <c r="E143" s="36">
        <v>0</v>
      </c>
      <c r="F143" s="36">
        <v>0</v>
      </c>
      <c r="G143" s="36">
        <f t="shared" si="25"/>
        <v>0</v>
      </c>
      <c r="H143" s="36"/>
      <c r="I143" s="36"/>
      <c r="J143" s="36">
        <f t="shared" si="18"/>
        <v>0</v>
      </c>
      <c r="K143" s="36">
        <v>0</v>
      </c>
      <c r="L143" s="36">
        <v>0</v>
      </c>
      <c r="M143" s="36">
        <f t="shared" si="19"/>
        <v>0</v>
      </c>
      <c r="N143" s="36"/>
      <c r="O143" s="36"/>
      <c r="P143" s="36">
        <f t="shared" si="20"/>
        <v>0</v>
      </c>
      <c r="Q143" s="36">
        <f>3000+149</f>
        <v>3149</v>
      </c>
      <c r="R143" s="36">
        <f>3000+149</f>
        <v>3149</v>
      </c>
      <c r="S143" s="36">
        <f t="shared" si="21"/>
        <v>0</v>
      </c>
      <c r="T143" s="36">
        <v>0</v>
      </c>
      <c r="U143" s="36">
        <v>0</v>
      </c>
      <c r="V143" s="36">
        <f t="shared" si="22"/>
        <v>0</v>
      </c>
      <c r="W143" s="36"/>
      <c r="X143" s="36"/>
      <c r="Y143" s="36">
        <f t="shared" si="23"/>
        <v>0</v>
      </c>
      <c r="Z143" s="36"/>
      <c r="AA143" s="36"/>
      <c r="AB143" s="36">
        <f t="shared" si="24"/>
        <v>0</v>
      </c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1"/>
      <c r="AY143" s="11"/>
      <c r="AZ143" s="11"/>
      <c r="BA143" s="11"/>
      <c r="BB143" s="11"/>
      <c r="BC143" s="11"/>
      <c r="BD143" s="11"/>
      <c r="BE143" s="11"/>
      <c r="BF143" s="11"/>
      <c r="BG143" s="11"/>
      <c r="BH143" s="11"/>
      <c r="BI143" s="11"/>
      <c r="BJ143" s="11"/>
      <c r="BK143" s="11"/>
      <c r="BL143" s="11"/>
      <c r="BM143" s="11"/>
      <c r="BN143" s="11"/>
      <c r="BO143" s="11"/>
      <c r="BP143" s="11"/>
      <c r="BQ143" s="11"/>
      <c r="BR143" s="11"/>
      <c r="BS143" s="11"/>
      <c r="BT143" s="11"/>
      <c r="BU143" s="11"/>
      <c r="BV143" s="11"/>
      <c r="BW143" s="11"/>
      <c r="BX143" s="11"/>
      <c r="BY143" s="11"/>
      <c r="BZ143" s="11"/>
      <c r="CA143" s="11"/>
      <c r="CB143" s="11"/>
      <c r="CC143" s="11"/>
      <c r="CD143" s="11"/>
      <c r="CE143" s="11"/>
      <c r="CF143" s="11"/>
      <c r="CG143" s="11"/>
      <c r="CH143" s="11"/>
      <c r="CI143" s="11"/>
      <c r="CJ143" s="11"/>
      <c r="CK143" s="11"/>
      <c r="CL143" s="11"/>
      <c r="CM143" s="11"/>
      <c r="CN143" s="11"/>
      <c r="CO143" s="11"/>
      <c r="CP143" s="11"/>
      <c r="CQ143" s="11"/>
      <c r="CR143" s="11"/>
      <c r="CS143" s="11"/>
      <c r="CT143" s="11"/>
      <c r="CU143" s="11"/>
      <c r="CV143" s="11"/>
      <c r="CW143" s="11"/>
      <c r="CX143" s="11"/>
      <c r="CY143" s="11"/>
      <c r="CZ143" s="11"/>
      <c r="DA143" s="11"/>
      <c r="DB143" s="11"/>
      <c r="DC143" s="11"/>
      <c r="DD143" s="11"/>
      <c r="DE143" s="11"/>
      <c r="DF143" s="11"/>
      <c r="DG143" s="11"/>
      <c r="DH143" s="11"/>
      <c r="DI143" s="11"/>
      <c r="DJ143" s="11"/>
      <c r="DK143" s="11"/>
      <c r="DL143" s="11"/>
      <c r="DM143" s="11"/>
      <c r="DN143" s="11"/>
      <c r="DO143" s="11"/>
      <c r="DP143" s="11"/>
      <c r="DQ143" s="11"/>
      <c r="DR143" s="11"/>
      <c r="DS143" s="11"/>
      <c r="DT143" s="11"/>
      <c r="DU143" s="11"/>
      <c r="DV143" s="11"/>
      <c r="DW143" s="11"/>
      <c r="DX143" s="11"/>
      <c r="DY143" s="11"/>
      <c r="DZ143" s="11"/>
      <c r="EA143" s="11"/>
      <c r="EB143" s="11"/>
      <c r="EC143" s="11"/>
      <c r="ED143" s="11"/>
      <c r="EE143" s="11"/>
      <c r="EF143" s="11"/>
      <c r="EG143" s="11"/>
      <c r="EH143" s="11"/>
      <c r="EI143" s="11"/>
      <c r="EJ143" s="11"/>
      <c r="EK143" s="11"/>
      <c r="EL143" s="11"/>
      <c r="EM143" s="11"/>
      <c r="EN143" s="11"/>
      <c r="EO143" s="11"/>
      <c r="EP143" s="11"/>
      <c r="EQ143" s="11"/>
      <c r="ER143" s="11"/>
      <c r="ES143" s="11"/>
      <c r="ET143" s="11"/>
      <c r="EU143" s="11"/>
      <c r="EV143" s="11"/>
      <c r="EW143" s="11"/>
      <c r="EX143" s="11"/>
      <c r="EY143" s="11"/>
      <c r="EZ143" s="11"/>
      <c r="FA143" s="11"/>
      <c r="FB143" s="11"/>
      <c r="FC143" s="11"/>
      <c r="FD143" s="11"/>
      <c r="FE143" s="11"/>
      <c r="FF143" s="11"/>
      <c r="FG143" s="11"/>
      <c r="FH143" s="11"/>
      <c r="FI143" s="11"/>
      <c r="FJ143" s="11"/>
      <c r="FK143" s="11"/>
      <c r="FL143" s="11"/>
      <c r="FM143" s="11"/>
      <c r="FN143" s="11"/>
      <c r="FO143" s="11"/>
      <c r="FP143" s="11"/>
      <c r="FQ143" s="11"/>
      <c r="FR143" s="11"/>
      <c r="FS143" s="11"/>
      <c r="FT143" s="11"/>
      <c r="FU143" s="11"/>
      <c r="FV143" s="11"/>
      <c r="FW143" s="11"/>
      <c r="FX143" s="11"/>
      <c r="FY143" s="11"/>
      <c r="FZ143" s="11"/>
      <c r="GA143" s="11"/>
      <c r="GB143" s="11"/>
      <c r="GC143" s="11"/>
      <c r="GD143" s="11"/>
      <c r="GE143" s="11"/>
    </row>
    <row r="144" spans="1:187" s="11" customFormat="1">
      <c r="A144" s="29" t="s">
        <v>101</v>
      </c>
      <c r="B144" s="30">
        <f t="shared" ref="B144:D216" si="26">E144+H144+K144+N144+Q144+T144+W144+Z144</f>
        <v>2976580</v>
      </c>
      <c r="C144" s="30">
        <f t="shared" si="26"/>
        <v>2976580</v>
      </c>
      <c r="D144" s="30">
        <f t="shared" si="26"/>
        <v>0</v>
      </c>
      <c r="E144" s="30">
        <f>SUM(E145:E146)</f>
        <v>0</v>
      </c>
      <c r="F144" s="30">
        <f>SUM(F145:F146)</f>
        <v>0</v>
      </c>
      <c r="G144" s="30">
        <f t="shared" si="25"/>
        <v>0</v>
      </c>
      <c r="H144" s="30">
        <f>SUM(H145:H146)</f>
        <v>0</v>
      </c>
      <c r="I144" s="30">
        <f>SUM(I145:I146)</f>
        <v>0</v>
      </c>
      <c r="J144" s="30">
        <f t="shared" si="18"/>
        <v>0</v>
      </c>
      <c r="K144" s="30">
        <f>SUM(K145:K146)</f>
        <v>4980</v>
      </c>
      <c r="L144" s="30">
        <f>SUM(L145:L146)</f>
        <v>22980</v>
      </c>
      <c r="M144" s="30">
        <f t="shared" si="19"/>
        <v>18000</v>
      </c>
      <c r="N144" s="30">
        <f>SUM(N145:N146)</f>
        <v>0</v>
      </c>
      <c r="O144" s="30">
        <f>SUM(O145:O146)</f>
        <v>0</v>
      </c>
      <c r="P144" s="30">
        <f t="shared" si="20"/>
        <v>0</v>
      </c>
      <c r="Q144" s="30">
        <f>SUM(Q145:Q146)</f>
        <v>0</v>
      </c>
      <c r="R144" s="30">
        <f>SUM(R145:R146)</f>
        <v>0</v>
      </c>
      <c r="S144" s="30">
        <f t="shared" si="21"/>
        <v>0</v>
      </c>
      <c r="T144" s="30">
        <f>SUM(T145:T146)</f>
        <v>0</v>
      </c>
      <c r="U144" s="30">
        <f>SUM(U145:U146)</f>
        <v>0</v>
      </c>
      <c r="V144" s="30">
        <f t="shared" si="22"/>
        <v>0</v>
      </c>
      <c r="W144" s="30">
        <f>SUM(W145:W146)</f>
        <v>29711</v>
      </c>
      <c r="X144" s="30">
        <f>SUM(X145:X146)</f>
        <v>35583</v>
      </c>
      <c r="Y144" s="30">
        <f t="shared" si="23"/>
        <v>5872</v>
      </c>
      <c r="Z144" s="30">
        <f>SUM(Z145:Z146)</f>
        <v>2941889</v>
      </c>
      <c r="AA144" s="30">
        <f>SUM(AA145:AA146)</f>
        <v>2918017</v>
      </c>
      <c r="AB144" s="30">
        <f t="shared" si="24"/>
        <v>-23872</v>
      </c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28"/>
      <c r="BA144" s="28"/>
      <c r="BB144" s="28"/>
      <c r="BC144" s="28"/>
      <c r="BD144" s="28"/>
      <c r="BE144" s="28"/>
      <c r="BF144" s="28"/>
      <c r="BG144" s="28"/>
      <c r="BH144" s="28"/>
      <c r="BI144" s="28"/>
      <c r="BJ144" s="28"/>
      <c r="BK144" s="28"/>
      <c r="BL144" s="28"/>
      <c r="BM144" s="28"/>
      <c r="BN144" s="28"/>
      <c r="BO144" s="28"/>
      <c r="BP144" s="28"/>
      <c r="BQ144" s="28"/>
      <c r="BR144" s="28"/>
      <c r="BS144" s="28"/>
      <c r="BT144" s="28"/>
      <c r="BU144" s="28"/>
      <c r="BV144" s="28"/>
      <c r="BW144" s="28"/>
      <c r="BX144" s="28"/>
      <c r="BY144" s="28"/>
      <c r="BZ144" s="28"/>
      <c r="CA144" s="28"/>
      <c r="CB144" s="28"/>
      <c r="CC144" s="28"/>
      <c r="CD144" s="28"/>
      <c r="CE144" s="28"/>
      <c r="CF144" s="28"/>
      <c r="CG144" s="28"/>
      <c r="CH144" s="28"/>
      <c r="CI144" s="28"/>
      <c r="CJ144" s="28"/>
      <c r="CK144" s="28"/>
      <c r="CL144" s="28"/>
      <c r="CM144" s="28"/>
      <c r="CN144" s="28"/>
      <c r="CO144" s="28"/>
      <c r="CP144" s="28"/>
      <c r="CQ144" s="28"/>
      <c r="CR144" s="28"/>
      <c r="CS144" s="28"/>
      <c r="CT144" s="28"/>
      <c r="CU144" s="28"/>
      <c r="CV144" s="28"/>
      <c r="CW144" s="28"/>
      <c r="CX144" s="28"/>
      <c r="CY144" s="28"/>
      <c r="CZ144" s="28"/>
      <c r="DA144" s="28"/>
      <c r="DB144" s="28"/>
      <c r="DC144" s="28"/>
      <c r="DD144" s="28"/>
      <c r="DE144" s="28"/>
      <c r="DF144" s="28"/>
      <c r="DG144" s="28"/>
      <c r="DH144" s="28"/>
      <c r="DI144" s="28"/>
      <c r="DJ144" s="28"/>
      <c r="DK144" s="28"/>
      <c r="DL144" s="28"/>
      <c r="DM144" s="28"/>
      <c r="DN144" s="28"/>
      <c r="DO144" s="28"/>
      <c r="DP144" s="28"/>
      <c r="DQ144" s="28"/>
      <c r="DR144" s="28"/>
      <c r="DS144" s="28"/>
      <c r="DT144" s="28"/>
      <c r="DU144" s="28"/>
      <c r="DV144" s="28"/>
      <c r="DW144" s="28"/>
      <c r="DX144" s="28"/>
      <c r="DY144" s="28"/>
      <c r="DZ144" s="28"/>
      <c r="EA144" s="28"/>
      <c r="EB144" s="28"/>
      <c r="EC144" s="28"/>
      <c r="ED144" s="28"/>
      <c r="EE144" s="28"/>
      <c r="EF144" s="28"/>
      <c r="EG144" s="28"/>
      <c r="EH144" s="28"/>
      <c r="EI144" s="28"/>
      <c r="EJ144" s="28"/>
      <c r="EK144" s="28"/>
      <c r="EL144" s="28"/>
      <c r="EM144" s="28"/>
      <c r="EN144" s="28"/>
      <c r="EO144" s="28"/>
      <c r="EP144" s="28"/>
      <c r="EQ144" s="28"/>
      <c r="ER144" s="28"/>
      <c r="ES144" s="28"/>
      <c r="ET144" s="28"/>
      <c r="EU144" s="28"/>
      <c r="EV144" s="28"/>
      <c r="EW144" s="28"/>
      <c r="EX144" s="28"/>
      <c r="EY144" s="28"/>
      <c r="EZ144" s="28"/>
      <c r="FA144" s="28"/>
      <c r="FB144" s="28"/>
      <c r="FC144" s="28"/>
      <c r="FD144" s="28"/>
      <c r="FE144" s="28"/>
      <c r="FF144" s="28"/>
      <c r="FG144" s="28"/>
      <c r="FH144" s="28"/>
      <c r="FI144" s="28"/>
      <c r="FJ144" s="28"/>
      <c r="FK144" s="28"/>
      <c r="FL144" s="28"/>
      <c r="FM144" s="28"/>
      <c r="FN144" s="28"/>
      <c r="FO144" s="28"/>
      <c r="FP144" s="28"/>
      <c r="FQ144" s="28"/>
      <c r="FR144" s="28"/>
      <c r="FS144" s="28"/>
      <c r="FT144" s="28"/>
      <c r="FU144" s="28"/>
      <c r="FV144" s="28"/>
      <c r="FW144" s="28"/>
      <c r="FX144" s="28"/>
      <c r="FY144" s="28"/>
      <c r="FZ144" s="28"/>
      <c r="GA144" s="28"/>
      <c r="GB144" s="28"/>
      <c r="GC144" s="28"/>
      <c r="GD144" s="28"/>
      <c r="GE144" s="28"/>
    </row>
    <row r="145" spans="1:187" s="11" customFormat="1">
      <c r="A145" s="35" t="s">
        <v>142</v>
      </c>
      <c r="B145" s="36">
        <f t="shared" si="26"/>
        <v>2971600</v>
      </c>
      <c r="C145" s="36">
        <f t="shared" si="26"/>
        <v>2971600</v>
      </c>
      <c r="D145" s="36">
        <f t="shared" si="26"/>
        <v>0</v>
      </c>
      <c r="E145" s="36">
        <v>0</v>
      </c>
      <c r="F145" s="36">
        <v>0</v>
      </c>
      <c r="G145" s="36">
        <f t="shared" si="25"/>
        <v>0</v>
      </c>
      <c r="H145" s="36"/>
      <c r="I145" s="36"/>
      <c r="J145" s="36">
        <f t="shared" si="18"/>
        <v>0</v>
      </c>
      <c r="K145" s="36">
        <v>0</v>
      </c>
      <c r="L145" s="36">
        <v>18000</v>
      </c>
      <c r="M145" s="36">
        <f t="shared" si="19"/>
        <v>18000</v>
      </c>
      <c r="N145" s="36">
        <v>0</v>
      </c>
      <c r="O145" s="36">
        <v>0</v>
      </c>
      <c r="P145" s="36">
        <f t="shared" si="20"/>
        <v>0</v>
      </c>
      <c r="Q145" s="36"/>
      <c r="R145" s="36"/>
      <c r="S145" s="36">
        <f t="shared" si="21"/>
        <v>0</v>
      </c>
      <c r="T145" s="36">
        <v>0</v>
      </c>
      <c r="U145" s="36">
        <v>0</v>
      </c>
      <c r="V145" s="36">
        <f t="shared" si="22"/>
        <v>0</v>
      </c>
      <c r="W145" s="36">
        <f>29711</f>
        <v>29711</v>
      </c>
      <c r="X145" s="36">
        <f>29711+5872</f>
        <v>35583</v>
      </c>
      <c r="Y145" s="36">
        <f t="shared" si="23"/>
        <v>5872</v>
      </c>
      <c r="Z145" s="36">
        <f>2971600-29711</f>
        <v>2941889</v>
      </c>
      <c r="AA145" s="36">
        <f>2971600-29711-5872-18000</f>
        <v>2918017</v>
      </c>
      <c r="AB145" s="36">
        <f t="shared" si="24"/>
        <v>-23872</v>
      </c>
    </row>
    <row r="146" spans="1:187" s="11" customFormat="1" ht="31.5">
      <c r="A146" s="35" t="s">
        <v>143</v>
      </c>
      <c r="B146" s="36">
        <f t="shared" si="26"/>
        <v>4980</v>
      </c>
      <c r="C146" s="36">
        <f t="shared" si="26"/>
        <v>4980</v>
      </c>
      <c r="D146" s="36">
        <f t="shared" si="26"/>
        <v>0</v>
      </c>
      <c r="E146" s="36">
        <v>0</v>
      </c>
      <c r="F146" s="36">
        <v>0</v>
      </c>
      <c r="G146" s="36">
        <f t="shared" si="25"/>
        <v>0</v>
      </c>
      <c r="H146" s="36"/>
      <c r="I146" s="36"/>
      <c r="J146" s="36">
        <f t="shared" si="18"/>
        <v>0</v>
      </c>
      <c r="K146" s="36">
        <v>4980</v>
      </c>
      <c r="L146" s="36">
        <v>4980</v>
      </c>
      <c r="M146" s="36">
        <f t="shared" si="19"/>
        <v>0</v>
      </c>
      <c r="N146" s="36">
        <v>0</v>
      </c>
      <c r="O146" s="36">
        <v>0</v>
      </c>
      <c r="P146" s="36">
        <f t="shared" si="20"/>
        <v>0</v>
      </c>
      <c r="Q146" s="36"/>
      <c r="R146" s="36"/>
      <c r="S146" s="36">
        <f t="shared" si="21"/>
        <v>0</v>
      </c>
      <c r="T146" s="36">
        <v>0</v>
      </c>
      <c r="U146" s="36">
        <v>0</v>
      </c>
      <c r="V146" s="36">
        <f t="shared" si="22"/>
        <v>0</v>
      </c>
      <c r="W146" s="36"/>
      <c r="X146" s="36"/>
      <c r="Y146" s="36">
        <f t="shared" si="23"/>
        <v>0</v>
      </c>
      <c r="Z146" s="36"/>
      <c r="AA146" s="36"/>
      <c r="AB146" s="36">
        <f t="shared" si="24"/>
        <v>0</v>
      </c>
    </row>
    <row r="147" spans="1:187" s="11" customFormat="1" ht="31.5">
      <c r="A147" s="29" t="s">
        <v>103</v>
      </c>
      <c r="B147" s="30">
        <f t="shared" si="26"/>
        <v>225252</v>
      </c>
      <c r="C147" s="30">
        <f t="shared" si="26"/>
        <v>233686</v>
      </c>
      <c r="D147" s="30">
        <f t="shared" si="26"/>
        <v>8434</v>
      </c>
      <c r="E147" s="30"/>
      <c r="F147" s="30"/>
      <c r="G147" s="30">
        <f t="shared" si="25"/>
        <v>0</v>
      </c>
      <c r="H147" s="30">
        <f>SUM(H148:H169)</f>
        <v>0</v>
      </c>
      <c r="I147" s="30">
        <f>SUM(I148:I169)</f>
        <v>0</v>
      </c>
      <c r="J147" s="30">
        <f t="shared" si="18"/>
        <v>0</v>
      </c>
      <c r="K147" s="30">
        <f>SUM(K148:K169)</f>
        <v>146755</v>
      </c>
      <c r="L147" s="30">
        <f>SUM(L148:L169)</f>
        <v>155263</v>
      </c>
      <c r="M147" s="30">
        <f t="shared" si="19"/>
        <v>8508</v>
      </c>
      <c r="N147" s="30">
        <f>SUM(N148:N169)</f>
        <v>14455</v>
      </c>
      <c r="O147" s="30">
        <f>SUM(O148:O169)</f>
        <v>14455</v>
      </c>
      <c r="P147" s="30">
        <f t="shared" si="20"/>
        <v>0</v>
      </c>
      <c r="Q147" s="30">
        <f>SUM(Q148:Q169)</f>
        <v>32498</v>
      </c>
      <c r="R147" s="30">
        <f>SUM(R148:R169)</f>
        <v>32424</v>
      </c>
      <c r="S147" s="30">
        <f t="shared" si="21"/>
        <v>-74</v>
      </c>
      <c r="T147" s="30">
        <f>SUM(T148:T169)</f>
        <v>0</v>
      </c>
      <c r="U147" s="30">
        <f>SUM(U148:U169)</f>
        <v>0</v>
      </c>
      <c r="V147" s="30">
        <f t="shared" si="22"/>
        <v>0</v>
      </c>
      <c r="W147" s="30">
        <f>SUM(W148:W169)</f>
        <v>31544</v>
      </c>
      <c r="X147" s="30">
        <f>SUM(X148:X169)</f>
        <v>31544</v>
      </c>
      <c r="Y147" s="30">
        <f t="shared" si="23"/>
        <v>0</v>
      </c>
      <c r="Z147" s="30">
        <f>SUM(Z148:Z169)</f>
        <v>0</v>
      </c>
      <c r="AA147" s="30">
        <f>SUM(AA148:AA169)</f>
        <v>0</v>
      </c>
      <c r="AB147" s="30">
        <f t="shared" si="24"/>
        <v>0</v>
      </c>
    </row>
    <row r="148" spans="1:187" s="11" customFormat="1" ht="63">
      <c r="A148" s="35" t="s">
        <v>144</v>
      </c>
      <c r="B148" s="36">
        <f t="shared" si="26"/>
        <v>14455</v>
      </c>
      <c r="C148" s="36">
        <f t="shared" si="26"/>
        <v>14455</v>
      </c>
      <c r="D148" s="36">
        <f t="shared" si="26"/>
        <v>0</v>
      </c>
      <c r="E148" s="36">
        <v>0</v>
      </c>
      <c r="F148" s="36">
        <v>0</v>
      </c>
      <c r="G148" s="36">
        <f t="shared" si="25"/>
        <v>0</v>
      </c>
      <c r="H148" s="36"/>
      <c r="I148" s="36"/>
      <c r="J148" s="36">
        <f t="shared" si="18"/>
        <v>0</v>
      </c>
      <c r="K148" s="36">
        <v>0</v>
      </c>
      <c r="L148" s="36">
        <v>0</v>
      </c>
      <c r="M148" s="36">
        <f t="shared" si="19"/>
        <v>0</v>
      </c>
      <c r="N148" s="36">
        <v>14455</v>
      </c>
      <c r="O148" s="36">
        <v>14455</v>
      </c>
      <c r="P148" s="36">
        <f t="shared" si="20"/>
        <v>0</v>
      </c>
      <c r="Q148" s="36">
        <v>0</v>
      </c>
      <c r="R148" s="36">
        <v>0</v>
      </c>
      <c r="S148" s="36">
        <f t="shared" si="21"/>
        <v>0</v>
      </c>
      <c r="T148" s="36"/>
      <c r="U148" s="36"/>
      <c r="V148" s="36">
        <f t="shared" si="22"/>
        <v>0</v>
      </c>
      <c r="W148" s="36"/>
      <c r="X148" s="36"/>
      <c r="Y148" s="36">
        <f t="shared" si="23"/>
        <v>0</v>
      </c>
      <c r="Z148" s="36"/>
      <c r="AA148" s="36"/>
      <c r="AB148" s="36">
        <f t="shared" si="24"/>
        <v>0</v>
      </c>
    </row>
    <row r="149" spans="1:187" s="28" customFormat="1" ht="31.5">
      <c r="A149" s="35" t="s">
        <v>145</v>
      </c>
      <c r="B149" s="36">
        <f t="shared" si="26"/>
        <v>7371</v>
      </c>
      <c r="C149" s="36">
        <f t="shared" si="26"/>
        <v>7371</v>
      </c>
      <c r="D149" s="36">
        <f t="shared" si="26"/>
        <v>0</v>
      </c>
      <c r="E149" s="36">
        <v>0</v>
      </c>
      <c r="F149" s="36">
        <v>0</v>
      </c>
      <c r="G149" s="36">
        <f t="shared" si="25"/>
        <v>0</v>
      </c>
      <c r="H149" s="36"/>
      <c r="I149" s="36"/>
      <c r="J149" s="36">
        <f t="shared" si="18"/>
        <v>0</v>
      </c>
      <c r="K149" s="36">
        <v>0</v>
      </c>
      <c r="L149" s="36">
        <v>0</v>
      </c>
      <c r="M149" s="36">
        <f t="shared" si="19"/>
        <v>0</v>
      </c>
      <c r="N149" s="36">
        <v>0</v>
      </c>
      <c r="O149" s="36">
        <v>0</v>
      </c>
      <c r="P149" s="36">
        <f t="shared" si="20"/>
        <v>0</v>
      </c>
      <c r="Q149" s="36"/>
      <c r="R149" s="36"/>
      <c r="S149" s="36">
        <f t="shared" si="21"/>
        <v>0</v>
      </c>
      <c r="T149" s="36">
        <v>0</v>
      </c>
      <c r="U149" s="36">
        <v>0</v>
      </c>
      <c r="V149" s="36">
        <f t="shared" si="22"/>
        <v>0</v>
      </c>
      <c r="W149" s="36">
        <v>7371</v>
      </c>
      <c r="X149" s="36">
        <v>7371</v>
      </c>
      <c r="Y149" s="36">
        <f t="shared" si="23"/>
        <v>0</v>
      </c>
      <c r="Z149" s="36"/>
      <c r="AA149" s="36"/>
      <c r="AB149" s="36">
        <f t="shared" si="24"/>
        <v>0</v>
      </c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11"/>
      <c r="AT149" s="11"/>
      <c r="AU149" s="11"/>
      <c r="AV149" s="11"/>
      <c r="AW149" s="11"/>
      <c r="AX149" s="11"/>
      <c r="AY149" s="11"/>
      <c r="AZ149" s="11"/>
      <c r="BA149" s="11"/>
      <c r="BB149" s="11"/>
      <c r="BC149" s="11"/>
      <c r="BD149" s="11"/>
      <c r="BE149" s="11"/>
      <c r="BF149" s="11"/>
      <c r="BG149" s="11"/>
      <c r="BH149" s="11"/>
      <c r="BI149" s="11"/>
      <c r="BJ149" s="11"/>
      <c r="BK149" s="11"/>
      <c r="BL149" s="11"/>
      <c r="BM149" s="11"/>
      <c r="BN149" s="11"/>
      <c r="BO149" s="11"/>
      <c r="BP149" s="11"/>
      <c r="BQ149" s="11"/>
      <c r="BR149" s="11"/>
      <c r="BS149" s="11"/>
      <c r="BT149" s="11"/>
      <c r="BU149" s="11"/>
      <c r="BV149" s="11"/>
      <c r="BW149" s="11"/>
      <c r="BX149" s="11"/>
      <c r="BY149" s="11"/>
      <c r="BZ149" s="11"/>
      <c r="CA149" s="11"/>
      <c r="CB149" s="11"/>
      <c r="CC149" s="11"/>
      <c r="CD149" s="11"/>
      <c r="CE149" s="11"/>
      <c r="CF149" s="11"/>
      <c r="CG149" s="11"/>
      <c r="CH149" s="11"/>
      <c r="CI149" s="11"/>
      <c r="CJ149" s="11"/>
      <c r="CK149" s="11"/>
      <c r="CL149" s="11"/>
      <c r="CM149" s="11"/>
      <c r="CN149" s="11"/>
      <c r="CO149" s="11"/>
      <c r="CP149" s="11"/>
      <c r="CQ149" s="11"/>
      <c r="CR149" s="11"/>
      <c r="CS149" s="11"/>
      <c r="CT149" s="11"/>
      <c r="CU149" s="11"/>
      <c r="CV149" s="11"/>
      <c r="CW149" s="11"/>
      <c r="CX149" s="11"/>
      <c r="CY149" s="11"/>
      <c r="CZ149" s="11"/>
      <c r="DA149" s="11"/>
      <c r="DB149" s="11"/>
      <c r="DC149" s="11"/>
      <c r="DD149" s="11"/>
      <c r="DE149" s="11"/>
      <c r="DF149" s="11"/>
      <c r="DG149" s="11"/>
      <c r="DH149" s="11"/>
      <c r="DI149" s="11"/>
      <c r="DJ149" s="11"/>
      <c r="DK149" s="11"/>
      <c r="DL149" s="11"/>
      <c r="DM149" s="11"/>
      <c r="DN149" s="11"/>
      <c r="DO149" s="11"/>
      <c r="DP149" s="11"/>
      <c r="DQ149" s="11"/>
      <c r="DR149" s="11"/>
      <c r="DS149" s="11"/>
      <c r="DT149" s="11"/>
      <c r="DU149" s="11"/>
      <c r="DV149" s="11"/>
      <c r="DW149" s="11"/>
      <c r="DX149" s="11"/>
      <c r="DY149" s="11"/>
      <c r="DZ149" s="11"/>
      <c r="EA149" s="11"/>
      <c r="EB149" s="11"/>
      <c r="EC149" s="11"/>
      <c r="ED149" s="11"/>
      <c r="EE149" s="11"/>
      <c r="EF149" s="11"/>
      <c r="EG149" s="11"/>
      <c r="EH149" s="11"/>
      <c r="EI149" s="11"/>
      <c r="EJ149" s="11"/>
      <c r="EK149" s="11"/>
      <c r="EL149" s="11"/>
      <c r="EM149" s="11"/>
      <c r="EN149" s="11"/>
      <c r="EO149" s="11"/>
      <c r="EP149" s="11"/>
      <c r="EQ149" s="11"/>
      <c r="ER149" s="11"/>
      <c r="ES149" s="11"/>
      <c r="ET149" s="11"/>
      <c r="EU149" s="11"/>
      <c r="EV149" s="11"/>
      <c r="EW149" s="11"/>
      <c r="EX149" s="11"/>
      <c r="EY149" s="11"/>
      <c r="EZ149" s="11"/>
      <c r="FA149" s="11"/>
      <c r="FB149" s="11"/>
      <c r="FC149" s="11"/>
      <c r="FD149" s="11"/>
      <c r="FE149" s="11"/>
      <c r="FF149" s="11"/>
      <c r="FG149" s="11"/>
      <c r="FH149" s="11"/>
      <c r="FI149" s="11"/>
      <c r="FJ149" s="11"/>
      <c r="FK149" s="11"/>
      <c r="FL149" s="11"/>
      <c r="FM149" s="11"/>
      <c r="FN149" s="11"/>
      <c r="FO149" s="11"/>
      <c r="FP149" s="11"/>
      <c r="FQ149" s="11"/>
      <c r="FR149" s="11"/>
      <c r="FS149" s="11"/>
      <c r="FT149" s="11"/>
      <c r="FU149" s="11"/>
      <c r="FV149" s="11"/>
      <c r="FW149" s="11"/>
      <c r="FX149" s="11"/>
      <c r="FY149" s="11"/>
      <c r="FZ149" s="11"/>
      <c r="GA149" s="11"/>
      <c r="GB149" s="11"/>
      <c r="GC149" s="11"/>
      <c r="GD149" s="11"/>
      <c r="GE149" s="11"/>
    </row>
    <row r="150" spans="1:187" s="28" customFormat="1" ht="47.25">
      <c r="A150" s="35" t="s">
        <v>146</v>
      </c>
      <c r="B150" s="36">
        <f t="shared" si="26"/>
        <v>3496</v>
      </c>
      <c r="C150" s="36">
        <f t="shared" si="26"/>
        <v>3496</v>
      </c>
      <c r="D150" s="36">
        <f t="shared" si="26"/>
        <v>0</v>
      </c>
      <c r="E150" s="36">
        <v>0</v>
      </c>
      <c r="F150" s="36">
        <v>0</v>
      </c>
      <c r="G150" s="36">
        <f t="shared" si="25"/>
        <v>0</v>
      </c>
      <c r="H150" s="36"/>
      <c r="I150" s="36"/>
      <c r="J150" s="36">
        <f t="shared" si="18"/>
        <v>0</v>
      </c>
      <c r="K150" s="36">
        <v>0</v>
      </c>
      <c r="L150" s="36">
        <v>0</v>
      </c>
      <c r="M150" s="36">
        <f t="shared" si="19"/>
        <v>0</v>
      </c>
      <c r="N150" s="36">
        <v>0</v>
      </c>
      <c r="O150" s="36">
        <v>0</v>
      </c>
      <c r="P150" s="36">
        <f t="shared" si="20"/>
        <v>0</v>
      </c>
      <c r="Q150" s="36"/>
      <c r="R150" s="36"/>
      <c r="S150" s="36">
        <f t="shared" si="21"/>
        <v>0</v>
      </c>
      <c r="T150" s="36">
        <v>0</v>
      </c>
      <c r="U150" s="36">
        <v>0</v>
      </c>
      <c r="V150" s="36">
        <f t="shared" si="22"/>
        <v>0</v>
      </c>
      <c r="W150" s="36">
        <v>3496</v>
      </c>
      <c r="X150" s="36">
        <v>3496</v>
      </c>
      <c r="Y150" s="36">
        <f t="shared" si="23"/>
        <v>0</v>
      </c>
      <c r="Z150" s="36"/>
      <c r="AA150" s="36"/>
      <c r="AB150" s="36">
        <f t="shared" si="24"/>
        <v>0</v>
      </c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  <c r="AV150" s="11"/>
      <c r="AW150" s="11"/>
      <c r="AX150" s="11"/>
      <c r="AY150" s="11"/>
      <c r="AZ150" s="11"/>
      <c r="BA150" s="11"/>
      <c r="BB150" s="11"/>
      <c r="BC150" s="11"/>
      <c r="BD150" s="11"/>
      <c r="BE150" s="11"/>
      <c r="BF150" s="11"/>
      <c r="BG150" s="11"/>
      <c r="BH150" s="11"/>
      <c r="BI150" s="11"/>
      <c r="BJ150" s="11"/>
      <c r="BK150" s="11"/>
      <c r="BL150" s="11"/>
      <c r="BM150" s="11"/>
      <c r="BN150" s="11"/>
      <c r="BO150" s="11"/>
      <c r="BP150" s="11"/>
      <c r="BQ150" s="11"/>
      <c r="BR150" s="11"/>
      <c r="BS150" s="11"/>
      <c r="BT150" s="11"/>
      <c r="BU150" s="11"/>
      <c r="BV150" s="11"/>
      <c r="BW150" s="11"/>
      <c r="BX150" s="11"/>
      <c r="BY150" s="11"/>
      <c r="BZ150" s="11"/>
      <c r="CA150" s="11"/>
      <c r="CB150" s="11"/>
      <c r="CC150" s="11"/>
      <c r="CD150" s="11"/>
      <c r="CE150" s="11"/>
      <c r="CF150" s="11"/>
      <c r="CG150" s="11"/>
      <c r="CH150" s="11"/>
      <c r="CI150" s="11"/>
      <c r="CJ150" s="11"/>
      <c r="CK150" s="11"/>
      <c r="CL150" s="11"/>
      <c r="CM150" s="11"/>
      <c r="CN150" s="11"/>
      <c r="CO150" s="11"/>
      <c r="CP150" s="11"/>
      <c r="CQ150" s="11"/>
      <c r="CR150" s="11"/>
      <c r="CS150" s="11"/>
      <c r="CT150" s="11"/>
      <c r="CU150" s="11"/>
      <c r="CV150" s="11"/>
      <c r="CW150" s="11"/>
      <c r="CX150" s="11"/>
      <c r="CY150" s="11"/>
      <c r="CZ150" s="11"/>
      <c r="DA150" s="11"/>
      <c r="DB150" s="11"/>
      <c r="DC150" s="11"/>
      <c r="DD150" s="11"/>
      <c r="DE150" s="11"/>
      <c r="DF150" s="11"/>
      <c r="DG150" s="11"/>
      <c r="DH150" s="11"/>
      <c r="DI150" s="11"/>
      <c r="DJ150" s="11"/>
      <c r="DK150" s="11"/>
      <c r="DL150" s="11"/>
      <c r="DM150" s="11"/>
      <c r="DN150" s="11"/>
      <c r="DO150" s="11"/>
      <c r="DP150" s="11"/>
      <c r="DQ150" s="11"/>
      <c r="DR150" s="11"/>
      <c r="DS150" s="11"/>
      <c r="DT150" s="11"/>
      <c r="DU150" s="11"/>
      <c r="DV150" s="11"/>
      <c r="DW150" s="11"/>
      <c r="DX150" s="11"/>
      <c r="DY150" s="11"/>
      <c r="DZ150" s="11"/>
      <c r="EA150" s="11"/>
      <c r="EB150" s="11"/>
      <c r="EC150" s="11"/>
      <c r="ED150" s="11"/>
      <c r="EE150" s="11"/>
      <c r="EF150" s="11"/>
      <c r="EG150" s="11"/>
      <c r="EH150" s="11"/>
      <c r="EI150" s="11"/>
      <c r="EJ150" s="11"/>
      <c r="EK150" s="11"/>
      <c r="EL150" s="11"/>
      <c r="EM150" s="11"/>
      <c r="EN150" s="11"/>
      <c r="EO150" s="11"/>
      <c r="EP150" s="11"/>
      <c r="EQ150" s="11"/>
      <c r="ER150" s="11"/>
      <c r="ES150" s="11"/>
      <c r="ET150" s="11"/>
      <c r="EU150" s="11"/>
      <c r="EV150" s="11"/>
      <c r="EW150" s="11"/>
      <c r="EX150" s="11"/>
      <c r="EY150" s="11"/>
      <c r="EZ150" s="11"/>
      <c r="FA150" s="11"/>
      <c r="FB150" s="11"/>
      <c r="FC150" s="11"/>
      <c r="FD150" s="11"/>
      <c r="FE150" s="11"/>
      <c r="FF150" s="11"/>
      <c r="FG150" s="11"/>
      <c r="FH150" s="11"/>
      <c r="FI150" s="11"/>
      <c r="FJ150" s="11"/>
      <c r="FK150" s="11"/>
      <c r="FL150" s="11"/>
      <c r="FM150" s="11"/>
      <c r="FN150" s="11"/>
      <c r="FO150" s="11"/>
      <c r="FP150" s="11"/>
      <c r="FQ150" s="11"/>
      <c r="FR150" s="11"/>
      <c r="FS150" s="11"/>
      <c r="FT150" s="11"/>
      <c r="FU150" s="11"/>
      <c r="FV150" s="11"/>
      <c r="FW150" s="11"/>
      <c r="FX150" s="11"/>
      <c r="FY150" s="11"/>
      <c r="FZ150" s="11"/>
      <c r="GA150" s="11"/>
      <c r="GB150" s="11"/>
      <c r="GC150" s="11"/>
      <c r="GD150" s="11"/>
      <c r="GE150" s="11"/>
    </row>
    <row r="151" spans="1:187" s="28" customFormat="1" ht="47.25">
      <c r="A151" s="35" t="s">
        <v>147</v>
      </c>
      <c r="B151" s="36">
        <f t="shared" si="26"/>
        <v>1200</v>
      </c>
      <c r="C151" s="36">
        <f t="shared" si="26"/>
        <v>1200</v>
      </c>
      <c r="D151" s="36">
        <f t="shared" si="26"/>
        <v>0</v>
      </c>
      <c r="E151" s="36">
        <v>0</v>
      </c>
      <c r="F151" s="36">
        <v>0</v>
      </c>
      <c r="G151" s="36">
        <f t="shared" si="25"/>
        <v>0</v>
      </c>
      <c r="H151" s="36"/>
      <c r="I151" s="36"/>
      <c r="J151" s="36">
        <f t="shared" si="18"/>
        <v>0</v>
      </c>
      <c r="K151" s="36">
        <v>1200</v>
      </c>
      <c r="L151" s="36">
        <v>1200</v>
      </c>
      <c r="M151" s="36">
        <f t="shared" si="19"/>
        <v>0</v>
      </c>
      <c r="N151" s="36"/>
      <c r="O151" s="36"/>
      <c r="P151" s="36">
        <f t="shared" si="20"/>
        <v>0</v>
      </c>
      <c r="Q151" s="36"/>
      <c r="R151" s="36"/>
      <c r="S151" s="36">
        <f t="shared" si="21"/>
        <v>0</v>
      </c>
      <c r="T151" s="36">
        <v>0</v>
      </c>
      <c r="U151" s="36">
        <v>0</v>
      </c>
      <c r="V151" s="36">
        <f t="shared" si="22"/>
        <v>0</v>
      </c>
      <c r="W151" s="36"/>
      <c r="X151" s="36"/>
      <c r="Y151" s="36">
        <f t="shared" si="23"/>
        <v>0</v>
      </c>
      <c r="Z151" s="36"/>
      <c r="AA151" s="36"/>
      <c r="AB151" s="36">
        <f t="shared" si="24"/>
        <v>0</v>
      </c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  <c r="AV151" s="11"/>
      <c r="AW151" s="11"/>
      <c r="AX151" s="11"/>
      <c r="AY151" s="11"/>
      <c r="AZ151" s="11"/>
      <c r="BA151" s="11"/>
      <c r="BB151" s="11"/>
      <c r="BC151" s="11"/>
      <c r="BD151" s="11"/>
      <c r="BE151" s="11"/>
      <c r="BF151" s="11"/>
      <c r="BG151" s="11"/>
      <c r="BH151" s="11"/>
      <c r="BI151" s="11"/>
      <c r="BJ151" s="11"/>
      <c r="BK151" s="11"/>
      <c r="BL151" s="11"/>
      <c r="BM151" s="11"/>
      <c r="BN151" s="11"/>
      <c r="BO151" s="11"/>
      <c r="BP151" s="11"/>
      <c r="BQ151" s="11"/>
      <c r="BR151" s="11"/>
      <c r="BS151" s="11"/>
      <c r="BT151" s="11"/>
      <c r="BU151" s="11"/>
      <c r="BV151" s="11"/>
      <c r="BW151" s="11"/>
      <c r="BX151" s="11"/>
      <c r="BY151" s="11"/>
      <c r="BZ151" s="11"/>
      <c r="CA151" s="11"/>
      <c r="CB151" s="11"/>
      <c r="CC151" s="11"/>
      <c r="CD151" s="11"/>
      <c r="CE151" s="11"/>
      <c r="CF151" s="11"/>
      <c r="CG151" s="11"/>
      <c r="CH151" s="11"/>
      <c r="CI151" s="11"/>
      <c r="CJ151" s="11"/>
      <c r="CK151" s="11"/>
      <c r="CL151" s="11"/>
      <c r="CM151" s="11"/>
      <c r="CN151" s="11"/>
      <c r="CO151" s="11"/>
      <c r="CP151" s="11"/>
      <c r="CQ151" s="11"/>
      <c r="CR151" s="11"/>
      <c r="CS151" s="11"/>
      <c r="CT151" s="11"/>
      <c r="CU151" s="11"/>
      <c r="CV151" s="11"/>
      <c r="CW151" s="11"/>
      <c r="CX151" s="11"/>
      <c r="CY151" s="11"/>
      <c r="CZ151" s="11"/>
      <c r="DA151" s="11"/>
      <c r="DB151" s="11"/>
      <c r="DC151" s="11"/>
      <c r="DD151" s="11"/>
      <c r="DE151" s="11"/>
      <c r="DF151" s="11"/>
      <c r="DG151" s="11"/>
      <c r="DH151" s="11"/>
      <c r="DI151" s="11"/>
      <c r="DJ151" s="11"/>
      <c r="DK151" s="11"/>
      <c r="DL151" s="11"/>
      <c r="DM151" s="11"/>
      <c r="DN151" s="11"/>
      <c r="DO151" s="11"/>
      <c r="DP151" s="11"/>
      <c r="DQ151" s="11"/>
      <c r="DR151" s="11"/>
      <c r="DS151" s="11"/>
      <c r="DT151" s="11"/>
      <c r="DU151" s="11"/>
      <c r="DV151" s="11"/>
      <c r="DW151" s="11"/>
      <c r="DX151" s="11"/>
      <c r="DY151" s="11"/>
      <c r="DZ151" s="11"/>
      <c r="EA151" s="11"/>
      <c r="EB151" s="11"/>
      <c r="EC151" s="11"/>
      <c r="ED151" s="11"/>
      <c r="EE151" s="11"/>
      <c r="EF151" s="11"/>
      <c r="EG151" s="11"/>
      <c r="EH151" s="11"/>
      <c r="EI151" s="11"/>
      <c r="EJ151" s="11"/>
      <c r="EK151" s="11"/>
      <c r="EL151" s="11"/>
      <c r="EM151" s="11"/>
      <c r="EN151" s="11"/>
      <c r="EO151" s="11"/>
      <c r="EP151" s="11"/>
      <c r="EQ151" s="11"/>
      <c r="ER151" s="11"/>
      <c r="ES151" s="11"/>
      <c r="ET151" s="11"/>
      <c r="EU151" s="11"/>
      <c r="EV151" s="11"/>
      <c r="EW151" s="11"/>
      <c r="EX151" s="11"/>
      <c r="EY151" s="11"/>
      <c r="EZ151" s="11"/>
      <c r="FA151" s="11"/>
      <c r="FB151" s="11"/>
      <c r="FC151" s="11"/>
      <c r="FD151" s="11"/>
      <c r="FE151" s="11"/>
      <c r="FF151" s="11"/>
      <c r="FG151" s="11"/>
      <c r="FH151" s="11"/>
      <c r="FI151" s="11"/>
      <c r="FJ151" s="11"/>
      <c r="FK151" s="11"/>
      <c r="FL151" s="11"/>
      <c r="FM151" s="11"/>
      <c r="FN151" s="11"/>
      <c r="FO151" s="11"/>
      <c r="FP151" s="11"/>
      <c r="FQ151" s="11"/>
      <c r="FR151" s="11"/>
      <c r="FS151" s="11"/>
      <c r="FT151" s="11"/>
      <c r="FU151" s="11"/>
      <c r="FV151" s="11"/>
      <c r="FW151" s="11"/>
      <c r="FX151" s="11"/>
      <c r="FY151" s="11"/>
      <c r="FZ151" s="11"/>
      <c r="GA151" s="11"/>
      <c r="GB151" s="11"/>
      <c r="GC151" s="11"/>
      <c r="GD151" s="11"/>
      <c r="GE151" s="11"/>
    </row>
    <row r="152" spans="1:187" s="28" customFormat="1" ht="31.5">
      <c r="A152" s="35" t="s">
        <v>148</v>
      </c>
      <c r="B152" s="36">
        <f t="shared" si="26"/>
        <v>4591</v>
      </c>
      <c r="C152" s="36">
        <f t="shared" si="26"/>
        <v>4591</v>
      </c>
      <c r="D152" s="36">
        <f t="shared" si="26"/>
        <v>0</v>
      </c>
      <c r="E152" s="36">
        <v>0</v>
      </c>
      <c r="F152" s="36">
        <v>0</v>
      </c>
      <c r="G152" s="36">
        <f t="shared" si="25"/>
        <v>0</v>
      </c>
      <c r="H152" s="36"/>
      <c r="I152" s="36"/>
      <c r="J152" s="36">
        <f t="shared" si="18"/>
        <v>0</v>
      </c>
      <c r="K152" s="36">
        <v>4591</v>
      </c>
      <c r="L152" s="36">
        <v>4591</v>
      </c>
      <c r="M152" s="36">
        <f t="shared" si="19"/>
        <v>0</v>
      </c>
      <c r="N152" s="36"/>
      <c r="O152" s="36"/>
      <c r="P152" s="36">
        <f t="shared" si="20"/>
        <v>0</v>
      </c>
      <c r="Q152" s="36"/>
      <c r="R152" s="36"/>
      <c r="S152" s="36">
        <f t="shared" si="21"/>
        <v>0</v>
      </c>
      <c r="T152" s="36">
        <v>0</v>
      </c>
      <c r="U152" s="36">
        <v>0</v>
      </c>
      <c r="V152" s="36">
        <f t="shared" si="22"/>
        <v>0</v>
      </c>
      <c r="W152" s="36"/>
      <c r="X152" s="36"/>
      <c r="Y152" s="36">
        <f t="shared" si="23"/>
        <v>0</v>
      </c>
      <c r="Z152" s="36"/>
      <c r="AA152" s="36"/>
      <c r="AB152" s="36">
        <f t="shared" si="24"/>
        <v>0</v>
      </c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  <c r="AV152" s="11"/>
      <c r="AW152" s="11"/>
      <c r="AX152" s="11"/>
      <c r="AY152" s="11"/>
      <c r="AZ152" s="11"/>
      <c r="BA152" s="11"/>
      <c r="BB152" s="11"/>
      <c r="BC152" s="11"/>
      <c r="BD152" s="11"/>
      <c r="BE152" s="11"/>
      <c r="BF152" s="11"/>
      <c r="BG152" s="11"/>
      <c r="BH152" s="11"/>
      <c r="BI152" s="11"/>
      <c r="BJ152" s="11"/>
      <c r="BK152" s="11"/>
      <c r="BL152" s="11"/>
      <c r="BM152" s="11"/>
      <c r="BN152" s="11"/>
      <c r="BO152" s="11"/>
      <c r="BP152" s="11"/>
      <c r="BQ152" s="11"/>
      <c r="BR152" s="11"/>
      <c r="BS152" s="11"/>
      <c r="BT152" s="11"/>
      <c r="BU152" s="11"/>
      <c r="BV152" s="11"/>
      <c r="BW152" s="11"/>
      <c r="BX152" s="11"/>
      <c r="BY152" s="11"/>
      <c r="BZ152" s="11"/>
      <c r="CA152" s="11"/>
      <c r="CB152" s="11"/>
      <c r="CC152" s="11"/>
      <c r="CD152" s="11"/>
      <c r="CE152" s="11"/>
      <c r="CF152" s="11"/>
      <c r="CG152" s="11"/>
      <c r="CH152" s="11"/>
      <c r="CI152" s="11"/>
      <c r="CJ152" s="11"/>
      <c r="CK152" s="11"/>
      <c r="CL152" s="11"/>
      <c r="CM152" s="11"/>
      <c r="CN152" s="11"/>
      <c r="CO152" s="11"/>
      <c r="CP152" s="11"/>
      <c r="CQ152" s="11"/>
      <c r="CR152" s="11"/>
      <c r="CS152" s="11"/>
      <c r="CT152" s="11"/>
      <c r="CU152" s="11"/>
      <c r="CV152" s="11"/>
      <c r="CW152" s="11"/>
      <c r="CX152" s="11"/>
      <c r="CY152" s="11"/>
      <c r="CZ152" s="11"/>
      <c r="DA152" s="11"/>
      <c r="DB152" s="11"/>
      <c r="DC152" s="11"/>
      <c r="DD152" s="11"/>
      <c r="DE152" s="11"/>
      <c r="DF152" s="11"/>
      <c r="DG152" s="11"/>
      <c r="DH152" s="11"/>
      <c r="DI152" s="11"/>
      <c r="DJ152" s="11"/>
      <c r="DK152" s="11"/>
      <c r="DL152" s="11"/>
      <c r="DM152" s="11"/>
      <c r="DN152" s="11"/>
      <c r="DO152" s="11"/>
      <c r="DP152" s="11"/>
      <c r="DQ152" s="11"/>
      <c r="DR152" s="11"/>
      <c r="DS152" s="11"/>
      <c r="DT152" s="11"/>
      <c r="DU152" s="11"/>
      <c r="DV152" s="11"/>
      <c r="DW152" s="11"/>
      <c r="DX152" s="11"/>
      <c r="DY152" s="11"/>
      <c r="DZ152" s="11"/>
      <c r="EA152" s="11"/>
      <c r="EB152" s="11"/>
      <c r="EC152" s="11"/>
      <c r="ED152" s="11"/>
      <c r="EE152" s="11"/>
      <c r="EF152" s="11"/>
      <c r="EG152" s="11"/>
      <c r="EH152" s="11"/>
      <c r="EI152" s="11"/>
      <c r="EJ152" s="11"/>
      <c r="EK152" s="11"/>
      <c r="EL152" s="11"/>
      <c r="EM152" s="11"/>
      <c r="EN152" s="11"/>
      <c r="EO152" s="11"/>
      <c r="EP152" s="11"/>
      <c r="EQ152" s="11"/>
      <c r="ER152" s="11"/>
      <c r="ES152" s="11"/>
      <c r="ET152" s="11"/>
      <c r="EU152" s="11"/>
      <c r="EV152" s="11"/>
      <c r="EW152" s="11"/>
      <c r="EX152" s="11"/>
      <c r="EY152" s="11"/>
      <c r="EZ152" s="11"/>
      <c r="FA152" s="11"/>
      <c r="FB152" s="11"/>
      <c r="FC152" s="11"/>
      <c r="FD152" s="11"/>
      <c r="FE152" s="11"/>
      <c r="FF152" s="11"/>
      <c r="FG152" s="11"/>
      <c r="FH152" s="11"/>
      <c r="FI152" s="11"/>
      <c r="FJ152" s="11"/>
      <c r="FK152" s="11"/>
      <c r="FL152" s="11"/>
      <c r="FM152" s="11"/>
      <c r="FN152" s="11"/>
      <c r="FO152" s="11"/>
      <c r="FP152" s="11"/>
      <c r="FQ152" s="11"/>
      <c r="FR152" s="11"/>
      <c r="FS152" s="11"/>
      <c r="FT152" s="11"/>
      <c r="FU152" s="11"/>
      <c r="FV152" s="11"/>
      <c r="FW152" s="11"/>
      <c r="FX152" s="11"/>
      <c r="FY152" s="11"/>
      <c r="FZ152" s="11"/>
      <c r="GA152" s="11"/>
      <c r="GB152" s="11"/>
      <c r="GC152" s="11"/>
      <c r="GD152" s="11"/>
      <c r="GE152" s="11"/>
    </row>
    <row r="153" spans="1:187" s="28" customFormat="1" ht="31.5">
      <c r="A153" s="35" t="s">
        <v>149</v>
      </c>
      <c r="B153" s="36">
        <f t="shared" si="26"/>
        <v>3689</v>
      </c>
      <c r="C153" s="36">
        <f t="shared" si="26"/>
        <v>3689</v>
      </c>
      <c r="D153" s="36">
        <f t="shared" si="26"/>
        <v>0</v>
      </c>
      <c r="E153" s="36">
        <v>0</v>
      </c>
      <c r="F153" s="36">
        <v>0</v>
      </c>
      <c r="G153" s="36">
        <f t="shared" si="25"/>
        <v>0</v>
      </c>
      <c r="H153" s="36"/>
      <c r="I153" s="36"/>
      <c r="J153" s="36">
        <f t="shared" si="18"/>
        <v>0</v>
      </c>
      <c r="K153" s="36">
        <v>3689</v>
      </c>
      <c r="L153" s="36">
        <v>3689</v>
      </c>
      <c r="M153" s="36">
        <f t="shared" si="19"/>
        <v>0</v>
      </c>
      <c r="N153" s="36"/>
      <c r="O153" s="36"/>
      <c r="P153" s="36">
        <f t="shared" si="20"/>
        <v>0</v>
      </c>
      <c r="Q153" s="36"/>
      <c r="R153" s="36"/>
      <c r="S153" s="36">
        <f t="shared" si="21"/>
        <v>0</v>
      </c>
      <c r="T153" s="36">
        <v>0</v>
      </c>
      <c r="U153" s="36">
        <v>0</v>
      </c>
      <c r="V153" s="36">
        <f t="shared" si="22"/>
        <v>0</v>
      </c>
      <c r="W153" s="36"/>
      <c r="X153" s="36"/>
      <c r="Y153" s="36">
        <f t="shared" si="23"/>
        <v>0</v>
      </c>
      <c r="Z153" s="36"/>
      <c r="AA153" s="36"/>
      <c r="AB153" s="36">
        <f t="shared" si="24"/>
        <v>0</v>
      </c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  <c r="AX153" s="11"/>
      <c r="AY153" s="11"/>
      <c r="AZ153" s="11"/>
      <c r="BA153" s="11"/>
      <c r="BB153" s="11"/>
      <c r="BC153" s="11"/>
      <c r="BD153" s="11"/>
      <c r="BE153" s="11"/>
      <c r="BF153" s="11"/>
      <c r="BG153" s="11"/>
      <c r="BH153" s="11"/>
      <c r="BI153" s="11"/>
      <c r="BJ153" s="11"/>
      <c r="BK153" s="11"/>
      <c r="BL153" s="11"/>
      <c r="BM153" s="11"/>
      <c r="BN153" s="11"/>
      <c r="BO153" s="11"/>
      <c r="BP153" s="11"/>
      <c r="BQ153" s="11"/>
      <c r="BR153" s="11"/>
      <c r="BS153" s="11"/>
      <c r="BT153" s="11"/>
      <c r="BU153" s="11"/>
      <c r="BV153" s="11"/>
      <c r="BW153" s="11"/>
      <c r="BX153" s="11"/>
      <c r="BY153" s="11"/>
      <c r="BZ153" s="11"/>
      <c r="CA153" s="11"/>
      <c r="CB153" s="11"/>
      <c r="CC153" s="11"/>
      <c r="CD153" s="11"/>
      <c r="CE153" s="11"/>
      <c r="CF153" s="11"/>
      <c r="CG153" s="11"/>
      <c r="CH153" s="11"/>
      <c r="CI153" s="11"/>
      <c r="CJ153" s="11"/>
      <c r="CK153" s="11"/>
      <c r="CL153" s="11"/>
      <c r="CM153" s="11"/>
      <c r="CN153" s="11"/>
      <c r="CO153" s="11"/>
      <c r="CP153" s="11"/>
      <c r="CQ153" s="11"/>
      <c r="CR153" s="11"/>
      <c r="CS153" s="11"/>
      <c r="CT153" s="11"/>
      <c r="CU153" s="11"/>
      <c r="CV153" s="11"/>
      <c r="CW153" s="11"/>
      <c r="CX153" s="11"/>
      <c r="CY153" s="11"/>
      <c r="CZ153" s="11"/>
      <c r="DA153" s="11"/>
      <c r="DB153" s="11"/>
      <c r="DC153" s="11"/>
      <c r="DD153" s="11"/>
      <c r="DE153" s="11"/>
      <c r="DF153" s="11"/>
      <c r="DG153" s="11"/>
      <c r="DH153" s="11"/>
      <c r="DI153" s="11"/>
      <c r="DJ153" s="11"/>
      <c r="DK153" s="11"/>
      <c r="DL153" s="11"/>
      <c r="DM153" s="11"/>
      <c r="DN153" s="11"/>
      <c r="DO153" s="11"/>
      <c r="DP153" s="11"/>
      <c r="DQ153" s="11"/>
      <c r="DR153" s="11"/>
      <c r="DS153" s="11"/>
      <c r="DT153" s="11"/>
      <c r="DU153" s="11"/>
      <c r="DV153" s="11"/>
      <c r="DW153" s="11"/>
      <c r="DX153" s="11"/>
      <c r="DY153" s="11"/>
      <c r="DZ153" s="11"/>
      <c r="EA153" s="11"/>
      <c r="EB153" s="11"/>
      <c r="EC153" s="11"/>
      <c r="ED153" s="11"/>
      <c r="EE153" s="11"/>
      <c r="EF153" s="11"/>
      <c r="EG153" s="11"/>
      <c r="EH153" s="11"/>
      <c r="EI153" s="11"/>
      <c r="EJ153" s="11"/>
      <c r="EK153" s="11"/>
      <c r="EL153" s="11"/>
      <c r="EM153" s="11"/>
      <c r="EN153" s="11"/>
      <c r="EO153" s="11"/>
      <c r="EP153" s="11"/>
      <c r="EQ153" s="11"/>
      <c r="ER153" s="11"/>
      <c r="ES153" s="11"/>
      <c r="ET153" s="11"/>
      <c r="EU153" s="11"/>
      <c r="EV153" s="11"/>
      <c r="EW153" s="11"/>
      <c r="EX153" s="11"/>
      <c r="EY153" s="11"/>
      <c r="EZ153" s="11"/>
      <c r="FA153" s="11"/>
      <c r="FB153" s="11"/>
      <c r="FC153" s="11"/>
      <c r="FD153" s="11"/>
      <c r="FE153" s="11"/>
      <c r="FF153" s="11"/>
      <c r="FG153" s="11"/>
      <c r="FH153" s="11"/>
      <c r="FI153" s="11"/>
      <c r="FJ153" s="11"/>
      <c r="FK153" s="11"/>
      <c r="FL153" s="11"/>
      <c r="FM153" s="11"/>
      <c r="FN153" s="11"/>
      <c r="FO153" s="11"/>
      <c r="FP153" s="11"/>
      <c r="FQ153" s="11"/>
      <c r="FR153" s="11"/>
      <c r="FS153" s="11"/>
      <c r="FT153" s="11"/>
      <c r="FU153" s="11"/>
      <c r="FV153" s="11"/>
      <c r="FW153" s="11"/>
      <c r="FX153" s="11"/>
      <c r="FY153" s="11"/>
      <c r="FZ153" s="11"/>
      <c r="GA153" s="11"/>
      <c r="GB153" s="11"/>
      <c r="GC153" s="11"/>
      <c r="GD153" s="11"/>
      <c r="GE153" s="11"/>
    </row>
    <row r="154" spans="1:187" s="28" customFormat="1" ht="31.5">
      <c r="A154" s="35" t="s">
        <v>150</v>
      </c>
      <c r="B154" s="36">
        <f t="shared" si="26"/>
        <v>0</v>
      </c>
      <c r="C154" s="36">
        <f t="shared" si="26"/>
        <v>4680</v>
      </c>
      <c r="D154" s="36">
        <f t="shared" si="26"/>
        <v>4680</v>
      </c>
      <c r="E154" s="36">
        <v>0</v>
      </c>
      <c r="F154" s="36">
        <v>0</v>
      </c>
      <c r="G154" s="36">
        <f t="shared" si="25"/>
        <v>0</v>
      </c>
      <c r="H154" s="36"/>
      <c r="I154" s="36"/>
      <c r="J154" s="36">
        <f t="shared" si="18"/>
        <v>0</v>
      </c>
      <c r="K154" s="36">
        <v>0</v>
      </c>
      <c r="L154" s="36">
        <v>4680</v>
      </c>
      <c r="M154" s="36">
        <f t="shared" si="19"/>
        <v>4680</v>
      </c>
      <c r="N154" s="36"/>
      <c r="O154" s="36"/>
      <c r="P154" s="36">
        <f t="shared" si="20"/>
        <v>0</v>
      </c>
      <c r="Q154" s="36"/>
      <c r="R154" s="36"/>
      <c r="S154" s="36">
        <f t="shared" si="21"/>
        <v>0</v>
      </c>
      <c r="T154" s="36">
        <v>0</v>
      </c>
      <c r="U154" s="36">
        <v>0</v>
      </c>
      <c r="V154" s="36">
        <f t="shared" si="22"/>
        <v>0</v>
      </c>
      <c r="W154" s="36"/>
      <c r="X154" s="36"/>
      <c r="Y154" s="36">
        <f t="shared" si="23"/>
        <v>0</v>
      </c>
      <c r="Z154" s="36"/>
      <c r="AA154" s="36"/>
      <c r="AB154" s="36">
        <f t="shared" si="24"/>
        <v>0</v>
      </c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/>
      <c r="AW154" s="11"/>
      <c r="AX154" s="11"/>
      <c r="AY154" s="11"/>
      <c r="AZ154" s="11"/>
      <c r="BA154" s="11"/>
      <c r="BB154" s="11"/>
      <c r="BC154" s="11"/>
      <c r="BD154" s="11"/>
      <c r="BE154" s="11"/>
      <c r="BF154" s="11"/>
      <c r="BG154" s="11"/>
      <c r="BH154" s="11"/>
      <c r="BI154" s="11"/>
      <c r="BJ154" s="11"/>
      <c r="BK154" s="11"/>
      <c r="BL154" s="11"/>
      <c r="BM154" s="11"/>
      <c r="BN154" s="11"/>
      <c r="BO154" s="11"/>
      <c r="BP154" s="11"/>
      <c r="BQ154" s="11"/>
      <c r="BR154" s="11"/>
      <c r="BS154" s="11"/>
      <c r="BT154" s="11"/>
      <c r="BU154" s="11"/>
      <c r="BV154" s="11"/>
      <c r="BW154" s="11"/>
      <c r="BX154" s="11"/>
      <c r="BY154" s="11"/>
      <c r="BZ154" s="11"/>
      <c r="CA154" s="11"/>
      <c r="CB154" s="11"/>
      <c r="CC154" s="11"/>
      <c r="CD154" s="11"/>
      <c r="CE154" s="11"/>
      <c r="CF154" s="11"/>
      <c r="CG154" s="11"/>
      <c r="CH154" s="11"/>
      <c r="CI154" s="11"/>
      <c r="CJ154" s="11"/>
      <c r="CK154" s="11"/>
      <c r="CL154" s="11"/>
      <c r="CM154" s="11"/>
      <c r="CN154" s="11"/>
      <c r="CO154" s="11"/>
      <c r="CP154" s="11"/>
      <c r="CQ154" s="11"/>
      <c r="CR154" s="11"/>
      <c r="CS154" s="11"/>
      <c r="CT154" s="11"/>
      <c r="CU154" s="11"/>
      <c r="CV154" s="11"/>
      <c r="CW154" s="11"/>
      <c r="CX154" s="11"/>
      <c r="CY154" s="11"/>
      <c r="CZ154" s="11"/>
      <c r="DA154" s="11"/>
      <c r="DB154" s="11"/>
      <c r="DC154" s="11"/>
      <c r="DD154" s="11"/>
      <c r="DE154" s="11"/>
      <c r="DF154" s="11"/>
      <c r="DG154" s="11"/>
      <c r="DH154" s="11"/>
      <c r="DI154" s="11"/>
      <c r="DJ154" s="11"/>
      <c r="DK154" s="11"/>
      <c r="DL154" s="11"/>
      <c r="DM154" s="11"/>
      <c r="DN154" s="11"/>
      <c r="DO154" s="11"/>
      <c r="DP154" s="11"/>
      <c r="DQ154" s="11"/>
      <c r="DR154" s="11"/>
      <c r="DS154" s="11"/>
      <c r="DT154" s="11"/>
      <c r="DU154" s="11"/>
      <c r="DV154" s="11"/>
      <c r="DW154" s="11"/>
      <c r="DX154" s="11"/>
      <c r="DY154" s="11"/>
      <c r="DZ154" s="11"/>
      <c r="EA154" s="11"/>
      <c r="EB154" s="11"/>
      <c r="EC154" s="11"/>
      <c r="ED154" s="11"/>
      <c r="EE154" s="11"/>
      <c r="EF154" s="11"/>
      <c r="EG154" s="11"/>
      <c r="EH154" s="11"/>
      <c r="EI154" s="11"/>
      <c r="EJ154" s="11"/>
      <c r="EK154" s="11"/>
      <c r="EL154" s="11"/>
      <c r="EM154" s="11"/>
      <c r="EN154" s="11"/>
      <c r="EO154" s="11"/>
      <c r="EP154" s="11"/>
      <c r="EQ154" s="11"/>
      <c r="ER154" s="11"/>
      <c r="ES154" s="11"/>
      <c r="ET154" s="11"/>
      <c r="EU154" s="11"/>
      <c r="EV154" s="11"/>
      <c r="EW154" s="11"/>
      <c r="EX154" s="11"/>
      <c r="EY154" s="11"/>
      <c r="EZ154" s="11"/>
      <c r="FA154" s="11"/>
      <c r="FB154" s="11"/>
      <c r="FC154" s="11"/>
      <c r="FD154" s="11"/>
      <c r="FE154" s="11"/>
      <c r="FF154" s="11"/>
      <c r="FG154" s="11"/>
      <c r="FH154" s="11"/>
      <c r="FI154" s="11"/>
      <c r="FJ154" s="11"/>
      <c r="FK154" s="11"/>
      <c r="FL154" s="11"/>
      <c r="FM154" s="11"/>
      <c r="FN154" s="11"/>
      <c r="FO154" s="11"/>
      <c r="FP154" s="11"/>
      <c r="FQ154" s="11"/>
      <c r="FR154" s="11"/>
      <c r="FS154" s="11"/>
      <c r="FT154" s="11"/>
      <c r="FU154" s="11"/>
      <c r="FV154" s="11"/>
      <c r="FW154" s="11"/>
      <c r="FX154" s="11"/>
      <c r="FY154" s="11"/>
      <c r="FZ154" s="11"/>
      <c r="GA154" s="11"/>
      <c r="GB154" s="11"/>
      <c r="GC154" s="11"/>
      <c r="GD154" s="11"/>
      <c r="GE154" s="11"/>
    </row>
    <row r="155" spans="1:187" s="28" customFormat="1" ht="31.5">
      <c r="A155" s="35" t="s">
        <v>151</v>
      </c>
      <c r="B155" s="36">
        <f t="shared" si="26"/>
        <v>0</v>
      </c>
      <c r="C155" s="36">
        <f t="shared" si="26"/>
        <v>3944</v>
      </c>
      <c r="D155" s="36">
        <f t="shared" si="26"/>
        <v>3944</v>
      </c>
      <c r="E155" s="36">
        <v>0</v>
      </c>
      <c r="F155" s="36">
        <v>0</v>
      </c>
      <c r="G155" s="36">
        <f t="shared" si="25"/>
        <v>0</v>
      </c>
      <c r="H155" s="36"/>
      <c r="I155" s="36"/>
      <c r="J155" s="36">
        <f t="shared" si="18"/>
        <v>0</v>
      </c>
      <c r="K155" s="36">
        <v>0</v>
      </c>
      <c r="L155" s="36">
        <v>3944</v>
      </c>
      <c r="M155" s="36">
        <f t="shared" si="19"/>
        <v>3944</v>
      </c>
      <c r="N155" s="36"/>
      <c r="O155" s="36"/>
      <c r="P155" s="36">
        <f t="shared" si="20"/>
        <v>0</v>
      </c>
      <c r="Q155" s="36"/>
      <c r="R155" s="36"/>
      <c r="S155" s="36">
        <f t="shared" si="21"/>
        <v>0</v>
      </c>
      <c r="T155" s="36">
        <v>0</v>
      </c>
      <c r="U155" s="36">
        <v>0</v>
      </c>
      <c r="V155" s="36">
        <f t="shared" si="22"/>
        <v>0</v>
      </c>
      <c r="W155" s="36"/>
      <c r="X155" s="36"/>
      <c r="Y155" s="36">
        <f t="shared" si="23"/>
        <v>0</v>
      </c>
      <c r="Z155" s="36"/>
      <c r="AA155" s="36"/>
      <c r="AB155" s="36">
        <f t="shared" si="24"/>
        <v>0</v>
      </c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  <c r="AV155" s="11"/>
      <c r="AW155" s="11"/>
      <c r="AX155" s="11"/>
      <c r="AY155" s="11"/>
      <c r="AZ155" s="11"/>
      <c r="BA155" s="11"/>
      <c r="BB155" s="11"/>
      <c r="BC155" s="11"/>
      <c r="BD155" s="11"/>
      <c r="BE155" s="11"/>
      <c r="BF155" s="11"/>
      <c r="BG155" s="11"/>
      <c r="BH155" s="11"/>
      <c r="BI155" s="11"/>
      <c r="BJ155" s="11"/>
      <c r="BK155" s="11"/>
      <c r="BL155" s="11"/>
      <c r="BM155" s="11"/>
      <c r="BN155" s="11"/>
      <c r="BO155" s="11"/>
      <c r="BP155" s="11"/>
      <c r="BQ155" s="11"/>
      <c r="BR155" s="11"/>
      <c r="BS155" s="11"/>
      <c r="BT155" s="11"/>
      <c r="BU155" s="11"/>
      <c r="BV155" s="11"/>
      <c r="BW155" s="11"/>
      <c r="BX155" s="11"/>
      <c r="BY155" s="11"/>
      <c r="BZ155" s="11"/>
      <c r="CA155" s="11"/>
      <c r="CB155" s="11"/>
      <c r="CC155" s="11"/>
      <c r="CD155" s="11"/>
      <c r="CE155" s="11"/>
      <c r="CF155" s="11"/>
      <c r="CG155" s="11"/>
      <c r="CH155" s="11"/>
      <c r="CI155" s="11"/>
      <c r="CJ155" s="11"/>
      <c r="CK155" s="11"/>
      <c r="CL155" s="11"/>
      <c r="CM155" s="11"/>
      <c r="CN155" s="11"/>
      <c r="CO155" s="11"/>
      <c r="CP155" s="11"/>
      <c r="CQ155" s="11"/>
      <c r="CR155" s="11"/>
      <c r="CS155" s="11"/>
      <c r="CT155" s="11"/>
      <c r="CU155" s="11"/>
      <c r="CV155" s="11"/>
      <c r="CW155" s="11"/>
      <c r="CX155" s="11"/>
      <c r="CY155" s="11"/>
      <c r="CZ155" s="11"/>
      <c r="DA155" s="11"/>
      <c r="DB155" s="11"/>
      <c r="DC155" s="11"/>
      <c r="DD155" s="11"/>
      <c r="DE155" s="11"/>
      <c r="DF155" s="11"/>
      <c r="DG155" s="11"/>
      <c r="DH155" s="11"/>
      <c r="DI155" s="11"/>
      <c r="DJ155" s="11"/>
      <c r="DK155" s="11"/>
      <c r="DL155" s="11"/>
      <c r="DM155" s="11"/>
      <c r="DN155" s="11"/>
      <c r="DO155" s="11"/>
      <c r="DP155" s="11"/>
      <c r="DQ155" s="11"/>
      <c r="DR155" s="11"/>
      <c r="DS155" s="11"/>
      <c r="DT155" s="11"/>
      <c r="DU155" s="11"/>
      <c r="DV155" s="11"/>
      <c r="DW155" s="11"/>
      <c r="DX155" s="11"/>
      <c r="DY155" s="11"/>
      <c r="DZ155" s="11"/>
      <c r="EA155" s="11"/>
      <c r="EB155" s="11"/>
      <c r="EC155" s="11"/>
      <c r="ED155" s="11"/>
      <c r="EE155" s="11"/>
      <c r="EF155" s="11"/>
      <c r="EG155" s="11"/>
      <c r="EH155" s="11"/>
      <c r="EI155" s="11"/>
      <c r="EJ155" s="11"/>
      <c r="EK155" s="11"/>
      <c r="EL155" s="11"/>
      <c r="EM155" s="11"/>
      <c r="EN155" s="11"/>
      <c r="EO155" s="11"/>
      <c r="EP155" s="11"/>
      <c r="EQ155" s="11"/>
      <c r="ER155" s="11"/>
      <c r="ES155" s="11"/>
      <c r="ET155" s="11"/>
      <c r="EU155" s="11"/>
      <c r="EV155" s="11"/>
      <c r="EW155" s="11"/>
      <c r="EX155" s="11"/>
      <c r="EY155" s="11"/>
      <c r="EZ155" s="11"/>
      <c r="FA155" s="11"/>
      <c r="FB155" s="11"/>
      <c r="FC155" s="11"/>
      <c r="FD155" s="11"/>
      <c r="FE155" s="11"/>
      <c r="FF155" s="11"/>
      <c r="FG155" s="11"/>
      <c r="FH155" s="11"/>
      <c r="FI155" s="11"/>
      <c r="FJ155" s="11"/>
      <c r="FK155" s="11"/>
      <c r="FL155" s="11"/>
      <c r="FM155" s="11"/>
      <c r="FN155" s="11"/>
      <c r="FO155" s="11"/>
      <c r="FP155" s="11"/>
      <c r="FQ155" s="11"/>
      <c r="FR155" s="11"/>
      <c r="FS155" s="11"/>
      <c r="FT155" s="11"/>
      <c r="FU155" s="11"/>
      <c r="FV155" s="11"/>
      <c r="FW155" s="11"/>
      <c r="FX155" s="11"/>
      <c r="FY155" s="11"/>
      <c r="FZ155" s="11"/>
      <c r="GA155" s="11"/>
      <c r="GB155" s="11"/>
      <c r="GC155" s="11"/>
      <c r="GD155" s="11"/>
      <c r="GE155" s="11"/>
    </row>
    <row r="156" spans="1:187" s="11" customFormat="1" ht="36" customHeight="1">
      <c r="A156" s="35" t="s">
        <v>152</v>
      </c>
      <c r="B156" s="36">
        <f t="shared" si="26"/>
        <v>1668</v>
      </c>
      <c r="C156" s="36">
        <f t="shared" si="26"/>
        <v>1668</v>
      </c>
      <c r="D156" s="36">
        <f t="shared" si="26"/>
        <v>0</v>
      </c>
      <c r="E156" s="36">
        <v>0</v>
      </c>
      <c r="F156" s="36">
        <v>0</v>
      </c>
      <c r="G156" s="36">
        <f t="shared" si="25"/>
        <v>0</v>
      </c>
      <c r="H156" s="36"/>
      <c r="I156" s="36"/>
      <c r="J156" s="36">
        <f t="shared" si="18"/>
        <v>0</v>
      </c>
      <c r="K156" s="36">
        <f>1700-32</f>
        <v>1668</v>
      </c>
      <c r="L156" s="36">
        <f>1700-32</f>
        <v>1668</v>
      </c>
      <c r="M156" s="36">
        <f t="shared" si="19"/>
        <v>0</v>
      </c>
      <c r="N156" s="36"/>
      <c r="O156" s="36"/>
      <c r="P156" s="36">
        <f t="shared" si="20"/>
        <v>0</v>
      </c>
      <c r="Q156" s="36">
        <v>0</v>
      </c>
      <c r="R156" s="36">
        <v>0</v>
      </c>
      <c r="S156" s="36">
        <f t="shared" si="21"/>
        <v>0</v>
      </c>
      <c r="T156" s="36"/>
      <c r="U156" s="36"/>
      <c r="V156" s="36">
        <f t="shared" si="22"/>
        <v>0</v>
      </c>
      <c r="W156" s="36"/>
      <c r="X156" s="36"/>
      <c r="Y156" s="36">
        <f t="shared" si="23"/>
        <v>0</v>
      </c>
      <c r="Z156" s="36"/>
      <c r="AA156" s="36"/>
      <c r="AB156" s="36">
        <f t="shared" si="24"/>
        <v>0</v>
      </c>
    </row>
    <row r="157" spans="1:187" s="11" customFormat="1" ht="31.5">
      <c r="A157" s="35" t="s">
        <v>153</v>
      </c>
      <c r="B157" s="36">
        <f t="shared" si="26"/>
        <v>2420</v>
      </c>
      <c r="C157" s="36">
        <f t="shared" si="26"/>
        <v>2420</v>
      </c>
      <c r="D157" s="36">
        <f t="shared" si="26"/>
        <v>0</v>
      </c>
      <c r="E157" s="36">
        <v>0</v>
      </c>
      <c r="F157" s="36">
        <v>0</v>
      </c>
      <c r="G157" s="36">
        <f t="shared" si="25"/>
        <v>0</v>
      </c>
      <c r="H157" s="36"/>
      <c r="I157" s="36"/>
      <c r="J157" s="36">
        <f t="shared" si="18"/>
        <v>0</v>
      </c>
      <c r="K157" s="36">
        <v>2420</v>
      </c>
      <c r="L157" s="36">
        <v>2420</v>
      </c>
      <c r="M157" s="36">
        <f t="shared" si="19"/>
        <v>0</v>
      </c>
      <c r="N157" s="36"/>
      <c r="O157" s="36"/>
      <c r="P157" s="36">
        <f t="shared" si="20"/>
        <v>0</v>
      </c>
      <c r="Q157" s="36">
        <v>0</v>
      </c>
      <c r="R157" s="36">
        <v>0</v>
      </c>
      <c r="S157" s="36">
        <f t="shared" si="21"/>
        <v>0</v>
      </c>
      <c r="T157" s="36"/>
      <c r="U157" s="36"/>
      <c r="V157" s="36">
        <f t="shared" si="22"/>
        <v>0</v>
      </c>
      <c r="W157" s="36"/>
      <c r="X157" s="36"/>
      <c r="Y157" s="36">
        <f t="shared" si="23"/>
        <v>0</v>
      </c>
      <c r="Z157" s="36"/>
      <c r="AA157" s="36"/>
      <c r="AB157" s="36">
        <f t="shared" si="24"/>
        <v>0</v>
      </c>
    </row>
    <row r="158" spans="1:187" s="11" customFormat="1" ht="31.5">
      <c r="A158" s="35" t="s">
        <v>154</v>
      </c>
      <c r="B158" s="36">
        <f t="shared" si="26"/>
        <v>3600</v>
      </c>
      <c r="C158" s="36">
        <f t="shared" si="26"/>
        <v>3484</v>
      </c>
      <c r="D158" s="36">
        <f t="shared" si="26"/>
        <v>-116</v>
      </c>
      <c r="E158" s="36">
        <v>0</v>
      </c>
      <c r="F158" s="36">
        <v>0</v>
      </c>
      <c r="G158" s="36">
        <f t="shared" si="25"/>
        <v>0</v>
      </c>
      <c r="H158" s="36"/>
      <c r="I158" s="36"/>
      <c r="J158" s="36">
        <f t="shared" si="18"/>
        <v>0</v>
      </c>
      <c r="K158" s="36">
        <v>3600</v>
      </c>
      <c r="L158" s="36">
        <f>3600-116</f>
        <v>3484</v>
      </c>
      <c r="M158" s="36">
        <f t="shared" si="19"/>
        <v>-116</v>
      </c>
      <c r="N158" s="36"/>
      <c r="O158" s="36"/>
      <c r="P158" s="36">
        <f t="shared" si="20"/>
        <v>0</v>
      </c>
      <c r="Q158" s="36">
        <v>0</v>
      </c>
      <c r="R158" s="36">
        <v>0</v>
      </c>
      <c r="S158" s="36">
        <f t="shared" si="21"/>
        <v>0</v>
      </c>
      <c r="T158" s="36"/>
      <c r="U158" s="36"/>
      <c r="V158" s="36">
        <f t="shared" si="22"/>
        <v>0</v>
      </c>
      <c r="W158" s="36"/>
      <c r="X158" s="36"/>
      <c r="Y158" s="36">
        <f t="shared" si="23"/>
        <v>0</v>
      </c>
      <c r="Z158" s="36"/>
      <c r="AA158" s="36"/>
      <c r="AB158" s="36">
        <f t="shared" si="24"/>
        <v>0</v>
      </c>
    </row>
    <row r="159" spans="1:187" s="11" customFormat="1" ht="31.5">
      <c r="A159" s="35" t="s">
        <v>155</v>
      </c>
      <c r="B159" s="36">
        <f t="shared" si="26"/>
        <v>1704</v>
      </c>
      <c r="C159" s="36">
        <f t="shared" si="26"/>
        <v>1704</v>
      </c>
      <c r="D159" s="36">
        <f t="shared" si="26"/>
        <v>0</v>
      </c>
      <c r="E159" s="36">
        <v>0</v>
      </c>
      <c r="F159" s="36">
        <v>0</v>
      </c>
      <c r="G159" s="36">
        <f t="shared" si="25"/>
        <v>0</v>
      </c>
      <c r="H159" s="36"/>
      <c r="I159" s="36"/>
      <c r="J159" s="36">
        <f t="shared" si="18"/>
        <v>0</v>
      </c>
      <c r="K159" s="36">
        <v>1704</v>
      </c>
      <c r="L159" s="36">
        <v>1704</v>
      </c>
      <c r="M159" s="36">
        <f t="shared" si="19"/>
        <v>0</v>
      </c>
      <c r="N159" s="36"/>
      <c r="O159" s="36"/>
      <c r="P159" s="36">
        <f t="shared" si="20"/>
        <v>0</v>
      </c>
      <c r="Q159" s="36">
        <v>0</v>
      </c>
      <c r="R159" s="36">
        <v>0</v>
      </c>
      <c r="S159" s="36">
        <f t="shared" si="21"/>
        <v>0</v>
      </c>
      <c r="T159" s="36"/>
      <c r="U159" s="36"/>
      <c r="V159" s="36">
        <f t="shared" si="22"/>
        <v>0</v>
      </c>
      <c r="W159" s="36"/>
      <c r="X159" s="36"/>
      <c r="Y159" s="36">
        <f t="shared" si="23"/>
        <v>0</v>
      </c>
      <c r="Z159" s="36"/>
      <c r="AA159" s="36"/>
      <c r="AB159" s="36">
        <f t="shared" si="24"/>
        <v>0</v>
      </c>
    </row>
    <row r="160" spans="1:187" s="11" customFormat="1" ht="31.5">
      <c r="A160" s="35" t="s">
        <v>156</v>
      </c>
      <c r="B160" s="36">
        <f t="shared" si="26"/>
        <v>21500</v>
      </c>
      <c r="C160" s="36">
        <f t="shared" si="26"/>
        <v>21426</v>
      </c>
      <c r="D160" s="36">
        <f t="shared" si="26"/>
        <v>-74</v>
      </c>
      <c r="E160" s="36">
        <v>0</v>
      </c>
      <c r="F160" s="36">
        <v>0</v>
      </c>
      <c r="G160" s="36">
        <f t="shared" si="25"/>
        <v>0</v>
      </c>
      <c r="H160" s="36"/>
      <c r="I160" s="36"/>
      <c r="J160" s="36">
        <f t="shared" si="18"/>
        <v>0</v>
      </c>
      <c r="K160" s="36"/>
      <c r="L160" s="36"/>
      <c r="M160" s="36">
        <f t="shared" si="19"/>
        <v>0</v>
      </c>
      <c r="N160" s="36"/>
      <c r="O160" s="36"/>
      <c r="P160" s="36">
        <f t="shared" si="20"/>
        <v>0</v>
      </c>
      <c r="Q160" s="36">
        <f>21426+74</f>
        <v>21500</v>
      </c>
      <c r="R160" s="36">
        <f>21426+74-74</f>
        <v>21426</v>
      </c>
      <c r="S160" s="36">
        <f t="shared" si="21"/>
        <v>-74</v>
      </c>
      <c r="T160" s="36"/>
      <c r="U160" s="36"/>
      <c r="V160" s="36">
        <f t="shared" si="22"/>
        <v>0</v>
      </c>
      <c r="W160" s="36"/>
      <c r="X160" s="36"/>
      <c r="Y160" s="36">
        <f t="shared" si="23"/>
        <v>0</v>
      </c>
      <c r="Z160" s="36"/>
      <c r="AA160" s="36"/>
      <c r="AB160" s="36">
        <f t="shared" si="24"/>
        <v>0</v>
      </c>
    </row>
    <row r="161" spans="1:187" s="11" customFormat="1" ht="31.5">
      <c r="A161" s="35" t="s">
        <v>157</v>
      </c>
      <c r="B161" s="36">
        <f t="shared" si="26"/>
        <v>6430</v>
      </c>
      <c r="C161" s="36">
        <f t="shared" si="26"/>
        <v>6430</v>
      </c>
      <c r="D161" s="36">
        <f t="shared" si="26"/>
        <v>0</v>
      </c>
      <c r="E161" s="36">
        <v>0</v>
      </c>
      <c r="F161" s="36">
        <v>0</v>
      </c>
      <c r="G161" s="36">
        <f t="shared" si="25"/>
        <v>0</v>
      </c>
      <c r="H161" s="36"/>
      <c r="I161" s="36"/>
      <c r="J161" s="36">
        <f t="shared" si="18"/>
        <v>0</v>
      </c>
      <c r="K161" s="36">
        <v>0</v>
      </c>
      <c r="L161" s="36">
        <v>0</v>
      </c>
      <c r="M161" s="36">
        <f t="shared" si="19"/>
        <v>0</v>
      </c>
      <c r="N161" s="36"/>
      <c r="O161" s="36"/>
      <c r="P161" s="36">
        <f t="shared" si="20"/>
        <v>0</v>
      </c>
      <c r="Q161" s="36">
        <v>0</v>
      </c>
      <c r="R161" s="36">
        <v>0</v>
      </c>
      <c r="S161" s="36">
        <f t="shared" si="21"/>
        <v>0</v>
      </c>
      <c r="T161" s="36"/>
      <c r="U161" s="36"/>
      <c r="V161" s="36">
        <f t="shared" si="22"/>
        <v>0</v>
      </c>
      <c r="W161" s="36">
        <f>3215+3215</f>
        <v>6430</v>
      </c>
      <c r="X161" s="36">
        <f>3215+3215</f>
        <v>6430</v>
      </c>
      <c r="Y161" s="36">
        <f t="shared" si="23"/>
        <v>0</v>
      </c>
      <c r="Z161" s="36"/>
      <c r="AA161" s="36"/>
      <c r="AB161" s="36">
        <f t="shared" si="24"/>
        <v>0</v>
      </c>
    </row>
    <row r="162" spans="1:187" s="11" customFormat="1" ht="31.5">
      <c r="A162" s="35" t="s">
        <v>158</v>
      </c>
      <c r="B162" s="36">
        <f t="shared" si="26"/>
        <v>2754</v>
      </c>
      <c r="C162" s="36">
        <f t="shared" si="26"/>
        <v>2754</v>
      </c>
      <c r="D162" s="36">
        <f t="shared" si="26"/>
        <v>0</v>
      </c>
      <c r="E162" s="36">
        <v>0</v>
      </c>
      <c r="F162" s="36">
        <v>0</v>
      </c>
      <c r="G162" s="36">
        <f t="shared" si="25"/>
        <v>0</v>
      </c>
      <c r="H162" s="36"/>
      <c r="I162" s="36"/>
      <c r="J162" s="36">
        <f t="shared" si="18"/>
        <v>0</v>
      </c>
      <c r="K162" s="36">
        <v>2754</v>
      </c>
      <c r="L162" s="36">
        <v>2754</v>
      </c>
      <c r="M162" s="36">
        <f t="shared" si="19"/>
        <v>0</v>
      </c>
      <c r="N162" s="36"/>
      <c r="O162" s="36"/>
      <c r="P162" s="36">
        <f t="shared" si="20"/>
        <v>0</v>
      </c>
      <c r="Q162" s="36">
        <v>0</v>
      </c>
      <c r="R162" s="36">
        <v>0</v>
      </c>
      <c r="S162" s="36">
        <f t="shared" si="21"/>
        <v>0</v>
      </c>
      <c r="T162" s="36"/>
      <c r="U162" s="36"/>
      <c r="V162" s="36">
        <f t="shared" si="22"/>
        <v>0</v>
      </c>
      <c r="W162" s="36"/>
      <c r="X162" s="36"/>
      <c r="Y162" s="36">
        <f t="shared" si="23"/>
        <v>0</v>
      </c>
      <c r="Z162" s="36"/>
      <c r="AA162" s="36"/>
      <c r="AB162" s="36">
        <f t="shared" si="24"/>
        <v>0</v>
      </c>
    </row>
    <row r="163" spans="1:187" s="11" customFormat="1" ht="31.5">
      <c r="A163" s="35" t="s">
        <v>159</v>
      </c>
      <c r="B163" s="36">
        <f t="shared" si="26"/>
        <v>7222</v>
      </c>
      <c r="C163" s="36">
        <f t="shared" si="26"/>
        <v>7222</v>
      </c>
      <c r="D163" s="36">
        <f t="shared" si="26"/>
        <v>0</v>
      </c>
      <c r="E163" s="36">
        <v>0</v>
      </c>
      <c r="F163" s="36">
        <v>0</v>
      </c>
      <c r="G163" s="36">
        <f t="shared" si="25"/>
        <v>0</v>
      </c>
      <c r="H163" s="36"/>
      <c r="I163" s="36"/>
      <c r="J163" s="36">
        <f t="shared" si="18"/>
        <v>0</v>
      </c>
      <c r="K163" s="36"/>
      <c r="L163" s="36"/>
      <c r="M163" s="36">
        <f t="shared" si="19"/>
        <v>0</v>
      </c>
      <c r="N163" s="36"/>
      <c r="O163" s="36"/>
      <c r="P163" s="36">
        <f t="shared" si="20"/>
        <v>0</v>
      </c>
      <c r="Q163" s="36">
        <v>0</v>
      </c>
      <c r="R163" s="36">
        <v>0</v>
      </c>
      <c r="S163" s="36">
        <f t="shared" si="21"/>
        <v>0</v>
      </c>
      <c r="T163" s="36"/>
      <c r="U163" s="36"/>
      <c r="V163" s="36">
        <f t="shared" si="22"/>
        <v>0</v>
      </c>
      <c r="W163" s="36">
        <f>3137+4085</f>
        <v>7222</v>
      </c>
      <c r="X163" s="36">
        <f>3137+4085</f>
        <v>7222</v>
      </c>
      <c r="Y163" s="36">
        <f t="shared" si="23"/>
        <v>0</v>
      </c>
      <c r="Z163" s="36"/>
      <c r="AA163" s="36"/>
      <c r="AB163" s="36">
        <f t="shared" si="24"/>
        <v>0</v>
      </c>
    </row>
    <row r="164" spans="1:187" s="11" customFormat="1" ht="47.25">
      <c r="A164" s="35" t="s">
        <v>160</v>
      </c>
      <c r="B164" s="36">
        <f t="shared" si="26"/>
        <v>7025</v>
      </c>
      <c r="C164" s="36">
        <f t="shared" si="26"/>
        <v>7025</v>
      </c>
      <c r="D164" s="36">
        <f t="shared" si="26"/>
        <v>0</v>
      </c>
      <c r="E164" s="36">
        <v>0</v>
      </c>
      <c r="F164" s="36">
        <v>0</v>
      </c>
      <c r="G164" s="36">
        <f t="shared" si="25"/>
        <v>0</v>
      </c>
      <c r="H164" s="36"/>
      <c r="I164" s="36"/>
      <c r="J164" s="36">
        <f t="shared" si="18"/>
        <v>0</v>
      </c>
      <c r="K164" s="36"/>
      <c r="L164" s="36"/>
      <c r="M164" s="36">
        <f t="shared" si="19"/>
        <v>0</v>
      </c>
      <c r="N164" s="36"/>
      <c r="O164" s="36"/>
      <c r="P164" s="36">
        <f t="shared" si="20"/>
        <v>0</v>
      </c>
      <c r="Q164" s="36">
        <v>0</v>
      </c>
      <c r="R164" s="36">
        <v>0</v>
      </c>
      <c r="S164" s="36">
        <f t="shared" si="21"/>
        <v>0</v>
      </c>
      <c r="T164" s="36"/>
      <c r="U164" s="36"/>
      <c r="V164" s="36">
        <f t="shared" si="22"/>
        <v>0</v>
      </c>
      <c r="W164" s="36">
        <v>7025</v>
      </c>
      <c r="X164" s="36">
        <v>7025</v>
      </c>
      <c r="Y164" s="36">
        <f t="shared" si="23"/>
        <v>0</v>
      </c>
      <c r="Z164" s="36"/>
      <c r="AA164" s="36"/>
      <c r="AB164" s="36">
        <f t="shared" si="24"/>
        <v>0</v>
      </c>
    </row>
    <row r="165" spans="1:187" s="11" customFormat="1" ht="31.5">
      <c r="A165" s="35" t="s">
        <v>161</v>
      </c>
      <c r="B165" s="36">
        <f t="shared" si="26"/>
        <v>97111</v>
      </c>
      <c r="C165" s="36">
        <f t="shared" si="26"/>
        <v>97111</v>
      </c>
      <c r="D165" s="36">
        <f t="shared" si="26"/>
        <v>0</v>
      </c>
      <c r="E165" s="36">
        <v>0</v>
      </c>
      <c r="F165" s="36">
        <v>0</v>
      </c>
      <c r="G165" s="36">
        <f t="shared" si="25"/>
        <v>0</v>
      </c>
      <c r="H165" s="36"/>
      <c r="I165" s="36"/>
      <c r="J165" s="36">
        <f t="shared" si="18"/>
        <v>0</v>
      </c>
      <c r="K165" s="36">
        <v>97111</v>
      </c>
      <c r="L165" s="36">
        <v>97111</v>
      </c>
      <c r="M165" s="36">
        <f t="shared" si="19"/>
        <v>0</v>
      </c>
      <c r="N165" s="36"/>
      <c r="O165" s="36"/>
      <c r="P165" s="36">
        <f t="shared" si="20"/>
        <v>0</v>
      </c>
      <c r="Q165" s="36"/>
      <c r="R165" s="36"/>
      <c r="S165" s="36">
        <f t="shared" si="21"/>
        <v>0</v>
      </c>
      <c r="T165" s="36"/>
      <c r="U165" s="36"/>
      <c r="V165" s="36">
        <f t="shared" si="22"/>
        <v>0</v>
      </c>
      <c r="W165" s="36"/>
      <c r="X165" s="36"/>
      <c r="Y165" s="36">
        <f t="shared" si="23"/>
        <v>0</v>
      </c>
      <c r="Z165" s="36"/>
      <c r="AA165" s="36"/>
      <c r="AB165" s="36">
        <f t="shared" si="24"/>
        <v>0</v>
      </c>
    </row>
    <row r="166" spans="1:187" s="11" customFormat="1">
      <c r="A166" s="35" t="s">
        <v>162</v>
      </c>
      <c r="B166" s="36">
        <f t="shared" si="26"/>
        <v>14400</v>
      </c>
      <c r="C166" s="36">
        <f t="shared" si="26"/>
        <v>14400</v>
      </c>
      <c r="D166" s="36">
        <f t="shared" si="26"/>
        <v>0</v>
      </c>
      <c r="E166" s="36">
        <v>0</v>
      </c>
      <c r="F166" s="36">
        <v>0</v>
      </c>
      <c r="G166" s="36">
        <f t="shared" si="25"/>
        <v>0</v>
      </c>
      <c r="H166" s="36"/>
      <c r="I166" s="36"/>
      <c r="J166" s="36">
        <f t="shared" si="18"/>
        <v>0</v>
      </c>
      <c r="K166" s="36">
        <v>14400</v>
      </c>
      <c r="L166" s="36">
        <v>14400</v>
      </c>
      <c r="M166" s="36">
        <f t="shared" si="19"/>
        <v>0</v>
      </c>
      <c r="N166" s="36"/>
      <c r="O166" s="36"/>
      <c r="P166" s="36">
        <f t="shared" si="20"/>
        <v>0</v>
      </c>
      <c r="Q166" s="36">
        <f>60156-60156</f>
        <v>0</v>
      </c>
      <c r="R166" s="36">
        <f>60156-60156</f>
        <v>0</v>
      </c>
      <c r="S166" s="36">
        <f t="shared" si="21"/>
        <v>0</v>
      </c>
      <c r="T166" s="36"/>
      <c r="U166" s="36"/>
      <c r="V166" s="36">
        <f t="shared" si="22"/>
        <v>0</v>
      </c>
      <c r="W166" s="36"/>
      <c r="X166" s="36"/>
      <c r="Y166" s="36">
        <f t="shared" si="23"/>
        <v>0</v>
      </c>
      <c r="Z166" s="36"/>
      <c r="AA166" s="36"/>
      <c r="AB166" s="36">
        <f t="shared" si="24"/>
        <v>0</v>
      </c>
    </row>
    <row r="167" spans="1:187" s="11" customFormat="1" ht="31.5">
      <c r="A167" s="35" t="s">
        <v>163</v>
      </c>
      <c r="B167" s="36">
        <f t="shared" si="26"/>
        <v>10965</v>
      </c>
      <c r="C167" s="36">
        <f t="shared" si="26"/>
        <v>10965</v>
      </c>
      <c r="D167" s="36">
        <f t="shared" si="26"/>
        <v>0</v>
      </c>
      <c r="E167" s="36">
        <v>0</v>
      </c>
      <c r="F167" s="36">
        <v>0</v>
      </c>
      <c r="G167" s="36">
        <f t="shared" si="25"/>
        <v>0</v>
      </c>
      <c r="H167" s="36"/>
      <c r="I167" s="36"/>
      <c r="J167" s="36">
        <f t="shared" si="18"/>
        <v>0</v>
      </c>
      <c r="K167" s="36">
        <v>10965</v>
      </c>
      <c r="L167" s="36">
        <v>10965</v>
      </c>
      <c r="M167" s="36">
        <f t="shared" si="19"/>
        <v>0</v>
      </c>
      <c r="N167" s="36"/>
      <c r="O167" s="36"/>
      <c r="P167" s="36"/>
      <c r="Q167" s="36"/>
      <c r="R167" s="36"/>
      <c r="S167" s="36">
        <f t="shared" si="21"/>
        <v>0</v>
      </c>
      <c r="T167" s="36"/>
      <c r="U167" s="36"/>
      <c r="V167" s="36">
        <f t="shared" si="22"/>
        <v>0</v>
      </c>
      <c r="W167" s="36"/>
      <c r="X167" s="36"/>
      <c r="Y167" s="36">
        <f t="shared" si="23"/>
        <v>0</v>
      </c>
      <c r="Z167" s="36"/>
      <c r="AA167" s="36"/>
      <c r="AB167" s="36">
        <f t="shared" si="24"/>
        <v>0</v>
      </c>
    </row>
    <row r="168" spans="1:187" s="11" customFormat="1" ht="31.5">
      <c r="A168" s="35" t="s">
        <v>164</v>
      </c>
      <c r="B168" s="36">
        <f t="shared" si="26"/>
        <v>2653</v>
      </c>
      <c r="C168" s="36">
        <f t="shared" si="26"/>
        <v>2653</v>
      </c>
      <c r="D168" s="36">
        <f t="shared" si="26"/>
        <v>0</v>
      </c>
      <c r="E168" s="36">
        <v>0</v>
      </c>
      <c r="F168" s="36">
        <v>0</v>
      </c>
      <c r="G168" s="36">
        <f t="shared" si="25"/>
        <v>0</v>
      </c>
      <c r="H168" s="36"/>
      <c r="I168" s="36"/>
      <c r="J168" s="36">
        <f t="shared" si="18"/>
        <v>0</v>
      </c>
      <c r="K168" s="36">
        <v>2653</v>
      </c>
      <c r="L168" s="36">
        <v>2653</v>
      </c>
      <c r="M168" s="36">
        <f t="shared" si="19"/>
        <v>0</v>
      </c>
      <c r="N168" s="36"/>
      <c r="O168" s="36"/>
      <c r="P168" s="36"/>
      <c r="Q168" s="36"/>
      <c r="R168" s="36"/>
      <c r="S168" s="36">
        <f t="shared" si="21"/>
        <v>0</v>
      </c>
      <c r="T168" s="36"/>
      <c r="U168" s="36"/>
      <c r="V168" s="36">
        <f t="shared" si="22"/>
        <v>0</v>
      </c>
      <c r="W168" s="36"/>
      <c r="X168" s="36"/>
      <c r="Y168" s="36">
        <f t="shared" si="23"/>
        <v>0</v>
      </c>
      <c r="Z168" s="36"/>
      <c r="AA168" s="36"/>
      <c r="AB168" s="36">
        <f t="shared" si="24"/>
        <v>0</v>
      </c>
    </row>
    <row r="169" spans="1:187" s="11" customFormat="1" ht="31.5">
      <c r="A169" s="35" t="s">
        <v>165</v>
      </c>
      <c r="B169" s="36">
        <f t="shared" si="26"/>
        <v>10998</v>
      </c>
      <c r="C169" s="36">
        <f t="shared" si="26"/>
        <v>10998</v>
      </c>
      <c r="D169" s="36">
        <f t="shared" si="26"/>
        <v>0</v>
      </c>
      <c r="E169" s="36">
        <v>0</v>
      </c>
      <c r="F169" s="36">
        <v>0</v>
      </c>
      <c r="G169" s="36">
        <f t="shared" si="25"/>
        <v>0</v>
      </c>
      <c r="H169" s="36"/>
      <c r="I169" s="36"/>
      <c r="J169" s="36">
        <f t="shared" si="18"/>
        <v>0</v>
      </c>
      <c r="K169" s="36">
        <v>0</v>
      </c>
      <c r="L169" s="36">
        <v>0</v>
      </c>
      <c r="M169" s="36">
        <f t="shared" si="19"/>
        <v>0</v>
      </c>
      <c r="N169" s="36"/>
      <c r="O169" s="36"/>
      <c r="P169" s="36">
        <f t="shared" ref="P169:P203" si="27">O169-N169</f>
        <v>0</v>
      </c>
      <c r="Q169" s="36">
        <v>10998</v>
      </c>
      <c r="R169" s="36">
        <v>10998</v>
      </c>
      <c r="S169" s="36">
        <f t="shared" si="21"/>
        <v>0</v>
      </c>
      <c r="T169" s="36"/>
      <c r="U169" s="36"/>
      <c r="V169" s="36">
        <f t="shared" si="22"/>
        <v>0</v>
      </c>
      <c r="W169" s="36"/>
      <c r="X169" s="36"/>
      <c r="Y169" s="36">
        <f t="shared" si="23"/>
        <v>0</v>
      </c>
      <c r="Z169" s="36"/>
      <c r="AA169" s="36"/>
      <c r="AB169" s="36">
        <f t="shared" si="24"/>
        <v>0</v>
      </c>
    </row>
    <row r="170" spans="1:187" s="11" customFormat="1">
      <c r="A170" s="29" t="s">
        <v>166</v>
      </c>
      <c r="B170" s="30">
        <f t="shared" si="26"/>
        <v>52204</v>
      </c>
      <c r="C170" s="30">
        <f t="shared" si="26"/>
        <v>63257</v>
      </c>
      <c r="D170" s="30">
        <f t="shared" si="26"/>
        <v>11053</v>
      </c>
      <c r="E170" s="30">
        <f>SUM(E171:E182)</f>
        <v>0</v>
      </c>
      <c r="F170" s="30">
        <f>SUM(F171:F182)</f>
        <v>0</v>
      </c>
      <c r="G170" s="30">
        <f t="shared" si="25"/>
        <v>0</v>
      </c>
      <c r="H170" s="30">
        <f>SUM(H171:H182)</f>
        <v>0</v>
      </c>
      <c r="I170" s="30">
        <f>SUM(I171:I182)</f>
        <v>0</v>
      </c>
      <c r="J170" s="30">
        <f t="shared" si="18"/>
        <v>0</v>
      </c>
      <c r="K170" s="30">
        <f>SUM(K171:K182)</f>
        <v>35967</v>
      </c>
      <c r="L170" s="30">
        <f>SUM(L171:L182)</f>
        <v>47735</v>
      </c>
      <c r="M170" s="30">
        <f t="shared" si="19"/>
        <v>11768</v>
      </c>
      <c r="N170" s="30">
        <f>SUM(N171:N182)</f>
        <v>2939</v>
      </c>
      <c r="O170" s="30">
        <f>SUM(O171:O182)</f>
        <v>2939</v>
      </c>
      <c r="P170" s="30">
        <f t="shared" si="27"/>
        <v>0</v>
      </c>
      <c r="Q170" s="30">
        <f>SUM(Q171:Q182)</f>
        <v>13298</v>
      </c>
      <c r="R170" s="30">
        <f>SUM(R171:R182)</f>
        <v>12583</v>
      </c>
      <c r="S170" s="30">
        <f t="shared" si="21"/>
        <v>-715</v>
      </c>
      <c r="T170" s="30">
        <f>SUM(T171:T182)</f>
        <v>0</v>
      </c>
      <c r="U170" s="30">
        <f>SUM(U171:U182)</f>
        <v>0</v>
      </c>
      <c r="V170" s="30">
        <f t="shared" si="22"/>
        <v>0</v>
      </c>
      <c r="W170" s="30">
        <f>SUM(W171:W182)</f>
        <v>0</v>
      </c>
      <c r="X170" s="30">
        <f>SUM(X171:X182)</f>
        <v>0</v>
      </c>
      <c r="Y170" s="30">
        <f t="shared" si="23"/>
        <v>0</v>
      </c>
      <c r="Z170" s="30">
        <f>SUM(Z171:Z182)</f>
        <v>0</v>
      </c>
      <c r="AA170" s="30">
        <f>SUM(AA171:AA182)</f>
        <v>0</v>
      </c>
      <c r="AB170" s="30">
        <f t="shared" si="24"/>
        <v>0</v>
      </c>
      <c r="AC170" s="28"/>
      <c r="AD170" s="28"/>
      <c r="AE170" s="28"/>
      <c r="AF170" s="28"/>
      <c r="AG170" s="28"/>
      <c r="AH170" s="28"/>
      <c r="AI170" s="28"/>
      <c r="AJ170" s="28"/>
      <c r="AK170" s="28"/>
      <c r="AL170" s="28"/>
      <c r="AM170" s="28"/>
      <c r="AN170" s="28"/>
      <c r="AO170" s="28"/>
      <c r="AP170" s="28"/>
      <c r="AQ170" s="28"/>
      <c r="AR170" s="28"/>
      <c r="AS170" s="28"/>
      <c r="AT170" s="28"/>
      <c r="AU170" s="28"/>
      <c r="AV170" s="28"/>
      <c r="AW170" s="28"/>
      <c r="AX170" s="28"/>
      <c r="AY170" s="28"/>
      <c r="AZ170" s="28"/>
      <c r="BA170" s="28"/>
      <c r="BB170" s="28"/>
      <c r="BC170" s="28"/>
      <c r="BD170" s="28"/>
      <c r="BE170" s="28"/>
      <c r="BF170" s="28"/>
      <c r="BG170" s="28"/>
      <c r="BH170" s="28"/>
      <c r="BI170" s="28"/>
      <c r="BJ170" s="28"/>
      <c r="BK170" s="28"/>
      <c r="BL170" s="28"/>
      <c r="BM170" s="28"/>
      <c r="BN170" s="28"/>
      <c r="BO170" s="28"/>
      <c r="BP170" s="28"/>
      <c r="BQ170" s="28"/>
      <c r="BR170" s="28"/>
      <c r="BS170" s="28"/>
      <c r="BT170" s="28"/>
      <c r="BU170" s="28"/>
      <c r="BV170" s="28"/>
      <c r="BW170" s="28"/>
      <c r="BX170" s="28"/>
      <c r="BY170" s="28"/>
      <c r="BZ170" s="28"/>
      <c r="CA170" s="28"/>
      <c r="CB170" s="28"/>
      <c r="CC170" s="28"/>
      <c r="CD170" s="28"/>
      <c r="CE170" s="28"/>
      <c r="CF170" s="28"/>
      <c r="CG170" s="28"/>
      <c r="CH170" s="28"/>
      <c r="CI170" s="28"/>
      <c r="CJ170" s="28"/>
      <c r="CK170" s="28"/>
      <c r="CL170" s="28"/>
      <c r="CM170" s="28"/>
      <c r="CN170" s="28"/>
      <c r="CO170" s="28"/>
      <c r="CP170" s="28"/>
      <c r="CQ170" s="28"/>
      <c r="CR170" s="28"/>
      <c r="CS170" s="28"/>
      <c r="CT170" s="28"/>
      <c r="CU170" s="28"/>
      <c r="CV170" s="28"/>
      <c r="CW170" s="28"/>
      <c r="CX170" s="28"/>
      <c r="CY170" s="28"/>
      <c r="CZ170" s="28"/>
      <c r="DA170" s="28"/>
      <c r="DB170" s="28"/>
      <c r="DC170" s="28"/>
      <c r="DD170" s="28"/>
      <c r="DE170" s="28"/>
      <c r="DF170" s="28"/>
      <c r="DG170" s="28"/>
      <c r="DH170" s="28"/>
      <c r="DI170" s="28"/>
      <c r="DJ170" s="28"/>
      <c r="DK170" s="28"/>
      <c r="DL170" s="28"/>
      <c r="DM170" s="28"/>
      <c r="DN170" s="28"/>
      <c r="DO170" s="28"/>
      <c r="DP170" s="28"/>
      <c r="DQ170" s="28"/>
      <c r="DR170" s="28"/>
      <c r="DS170" s="28"/>
      <c r="DT170" s="28"/>
      <c r="DU170" s="28"/>
      <c r="DV170" s="28"/>
      <c r="DW170" s="28"/>
      <c r="DX170" s="28"/>
      <c r="DY170" s="28"/>
      <c r="DZ170" s="28"/>
      <c r="EA170" s="28"/>
      <c r="EB170" s="28"/>
      <c r="EC170" s="28"/>
      <c r="ED170" s="28"/>
      <c r="EE170" s="28"/>
      <c r="EF170" s="28"/>
      <c r="EG170" s="28"/>
      <c r="EH170" s="28"/>
      <c r="EI170" s="28"/>
      <c r="EJ170" s="28"/>
      <c r="EK170" s="28"/>
      <c r="EL170" s="28"/>
      <c r="EM170" s="28"/>
      <c r="EN170" s="28"/>
      <c r="EO170" s="28"/>
      <c r="EP170" s="28"/>
      <c r="EQ170" s="28"/>
      <c r="ER170" s="28"/>
      <c r="ES170" s="28"/>
      <c r="ET170" s="28"/>
      <c r="EU170" s="28"/>
      <c r="EV170" s="28"/>
      <c r="EW170" s="28"/>
      <c r="EX170" s="28"/>
      <c r="EY170" s="28"/>
      <c r="EZ170" s="28"/>
      <c r="FA170" s="28"/>
      <c r="FB170" s="28"/>
      <c r="FC170" s="28"/>
      <c r="FD170" s="28"/>
      <c r="FE170" s="28"/>
      <c r="FF170" s="28"/>
      <c r="FG170" s="28"/>
      <c r="FH170" s="28"/>
      <c r="FI170" s="28"/>
      <c r="FJ170" s="28"/>
      <c r="FK170" s="28"/>
      <c r="FL170" s="28"/>
      <c r="FM170" s="28"/>
      <c r="FN170" s="28"/>
      <c r="FO170" s="28"/>
      <c r="FP170" s="28"/>
      <c r="FQ170" s="28"/>
      <c r="FR170" s="28"/>
      <c r="FS170" s="28"/>
      <c r="FT170" s="28"/>
      <c r="FU170" s="28"/>
      <c r="FV170" s="28"/>
      <c r="FW170" s="28"/>
      <c r="FX170" s="28"/>
      <c r="FY170" s="28"/>
      <c r="FZ170" s="28"/>
      <c r="GA170" s="28"/>
      <c r="GB170" s="28"/>
      <c r="GC170" s="28"/>
      <c r="GD170" s="28"/>
      <c r="GE170" s="28"/>
    </row>
    <row r="171" spans="1:187" s="11" customFormat="1" ht="31.5">
      <c r="A171" s="35" t="s">
        <v>167</v>
      </c>
      <c r="B171" s="36">
        <f t="shared" si="26"/>
        <v>5040</v>
      </c>
      <c r="C171" s="36">
        <f t="shared" si="26"/>
        <v>10580</v>
      </c>
      <c r="D171" s="36">
        <f t="shared" si="26"/>
        <v>5540</v>
      </c>
      <c r="E171" s="36"/>
      <c r="F171" s="36"/>
      <c r="G171" s="36">
        <f t="shared" si="25"/>
        <v>0</v>
      </c>
      <c r="H171" s="36"/>
      <c r="I171" s="36"/>
      <c r="J171" s="36">
        <f t="shared" si="18"/>
        <v>0</v>
      </c>
      <c r="K171" s="36">
        <v>0</v>
      </c>
      <c r="L171" s="36">
        <v>5540</v>
      </c>
      <c r="M171" s="36">
        <f t="shared" si="19"/>
        <v>5540</v>
      </c>
      <c r="N171" s="36">
        <v>0</v>
      </c>
      <c r="O171" s="36">
        <v>0</v>
      </c>
      <c r="P171" s="36">
        <f t="shared" si="27"/>
        <v>0</v>
      </c>
      <c r="Q171" s="36">
        <v>5040</v>
      </c>
      <c r="R171" s="36">
        <f>5040</f>
        <v>5040</v>
      </c>
      <c r="S171" s="36">
        <f t="shared" si="21"/>
        <v>0</v>
      </c>
      <c r="T171" s="36"/>
      <c r="U171" s="36"/>
      <c r="V171" s="36">
        <f t="shared" si="22"/>
        <v>0</v>
      </c>
      <c r="W171" s="36"/>
      <c r="X171" s="36"/>
      <c r="Y171" s="36">
        <f t="shared" si="23"/>
        <v>0</v>
      </c>
      <c r="Z171" s="36"/>
      <c r="AA171" s="36"/>
      <c r="AB171" s="36">
        <f t="shared" si="24"/>
        <v>0</v>
      </c>
    </row>
    <row r="172" spans="1:187" s="11" customFormat="1" ht="31.5">
      <c r="A172" s="35" t="s">
        <v>168</v>
      </c>
      <c r="B172" s="36">
        <f t="shared" si="26"/>
        <v>0</v>
      </c>
      <c r="C172" s="36">
        <f t="shared" si="26"/>
        <v>6228</v>
      </c>
      <c r="D172" s="36">
        <f t="shared" si="26"/>
        <v>6228</v>
      </c>
      <c r="E172" s="36"/>
      <c r="F172" s="36"/>
      <c r="G172" s="36">
        <f t="shared" si="25"/>
        <v>0</v>
      </c>
      <c r="H172" s="36"/>
      <c r="I172" s="36"/>
      <c r="J172" s="36">
        <f t="shared" si="18"/>
        <v>0</v>
      </c>
      <c r="K172" s="36">
        <v>0</v>
      </c>
      <c r="L172" s="36">
        <v>6228</v>
      </c>
      <c r="M172" s="36">
        <f t="shared" si="19"/>
        <v>6228</v>
      </c>
      <c r="N172" s="36">
        <v>0</v>
      </c>
      <c r="O172" s="36">
        <v>0</v>
      </c>
      <c r="P172" s="36">
        <f t="shared" si="27"/>
        <v>0</v>
      </c>
      <c r="Q172" s="36"/>
      <c r="R172" s="36"/>
      <c r="S172" s="36">
        <f t="shared" si="21"/>
        <v>0</v>
      </c>
      <c r="T172" s="36"/>
      <c r="U172" s="36"/>
      <c r="V172" s="36">
        <f t="shared" si="22"/>
        <v>0</v>
      </c>
      <c r="W172" s="36"/>
      <c r="X172" s="36"/>
      <c r="Y172" s="36">
        <f t="shared" si="23"/>
        <v>0</v>
      </c>
      <c r="Z172" s="36"/>
      <c r="AA172" s="36"/>
      <c r="AB172" s="36">
        <f t="shared" si="24"/>
        <v>0</v>
      </c>
    </row>
    <row r="173" spans="1:187" s="11" customFormat="1">
      <c r="A173" s="35" t="s">
        <v>169</v>
      </c>
      <c r="B173" s="36">
        <f t="shared" si="26"/>
        <v>3048</v>
      </c>
      <c r="C173" s="36">
        <f t="shared" si="26"/>
        <v>3048</v>
      </c>
      <c r="D173" s="36">
        <f t="shared" si="26"/>
        <v>0</v>
      </c>
      <c r="E173" s="36"/>
      <c r="F173" s="36"/>
      <c r="G173" s="36">
        <f t="shared" si="25"/>
        <v>0</v>
      </c>
      <c r="H173" s="36"/>
      <c r="I173" s="36"/>
      <c r="J173" s="36">
        <f t="shared" si="18"/>
        <v>0</v>
      </c>
      <c r="K173" s="36">
        <v>0</v>
      </c>
      <c r="L173" s="36">
        <v>0</v>
      </c>
      <c r="M173" s="36">
        <f t="shared" si="19"/>
        <v>0</v>
      </c>
      <c r="N173" s="36">
        <v>0</v>
      </c>
      <c r="O173" s="36">
        <v>0</v>
      </c>
      <c r="P173" s="36">
        <f t="shared" si="27"/>
        <v>0</v>
      </c>
      <c r="Q173" s="36">
        <v>3048</v>
      </c>
      <c r="R173" s="36">
        <v>3048</v>
      </c>
      <c r="S173" s="36">
        <f t="shared" si="21"/>
        <v>0</v>
      </c>
      <c r="T173" s="36"/>
      <c r="U173" s="36"/>
      <c r="V173" s="36">
        <f t="shared" si="22"/>
        <v>0</v>
      </c>
      <c r="W173" s="36"/>
      <c r="X173" s="36"/>
      <c r="Y173" s="36">
        <f t="shared" si="23"/>
        <v>0</v>
      </c>
      <c r="Z173" s="36"/>
      <c r="AA173" s="36"/>
      <c r="AB173" s="36">
        <f t="shared" si="24"/>
        <v>0</v>
      </c>
    </row>
    <row r="174" spans="1:187" s="11" customFormat="1" ht="31.5">
      <c r="A174" s="35" t="s">
        <v>170</v>
      </c>
      <c r="B174" s="36">
        <f t="shared" si="26"/>
        <v>2380</v>
      </c>
      <c r="C174" s="36">
        <f t="shared" si="26"/>
        <v>2380</v>
      </c>
      <c r="D174" s="36">
        <f t="shared" si="26"/>
        <v>0</v>
      </c>
      <c r="E174" s="36"/>
      <c r="F174" s="36"/>
      <c r="G174" s="36">
        <f t="shared" si="25"/>
        <v>0</v>
      </c>
      <c r="H174" s="36"/>
      <c r="I174" s="36"/>
      <c r="J174" s="36">
        <f t="shared" si="18"/>
        <v>0</v>
      </c>
      <c r="K174" s="36">
        <v>2380</v>
      </c>
      <c r="L174" s="36">
        <v>2380</v>
      </c>
      <c r="M174" s="36">
        <f t="shared" si="19"/>
        <v>0</v>
      </c>
      <c r="N174" s="36">
        <v>0</v>
      </c>
      <c r="O174" s="36">
        <v>0</v>
      </c>
      <c r="P174" s="36">
        <f t="shared" si="27"/>
        <v>0</v>
      </c>
      <c r="Q174" s="36"/>
      <c r="R174" s="36"/>
      <c r="S174" s="36">
        <f t="shared" si="21"/>
        <v>0</v>
      </c>
      <c r="T174" s="36"/>
      <c r="U174" s="36"/>
      <c r="V174" s="36">
        <f t="shared" si="22"/>
        <v>0</v>
      </c>
      <c r="W174" s="36"/>
      <c r="X174" s="36"/>
      <c r="Y174" s="36">
        <f t="shared" si="23"/>
        <v>0</v>
      </c>
      <c r="Z174" s="36"/>
      <c r="AA174" s="36"/>
      <c r="AB174" s="36">
        <f t="shared" si="24"/>
        <v>0</v>
      </c>
    </row>
    <row r="175" spans="1:187" s="11" customFormat="1" ht="31.5">
      <c r="A175" s="35" t="s">
        <v>171</v>
      </c>
      <c r="B175" s="36">
        <f t="shared" si="26"/>
        <v>1529</v>
      </c>
      <c r="C175" s="36">
        <f t="shared" si="26"/>
        <v>1529</v>
      </c>
      <c r="D175" s="36">
        <f t="shared" si="26"/>
        <v>0</v>
      </c>
      <c r="E175" s="36"/>
      <c r="F175" s="36"/>
      <c r="G175" s="36">
        <f t="shared" si="25"/>
        <v>0</v>
      </c>
      <c r="H175" s="36"/>
      <c r="I175" s="36"/>
      <c r="J175" s="36">
        <f t="shared" si="18"/>
        <v>0</v>
      </c>
      <c r="K175" s="36">
        <v>1529</v>
      </c>
      <c r="L175" s="36">
        <v>1529</v>
      </c>
      <c r="M175" s="36">
        <f t="shared" si="19"/>
        <v>0</v>
      </c>
      <c r="N175" s="36">
        <v>0</v>
      </c>
      <c r="O175" s="36">
        <v>0</v>
      </c>
      <c r="P175" s="36">
        <f t="shared" si="27"/>
        <v>0</v>
      </c>
      <c r="Q175" s="36"/>
      <c r="R175" s="36"/>
      <c r="S175" s="36">
        <f t="shared" si="21"/>
        <v>0</v>
      </c>
      <c r="T175" s="36"/>
      <c r="U175" s="36"/>
      <c r="V175" s="36">
        <f t="shared" si="22"/>
        <v>0</v>
      </c>
      <c r="W175" s="36"/>
      <c r="X175" s="36"/>
      <c r="Y175" s="36">
        <f t="shared" si="23"/>
        <v>0</v>
      </c>
      <c r="Z175" s="36"/>
      <c r="AA175" s="36"/>
      <c r="AB175" s="36">
        <f t="shared" si="24"/>
        <v>0</v>
      </c>
    </row>
    <row r="176" spans="1:187" s="11" customFormat="1" ht="31.5">
      <c r="A176" s="35" t="s">
        <v>172</v>
      </c>
      <c r="B176" s="36">
        <f t="shared" si="26"/>
        <v>27712</v>
      </c>
      <c r="C176" s="36">
        <f t="shared" si="26"/>
        <v>27712</v>
      </c>
      <c r="D176" s="36">
        <f t="shared" si="26"/>
        <v>0</v>
      </c>
      <c r="E176" s="36">
        <v>0</v>
      </c>
      <c r="F176" s="36">
        <v>0</v>
      </c>
      <c r="G176" s="36">
        <f t="shared" si="25"/>
        <v>0</v>
      </c>
      <c r="H176" s="36"/>
      <c r="I176" s="36"/>
      <c r="J176" s="36">
        <f t="shared" si="18"/>
        <v>0</v>
      </c>
      <c r="K176" s="36">
        <v>27712</v>
      </c>
      <c r="L176" s="36">
        <v>27712</v>
      </c>
      <c r="M176" s="36">
        <f t="shared" si="19"/>
        <v>0</v>
      </c>
      <c r="N176" s="36"/>
      <c r="O176" s="36"/>
      <c r="P176" s="36">
        <f t="shared" si="27"/>
        <v>0</v>
      </c>
      <c r="Q176" s="36"/>
      <c r="R176" s="36"/>
      <c r="S176" s="36">
        <f t="shared" si="21"/>
        <v>0</v>
      </c>
      <c r="T176" s="36"/>
      <c r="U176" s="36"/>
      <c r="V176" s="36">
        <f t="shared" si="22"/>
        <v>0</v>
      </c>
      <c r="W176" s="36"/>
      <c r="X176" s="36"/>
      <c r="Y176" s="36">
        <f t="shared" si="23"/>
        <v>0</v>
      </c>
      <c r="Z176" s="36"/>
      <c r="AA176" s="36"/>
      <c r="AB176" s="36">
        <f t="shared" si="24"/>
        <v>0</v>
      </c>
    </row>
    <row r="177" spans="1:187" s="11" customFormat="1" ht="47.25">
      <c r="A177" s="35" t="s">
        <v>173</v>
      </c>
      <c r="B177" s="36">
        <f t="shared" si="26"/>
        <v>1540</v>
      </c>
      <c r="C177" s="36">
        <f t="shared" si="26"/>
        <v>1540</v>
      </c>
      <c r="D177" s="36">
        <f t="shared" si="26"/>
        <v>0</v>
      </c>
      <c r="E177" s="36"/>
      <c r="F177" s="36"/>
      <c r="G177" s="36">
        <f t="shared" si="25"/>
        <v>0</v>
      </c>
      <c r="H177" s="36"/>
      <c r="I177" s="36"/>
      <c r="J177" s="36">
        <f t="shared" si="18"/>
        <v>0</v>
      </c>
      <c r="K177" s="36">
        <v>0</v>
      </c>
      <c r="L177" s="36">
        <v>0</v>
      </c>
      <c r="M177" s="36">
        <f t="shared" si="19"/>
        <v>0</v>
      </c>
      <c r="N177" s="36">
        <v>1540</v>
      </c>
      <c r="O177" s="36">
        <v>1540</v>
      </c>
      <c r="P177" s="36">
        <f t="shared" si="27"/>
        <v>0</v>
      </c>
      <c r="Q177" s="36"/>
      <c r="R177" s="36"/>
      <c r="S177" s="36">
        <f t="shared" si="21"/>
        <v>0</v>
      </c>
      <c r="T177" s="36"/>
      <c r="U177" s="36"/>
      <c r="V177" s="36">
        <f t="shared" si="22"/>
        <v>0</v>
      </c>
      <c r="W177" s="36"/>
      <c r="X177" s="36"/>
      <c r="Y177" s="36">
        <f t="shared" si="23"/>
        <v>0</v>
      </c>
      <c r="Z177" s="36"/>
      <c r="AA177" s="36"/>
      <c r="AB177" s="36">
        <f t="shared" si="24"/>
        <v>0</v>
      </c>
    </row>
    <row r="178" spans="1:187" s="11" customFormat="1" ht="47.25">
      <c r="A178" s="35" t="s">
        <v>174</v>
      </c>
      <c r="B178" s="36">
        <f t="shared" si="26"/>
        <v>1399</v>
      </c>
      <c r="C178" s="36">
        <f t="shared" si="26"/>
        <v>1399</v>
      </c>
      <c r="D178" s="36">
        <f t="shared" si="26"/>
        <v>0</v>
      </c>
      <c r="E178" s="36"/>
      <c r="F178" s="36"/>
      <c r="G178" s="36">
        <f t="shared" si="25"/>
        <v>0</v>
      </c>
      <c r="H178" s="36"/>
      <c r="I178" s="36"/>
      <c r="J178" s="36">
        <f t="shared" si="18"/>
        <v>0</v>
      </c>
      <c r="K178" s="36">
        <v>0</v>
      </c>
      <c r="L178" s="36">
        <v>0</v>
      </c>
      <c r="M178" s="36">
        <f t="shared" si="19"/>
        <v>0</v>
      </c>
      <c r="N178" s="36">
        <v>1399</v>
      </c>
      <c r="O178" s="36">
        <v>1399</v>
      </c>
      <c r="P178" s="36">
        <f t="shared" si="27"/>
        <v>0</v>
      </c>
      <c r="Q178" s="36"/>
      <c r="R178" s="36"/>
      <c r="S178" s="36">
        <f t="shared" si="21"/>
        <v>0</v>
      </c>
      <c r="T178" s="36"/>
      <c r="U178" s="36"/>
      <c r="V178" s="36">
        <f t="shared" si="22"/>
        <v>0</v>
      </c>
      <c r="W178" s="36"/>
      <c r="X178" s="36"/>
      <c r="Y178" s="36">
        <f t="shared" si="23"/>
        <v>0</v>
      </c>
      <c r="Z178" s="36"/>
      <c r="AA178" s="36"/>
      <c r="AB178" s="36">
        <f t="shared" si="24"/>
        <v>0</v>
      </c>
    </row>
    <row r="179" spans="1:187" s="11" customFormat="1">
      <c r="A179" s="35" t="s">
        <v>175</v>
      </c>
      <c r="B179" s="36">
        <f t="shared" si="26"/>
        <v>1241</v>
      </c>
      <c r="C179" s="36">
        <f t="shared" si="26"/>
        <v>1241</v>
      </c>
      <c r="D179" s="36">
        <f t="shared" si="26"/>
        <v>0</v>
      </c>
      <c r="E179" s="36"/>
      <c r="F179" s="36"/>
      <c r="G179" s="36">
        <f t="shared" si="25"/>
        <v>0</v>
      </c>
      <c r="H179" s="36"/>
      <c r="I179" s="36"/>
      <c r="J179" s="36">
        <f t="shared" si="18"/>
        <v>0</v>
      </c>
      <c r="K179" s="36">
        <v>1241</v>
      </c>
      <c r="L179" s="36">
        <v>1241</v>
      </c>
      <c r="M179" s="36">
        <f t="shared" si="19"/>
        <v>0</v>
      </c>
      <c r="N179" s="36">
        <v>0</v>
      </c>
      <c r="O179" s="36">
        <v>0</v>
      </c>
      <c r="P179" s="36">
        <f t="shared" si="27"/>
        <v>0</v>
      </c>
      <c r="Q179" s="36">
        <v>0</v>
      </c>
      <c r="R179" s="36">
        <v>0</v>
      </c>
      <c r="S179" s="36">
        <f t="shared" si="21"/>
        <v>0</v>
      </c>
      <c r="T179" s="36"/>
      <c r="U179" s="36"/>
      <c r="V179" s="36">
        <f t="shared" si="22"/>
        <v>0</v>
      </c>
      <c r="W179" s="36"/>
      <c r="X179" s="36"/>
      <c r="Y179" s="36">
        <f t="shared" si="23"/>
        <v>0</v>
      </c>
      <c r="Z179" s="36"/>
      <c r="AA179" s="36"/>
      <c r="AB179" s="36">
        <f t="shared" si="24"/>
        <v>0</v>
      </c>
    </row>
    <row r="180" spans="1:187" s="11" customFormat="1">
      <c r="A180" s="35" t="s">
        <v>176</v>
      </c>
      <c r="B180" s="36">
        <f t="shared" si="26"/>
        <v>1498</v>
      </c>
      <c r="C180" s="36">
        <f t="shared" si="26"/>
        <v>1498</v>
      </c>
      <c r="D180" s="36">
        <f t="shared" si="26"/>
        <v>0</v>
      </c>
      <c r="E180" s="36"/>
      <c r="F180" s="36"/>
      <c r="G180" s="36">
        <f t="shared" si="25"/>
        <v>0</v>
      </c>
      <c r="H180" s="36"/>
      <c r="I180" s="36"/>
      <c r="J180" s="36">
        <f t="shared" si="18"/>
        <v>0</v>
      </c>
      <c r="K180" s="36">
        <v>1498</v>
      </c>
      <c r="L180" s="36">
        <v>1498</v>
      </c>
      <c r="M180" s="36">
        <f t="shared" si="19"/>
        <v>0</v>
      </c>
      <c r="N180" s="36">
        <v>0</v>
      </c>
      <c r="O180" s="36">
        <v>0</v>
      </c>
      <c r="P180" s="36">
        <f t="shared" si="27"/>
        <v>0</v>
      </c>
      <c r="Q180" s="36">
        <v>0</v>
      </c>
      <c r="R180" s="36">
        <v>0</v>
      </c>
      <c r="S180" s="36">
        <f t="shared" si="21"/>
        <v>0</v>
      </c>
      <c r="T180" s="36"/>
      <c r="U180" s="36"/>
      <c r="V180" s="36">
        <f t="shared" si="22"/>
        <v>0</v>
      </c>
      <c r="W180" s="36"/>
      <c r="X180" s="36"/>
      <c r="Y180" s="36">
        <f t="shared" si="23"/>
        <v>0</v>
      </c>
      <c r="Z180" s="36"/>
      <c r="AA180" s="36"/>
      <c r="AB180" s="36">
        <f t="shared" si="24"/>
        <v>0</v>
      </c>
    </row>
    <row r="181" spans="1:187" s="11" customFormat="1">
      <c r="A181" s="35" t="s">
        <v>177</v>
      </c>
      <c r="B181" s="36">
        <f t="shared" si="26"/>
        <v>1607</v>
      </c>
      <c r="C181" s="36">
        <f t="shared" si="26"/>
        <v>1607</v>
      </c>
      <c r="D181" s="36">
        <f t="shared" si="26"/>
        <v>0</v>
      </c>
      <c r="E181" s="36"/>
      <c r="F181" s="36"/>
      <c r="G181" s="36">
        <f t="shared" si="25"/>
        <v>0</v>
      </c>
      <c r="H181" s="36"/>
      <c r="I181" s="36"/>
      <c r="J181" s="36">
        <f t="shared" si="18"/>
        <v>0</v>
      </c>
      <c r="K181" s="36">
        <v>1607</v>
      </c>
      <c r="L181" s="36">
        <v>1607</v>
      </c>
      <c r="M181" s="36">
        <f t="shared" si="19"/>
        <v>0</v>
      </c>
      <c r="N181" s="36">
        <v>0</v>
      </c>
      <c r="O181" s="36">
        <v>0</v>
      </c>
      <c r="P181" s="36">
        <f t="shared" si="27"/>
        <v>0</v>
      </c>
      <c r="Q181" s="36">
        <v>0</v>
      </c>
      <c r="R181" s="36">
        <v>0</v>
      </c>
      <c r="S181" s="36">
        <f t="shared" si="21"/>
        <v>0</v>
      </c>
      <c r="T181" s="36"/>
      <c r="U181" s="36"/>
      <c r="V181" s="36">
        <f t="shared" si="22"/>
        <v>0</v>
      </c>
      <c r="W181" s="36"/>
      <c r="X181" s="36"/>
      <c r="Y181" s="36">
        <f t="shared" si="23"/>
        <v>0</v>
      </c>
      <c r="Z181" s="36"/>
      <c r="AA181" s="36"/>
      <c r="AB181" s="36">
        <f t="shared" si="24"/>
        <v>0</v>
      </c>
    </row>
    <row r="182" spans="1:187" s="11" customFormat="1">
      <c r="A182" s="35" t="s">
        <v>178</v>
      </c>
      <c r="B182" s="36">
        <f t="shared" si="26"/>
        <v>5210</v>
      </c>
      <c r="C182" s="36">
        <f t="shared" si="26"/>
        <v>4495</v>
      </c>
      <c r="D182" s="36">
        <f t="shared" si="26"/>
        <v>-715</v>
      </c>
      <c r="E182" s="36"/>
      <c r="F182" s="36"/>
      <c r="G182" s="36">
        <f t="shared" si="25"/>
        <v>0</v>
      </c>
      <c r="H182" s="36"/>
      <c r="I182" s="36"/>
      <c r="J182" s="36">
        <f t="shared" si="18"/>
        <v>0</v>
      </c>
      <c r="K182" s="36">
        <v>0</v>
      </c>
      <c r="L182" s="36">
        <v>0</v>
      </c>
      <c r="M182" s="36">
        <f t="shared" si="19"/>
        <v>0</v>
      </c>
      <c r="N182" s="36">
        <v>0</v>
      </c>
      <c r="O182" s="36">
        <v>0</v>
      </c>
      <c r="P182" s="36">
        <f t="shared" si="27"/>
        <v>0</v>
      </c>
      <c r="Q182" s="36">
        <v>5210</v>
      </c>
      <c r="R182" s="36">
        <f>5210-715</f>
        <v>4495</v>
      </c>
      <c r="S182" s="36">
        <f t="shared" si="21"/>
        <v>-715</v>
      </c>
      <c r="T182" s="36"/>
      <c r="U182" s="36"/>
      <c r="V182" s="36">
        <f t="shared" si="22"/>
        <v>0</v>
      </c>
      <c r="W182" s="36"/>
      <c r="X182" s="36"/>
      <c r="Y182" s="36">
        <f t="shared" si="23"/>
        <v>0</v>
      </c>
      <c r="Z182" s="36"/>
      <c r="AA182" s="36"/>
      <c r="AB182" s="36">
        <f t="shared" si="24"/>
        <v>0</v>
      </c>
    </row>
    <row r="183" spans="1:187" s="11" customFormat="1">
      <c r="A183" s="29" t="s">
        <v>179</v>
      </c>
      <c r="B183" s="30">
        <f t="shared" si="26"/>
        <v>69997</v>
      </c>
      <c r="C183" s="30">
        <f t="shared" si="26"/>
        <v>69997</v>
      </c>
      <c r="D183" s="30">
        <f t="shared" si="26"/>
        <v>0</v>
      </c>
      <c r="E183" s="30">
        <f>SUM(E184:E184)</f>
        <v>0</v>
      </c>
      <c r="F183" s="30">
        <f>SUM(F184:F184)</f>
        <v>0</v>
      </c>
      <c r="G183" s="30">
        <f t="shared" si="25"/>
        <v>0</v>
      </c>
      <c r="H183" s="30">
        <f>SUM(H184:H184)</f>
        <v>0</v>
      </c>
      <c r="I183" s="30">
        <f>SUM(I184:I184)</f>
        <v>0</v>
      </c>
      <c r="J183" s="30">
        <f t="shared" si="18"/>
        <v>0</v>
      </c>
      <c r="K183" s="30">
        <f>SUM(K184:K184)</f>
        <v>9841</v>
      </c>
      <c r="L183" s="30">
        <f>SUM(L184:L184)</f>
        <v>9841</v>
      </c>
      <c r="M183" s="30">
        <f t="shared" si="19"/>
        <v>0</v>
      </c>
      <c r="N183" s="30">
        <f>SUM(N184:N184)</f>
        <v>0</v>
      </c>
      <c r="O183" s="30">
        <f>SUM(O184:O184)</f>
        <v>0</v>
      </c>
      <c r="P183" s="30">
        <f t="shared" si="27"/>
        <v>0</v>
      </c>
      <c r="Q183" s="30">
        <f>SUM(Q184:Q184)</f>
        <v>60156</v>
      </c>
      <c r="R183" s="30">
        <f>SUM(R184:R184)</f>
        <v>60156</v>
      </c>
      <c r="S183" s="30">
        <f t="shared" si="21"/>
        <v>0</v>
      </c>
      <c r="T183" s="30">
        <f>SUM(T184:T184)</f>
        <v>0</v>
      </c>
      <c r="U183" s="30">
        <f>SUM(U184:U184)</f>
        <v>0</v>
      </c>
      <c r="V183" s="30">
        <f t="shared" si="22"/>
        <v>0</v>
      </c>
      <c r="W183" s="30">
        <f>SUM(W184:W184)</f>
        <v>0</v>
      </c>
      <c r="X183" s="30">
        <f>SUM(X184:X184)</f>
        <v>0</v>
      </c>
      <c r="Y183" s="30">
        <f t="shared" si="23"/>
        <v>0</v>
      </c>
      <c r="Z183" s="30">
        <f>SUM(Z184:Z184)</f>
        <v>0</v>
      </c>
      <c r="AA183" s="30">
        <f>SUM(AA184:AA184)</f>
        <v>0</v>
      </c>
      <c r="AB183" s="30">
        <f t="shared" si="24"/>
        <v>0</v>
      </c>
      <c r="AC183" s="28"/>
      <c r="AD183" s="28"/>
      <c r="AE183" s="28"/>
      <c r="AF183" s="28"/>
      <c r="AG183" s="28"/>
      <c r="AH183" s="28"/>
      <c r="AI183" s="28"/>
      <c r="AJ183" s="28"/>
      <c r="AK183" s="28"/>
      <c r="AL183" s="28"/>
      <c r="AM183" s="28"/>
      <c r="AN183" s="28"/>
      <c r="AO183" s="28"/>
      <c r="AP183" s="28"/>
      <c r="AQ183" s="28"/>
      <c r="AR183" s="28"/>
      <c r="AS183" s="28"/>
      <c r="AT183" s="28"/>
      <c r="AU183" s="28"/>
      <c r="AV183" s="28"/>
      <c r="AW183" s="28"/>
      <c r="AX183" s="28"/>
      <c r="AY183" s="28"/>
      <c r="AZ183" s="28"/>
      <c r="BA183" s="28"/>
      <c r="BB183" s="28"/>
      <c r="BC183" s="28"/>
      <c r="BD183" s="28"/>
      <c r="BE183" s="28"/>
      <c r="BF183" s="28"/>
      <c r="BG183" s="28"/>
      <c r="BH183" s="28"/>
      <c r="BI183" s="28"/>
      <c r="BJ183" s="28"/>
      <c r="BK183" s="28"/>
      <c r="BL183" s="28"/>
      <c r="BM183" s="28"/>
      <c r="BN183" s="28"/>
      <c r="BO183" s="28"/>
      <c r="BP183" s="28"/>
      <c r="BQ183" s="28"/>
      <c r="BR183" s="28"/>
      <c r="BS183" s="28"/>
      <c r="BT183" s="28"/>
      <c r="BU183" s="28"/>
      <c r="BV183" s="28"/>
      <c r="BW183" s="28"/>
      <c r="BX183" s="28"/>
      <c r="BY183" s="28"/>
      <c r="BZ183" s="28"/>
      <c r="CA183" s="28"/>
      <c r="CB183" s="28"/>
      <c r="CC183" s="28"/>
      <c r="CD183" s="28"/>
      <c r="CE183" s="28"/>
      <c r="CF183" s="28"/>
      <c r="CG183" s="28"/>
      <c r="CH183" s="28"/>
      <c r="CI183" s="28"/>
      <c r="CJ183" s="28"/>
      <c r="CK183" s="28"/>
      <c r="CL183" s="28"/>
      <c r="CM183" s="28"/>
      <c r="CN183" s="28"/>
      <c r="CO183" s="28"/>
      <c r="CP183" s="28"/>
      <c r="CQ183" s="28"/>
      <c r="CR183" s="28"/>
      <c r="CS183" s="28"/>
      <c r="CT183" s="28"/>
      <c r="CU183" s="28"/>
      <c r="CV183" s="28"/>
      <c r="CW183" s="28"/>
      <c r="CX183" s="28"/>
      <c r="CY183" s="28"/>
      <c r="CZ183" s="28"/>
      <c r="DA183" s="28"/>
      <c r="DB183" s="28"/>
      <c r="DC183" s="28"/>
      <c r="DD183" s="28"/>
      <c r="DE183" s="28"/>
      <c r="DF183" s="28"/>
      <c r="DG183" s="28"/>
      <c r="DH183" s="28"/>
      <c r="DI183" s="28"/>
      <c r="DJ183" s="28"/>
      <c r="DK183" s="28"/>
      <c r="DL183" s="28"/>
      <c r="DM183" s="28"/>
      <c r="DN183" s="28"/>
      <c r="DO183" s="28"/>
      <c r="DP183" s="28"/>
      <c r="DQ183" s="28"/>
      <c r="DR183" s="28"/>
      <c r="DS183" s="28"/>
      <c r="DT183" s="28"/>
      <c r="DU183" s="28"/>
      <c r="DV183" s="28"/>
      <c r="DW183" s="28"/>
      <c r="DX183" s="28"/>
      <c r="DY183" s="28"/>
      <c r="DZ183" s="28"/>
      <c r="EA183" s="28"/>
      <c r="EB183" s="28"/>
      <c r="EC183" s="28"/>
      <c r="ED183" s="28"/>
      <c r="EE183" s="28"/>
      <c r="EF183" s="28"/>
      <c r="EG183" s="28"/>
      <c r="EH183" s="28"/>
      <c r="EI183" s="28"/>
      <c r="EJ183" s="28"/>
      <c r="EK183" s="28"/>
      <c r="EL183" s="28"/>
      <c r="EM183" s="28"/>
      <c r="EN183" s="28"/>
      <c r="EO183" s="28"/>
      <c r="EP183" s="28"/>
      <c r="EQ183" s="28"/>
      <c r="ER183" s="28"/>
      <c r="ES183" s="28"/>
      <c r="ET183" s="28"/>
      <c r="EU183" s="28"/>
      <c r="EV183" s="28"/>
      <c r="EW183" s="28"/>
      <c r="EX183" s="28"/>
      <c r="EY183" s="28"/>
      <c r="EZ183" s="28"/>
      <c r="FA183" s="28"/>
      <c r="FB183" s="28"/>
      <c r="FC183" s="28"/>
      <c r="FD183" s="28"/>
      <c r="FE183" s="28"/>
      <c r="FF183" s="28"/>
      <c r="FG183" s="28"/>
      <c r="FH183" s="28"/>
      <c r="FI183" s="28"/>
      <c r="FJ183" s="28"/>
      <c r="FK183" s="28"/>
      <c r="FL183" s="28"/>
      <c r="FM183" s="28"/>
      <c r="FN183" s="28"/>
      <c r="FO183" s="28"/>
      <c r="FP183" s="28"/>
      <c r="FQ183" s="28"/>
      <c r="FR183" s="28"/>
      <c r="FS183" s="28"/>
      <c r="FT183" s="28"/>
      <c r="FU183" s="28"/>
      <c r="FV183" s="28"/>
      <c r="FW183" s="28"/>
      <c r="FX183" s="28"/>
      <c r="FY183" s="28"/>
      <c r="FZ183" s="28"/>
      <c r="GA183" s="28"/>
      <c r="GB183" s="28"/>
      <c r="GC183" s="28"/>
      <c r="GD183" s="28"/>
      <c r="GE183" s="28"/>
    </row>
    <row r="184" spans="1:187" s="11" customFormat="1" ht="31.5">
      <c r="A184" s="35" t="s">
        <v>180</v>
      </c>
      <c r="B184" s="36">
        <f t="shared" si="26"/>
        <v>69997</v>
      </c>
      <c r="C184" s="36">
        <f t="shared" si="26"/>
        <v>69997</v>
      </c>
      <c r="D184" s="36">
        <f t="shared" si="26"/>
        <v>0</v>
      </c>
      <c r="E184" s="36">
        <v>0</v>
      </c>
      <c r="F184" s="36">
        <v>0</v>
      </c>
      <c r="G184" s="36">
        <f t="shared" si="25"/>
        <v>0</v>
      </c>
      <c r="H184" s="36"/>
      <c r="I184" s="36"/>
      <c r="J184" s="36">
        <f t="shared" si="18"/>
        <v>0</v>
      </c>
      <c r="K184" s="36">
        <f>9841</f>
        <v>9841</v>
      </c>
      <c r="L184" s="36">
        <f>9841</f>
        <v>9841</v>
      </c>
      <c r="M184" s="36">
        <f t="shared" si="19"/>
        <v>0</v>
      </c>
      <c r="N184" s="36"/>
      <c r="O184" s="36"/>
      <c r="P184" s="36">
        <f t="shared" si="27"/>
        <v>0</v>
      </c>
      <c r="Q184" s="36">
        <v>60156</v>
      </c>
      <c r="R184" s="36">
        <v>60156</v>
      </c>
      <c r="S184" s="36">
        <f t="shared" si="21"/>
        <v>0</v>
      </c>
      <c r="T184" s="36"/>
      <c r="U184" s="36"/>
      <c r="V184" s="36">
        <f t="shared" si="22"/>
        <v>0</v>
      </c>
      <c r="W184" s="36"/>
      <c r="X184" s="36"/>
      <c r="Y184" s="36">
        <f t="shared" si="23"/>
        <v>0</v>
      </c>
      <c r="Z184" s="36"/>
      <c r="AA184" s="36"/>
      <c r="AB184" s="36">
        <f t="shared" si="24"/>
        <v>0</v>
      </c>
    </row>
    <row r="185" spans="1:187" s="11" customFormat="1">
      <c r="A185" s="29" t="s">
        <v>59</v>
      </c>
      <c r="B185" s="30">
        <f t="shared" si="26"/>
        <v>414273</v>
      </c>
      <c r="C185" s="30">
        <f t="shared" si="26"/>
        <v>414273</v>
      </c>
      <c r="D185" s="30">
        <f t="shared" si="26"/>
        <v>0</v>
      </c>
      <c r="E185" s="30">
        <f>SUM(E186,E192,E197,E190)</f>
        <v>0</v>
      </c>
      <c r="F185" s="30">
        <f>SUM(F186,F192,F197,F190)</f>
        <v>0</v>
      </c>
      <c r="G185" s="30">
        <f t="shared" si="25"/>
        <v>0</v>
      </c>
      <c r="H185" s="30">
        <f>SUM(H186,H192,H197,H190)</f>
        <v>0</v>
      </c>
      <c r="I185" s="30">
        <f>SUM(I186,I192,I197,I190)</f>
        <v>0</v>
      </c>
      <c r="J185" s="30">
        <f t="shared" si="18"/>
        <v>0</v>
      </c>
      <c r="K185" s="30">
        <f>SUM(K186,K192,K197,K190)</f>
        <v>128623</v>
      </c>
      <c r="L185" s="30">
        <f>SUM(L186,L192,L197,L190)</f>
        <v>128623</v>
      </c>
      <c r="M185" s="30">
        <f t="shared" si="19"/>
        <v>0</v>
      </c>
      <c r="N185" s="30">
        <f>SUM(N186,N192,N197,N190)</f>
        <v>244839</v>
      </c>
      <c r="O185" s="30">
        <f>SUM(O186,O192,O197,O190)</f>
        <v>244839</v>
      </c>
      <c r="P185" s="30">
        <f t="shared" si="27"/>
        <v>0</v>
      </c>
      <c r="Q185" s="30">
        <f>SUM(Q186,Q192,Q197,Q190)</f>
        <v>40811</v>
      </c>
      <c r="R185" s="30">
        <f>SUM(R186,R192,R197,R190)</f>
        <v>40811</v>
      </c>
      <c r="S185" s="30">
        <f t="shared" si="21"/>
        <v>0</v>
      </c>
      <c r="T185" s="30">
        <f>SUM(T186,T192,T197,T190)</f>
        <v>0</v>
      </c>
      <c r="U185" s="30">
        <f>SUM(U186,U192,U197,U190)</f>
        <v>0</v>
      </c>
      <c r="V185" s="30">
        <f t="shared" si="22"/>
        <v>0</v>
      </c>
      <c r="W185" s="30">
        <f>SUM(W186,W192,W197,W190)</f>
        <v>0</v>
      </c>
      <c r="X185" s="30">
        <f>SUM(X186,X192,X197,X190)</f>
        <v>0</v>
      </c>
      <c r="Y185" s="30">
        <f t="shared" si="23"/>
        <v>0</v>
      </c>
      <c r="Z185" s="30">
        <f>SUM(Z186,Z192,Z197,Z190)</f>
        <v>0</v>
      </c>
      <c r="AA185" s="30">
        <f>SUM(AA186,AA192,AA197,AA190)</f>
        <v>0</v>
      </c>
      <c r="AB185" s="30">
        <f t="shared" si="24"/>
        <v>0</v>
      </c>
    </row>
    <row r="186" spans="1:187" s="11" customFormat="1">
      <c r="A186" s="29" t="s">
        <v>96</v>
      </c>
      <c r="B186" s="30">
        <f t="shared" si="26"/>
        <v>13149</v>
      </c>
      <c r="C186" s="30">
        <f t="shared" si="26"/>
        <v>13149</v>
      </c>
      <c r="D186" s="30">
        <f t="shared" si="26"/>
        <v>0</v>
      </c>
      <c r="E186" s="30">
        <f>SUM(E187:E189)</f>
        <v>0</v>
      </c>
      <c r="F186" s="30">
        <f>SUM(F187:F189)</f>
        <v>0</v>
      </c>
      <c r="G186" s="30">
        <f t="shared" si="25"/>
        <v>0</v>
      </c>
      <c r="H186" s="30">
        <f>SUM(H187:H189)</f>
        <v>0</v>
      </c>
      <c r="I186" s="30">
        <f>SUM(I187:I189)</f>
        <v>0</v>
      </c>
      <c r="J186" s="30">
        <f t="shared" si="18"/>
        <v>0</v>
      </c>
      <c r="K186" s="30">
        <f>SUM(K187:K189)</f>
        <v>209</v>
      </c>
      <c r="L186" s="30">
        <f>SUM(L187:L189)</f>
        <v>209</v>
      </c>
      <c r="M186" s="30">
        <f t="shared" si="19"/>
        <v>0</v>
      </c>
      <c r="N186" s="30">
        <f>SUM(N187:N189)</f>
        <v>0</v>
      </c>
      <c r="O186" s="30">
        <f>SUM(O187:O189)</f>
        <v>0</v>
      </c>
      <c r="P186" s="30">
        <f t="shared" si="27"/>
        <v>0</v>
      </c>
      <c r="Q186" s="30">
        <f>SUM(Q187:Q189)</f>
        <v>12940</v>
      </c>
      <c r="R186" s="30">
        <f>SUM(R187:R189)</f>
        <v>12940</v>
      </c>
      <c r="S186" s="30">
        <f t="shared" si="21"/>
        <v>0</v>
      </c>
      <c r="T186" s="30">
        <f>SUM(T187:T189)</f>
        <v>0</v>
      </c>
      <c r="U186" s="30">
        <f>SUM(U187:U189)</f>
        <v>0</v>
      </c>
      <c r="V186" s="30">
        <f t="shared" si="22"/>
        <v>0</v>
      </c>
      <c r="W186" s="30">
        <f>SUM(W187:W189)</f>
        <v>0</v>
      </c>
      <c r="X186" s="30">
        <f>SUM(X187:X189)</f>
        <v>0</v>
      </c>
      <c r="Y186" s="30">
        <f t="shared" si="23"/>
        <v>0</v>
      </c>
      <c r="Z186" s="30">
        <f>SUM(Z187:Z189)</f>
        <v>0</v>
      </c>
      <c r="AA186" s="30">
        <f>SUM(AA187:AA189)</f>
        <v>0</v>
      </c>
      <c r="AB186" s="30">
        <f t="shared" si="24"/>
        <v>0</v>
      </c>
    </row>
    <row r="187" spans="1:187" s="11" customFormat="1" ht="31.5">
      <c r="A187" s="35" t="s">
        <v>181</v>
      </c>
      <c r="B187" s="36">
        <f t="shared" si="26"/>
        <v>9802</v>
      </c>
      <c r="C187" s="36">
        <f t="shared" si="26"/>
        <v>9802</v>
      </c>
      <c r="D187" s="36">
        <f t="shared" si="26"/>
        <v>0</v>
      </c>
      <c r="E187" s="36"/>
      <c r="F187" s="36"/>
      <c r="G187" s="36">
        <f t="shared" si="25"/>
        <v>0</v>
      </c>
      <c r="H187" s="36"/>
      <c r="I187" s="36"/>
      <c r="J187" s="36">
        <f t="shared" si="18"/>
        <v>0</v>
      </c>
      <c r="K187" s="36"/>
      <c r="L187" s="36"/>
      <c r="M187" s="36">
        <f t="shared" si="19"/>
        <v>0</v>
      </c>
      <c r="N187" s="36"/>
      <c r="O187" s="36"/>
      <c r="P187" s="36">
        <f t="shared" si="27"/>
        <v>0</v>
      </c>
      <c r="Q187" s="36">
        <f>10201-399</f>
        <v>9802</v>
      </c>
      <c r="R187" s="36">
        <f>10201-399</f>
        <v>9802</v>
      </c>
      <c r="S187" s="36">
        <f t="shared" si="21"/>
        <v>0</v>
      </c>
      <c r="T187" s="36"/>
      <c r="U187" s="36"/>
      <c r="V187" s="36">
        <f t="shared" si="22"/>
        <v>0</v>
      </c>
      <c r="W187" s="36"/>
      <c r="X187" s="36"/>
      <c r="Y187" s="36">
        <f t="shared" si="23"/>
        <v>0</v>
      </c>
      <c r="Z187" s="36"/>
      <c r="AA187" s="36"/>
      <c r="AB187" s="36">
        <f t="shared" si="24"/>
        <v>0</v>
      </c>
    </row>
    <row r="188" spans="1:187" s="11" customFormat="1" ht="31.5">
      <c r="A188" s="35" t="s">
        <v>182</v>
      </c>
      <c r="B188" s="36">
        <f t="shared" si="26"/>
        <v>1836</v>
      </c>
      <c r="C188" s="36">
        <f t="shared" si="26"/>
        <v>1836</v>
      </c>
      <c r="D188" s="36">
        <f t="shared" si="26"/>
        <v>0</v>
      </c>
      <c r="E188" s="36"/>
      <c r="F188" s="36"/>
      <c r="G188" s="36">
        <f t="shared" si="25"/>
        <v>0</v>
      </c>
      <c r="H188" s="36"/>
      <c r="I188" s="36"/>
      <c r="J188" s="36">
        <f t="shared" si="18"/>
        <v>0</v>
      </c>
      <c r="K188" s="36"/>
      <c r="L188" s="36"/>
      <c r="M188" s="36">
        <f t="shared" si="19"/>
        <v>0</v>
      </c>
      <c r="N188" s="36"/>
      <c r="O188" s="36"/>
      <c r="P188" s="36">
        <f t="shared" si="27"/>
        <v>0</v>
      </c>
      <c r="Q188" s="36">
        <v>1836</v>
      </c>
      <c r="R188" s="36">
        <v>1836</v>
      </c>
      <c r="S188" s="36">
        <f t="shared" si="21"/>
        <v>0</v>
      </c>
      <c r="T188" s="36"/>
      <c r="U188" s="36"/>
      <c r="V188" s="36">
        <f t="shared" si="22"/>
        <v>0</v>
      </c>
      <c r="W188" s="36"/>
      <c r="X188" s="36"/>
      <c r="Y188" s="36">
        <f t="shared" si="23"/>
        <v>0</v>
      </c>
      <c r="Z188" s="36"/>
      <c r="AA188" s="36"/>
      <c r="AB188" s="36">
        <f t="shared" si="24"/>
        <v>0</v>
      </c>
    </row>
    <row r="189" spans="1:187" s="11" customFormat="1" ht="31.5">
      <c r="A189" s="35" t="s">
        <v>183</v>
      </c>
      <c r="B189" s="36">
        <f t="shared" si="26"/>
        <v>1511</v>
      </c>
      <c r="C189" s="36">
        <f t="shared" si="26"/>
        <v>1511</v>
      </c>
      <c r="D189" s="36">
        <f t="shared" si="26"/>
        <v>0</v>
      </c>
      <c r="E189" s="36"/>
      <c r="F189" s="36"/>
      <c r="G189" s="36">
        <f t="shared" si="25"/>
        <v>0</v>
      </c>
      <c r="H189" s="36"/>
      <c r="I189" s="36"/>
      <c r="J189" s="36">
        <f t="shared" si="18"/>
        <v>0</v>
      </c>
      <c r="K189" s="36">
        <v>209</v>
      </c>
      <c r="L189" s="36">
        <v>209</v>
      </c>
      <c r="M189" s="36">
        <f t="shared" si="19"/>
        <v>0</v>
      </c>
      <c r="N189" s="36"/>
      <c r="O189" s="36"/>
      <c r="P189" s="36">
        <f t="shared" si="27"/>
        <v>0</v>
      </c>
      <c r="Q189" s="36">
        <f>1302</f>
        <v>1302</v>
      </c>
      <c r="R189" s="36">
        <f>1302</f>
        <v>1302</v>
      </c>
      <c r="S189" s="36">
        <f t="shared" si="21"/>
        <v>0</v>
      </c>
      <c r="T189" s="36"/>
      <c r="U189" s="36"/>
      <c r="V189" s="36">
        <f t="shared" si="22"/>
        <v>0</v>
      </c>
      <c r="W189" s="36"/>
      <c r="X189" s="36"/>
      <c r="Y189" s="36">
        <f t="shared" si="23"/>
        <v>0</v>
      </c>
      <c r="Z189" s="36"/>
      <c r="AA189" s="36"/>
      <c r="AB189" s="36">
        <f t="shared" si="24"/>
        <v>0</v>
      </c>
    </row>
    <row r="190" spans="1:187" s="11" customFormat="1">
      <c r="A190" s="29" t="s">
        <v>101</v>
      </c>
      <c r="B190" s="30">
        <f t="shared" si="26"/>
        <v>244839</v>
      </c>
      <c r="C190" s="30">
        <f t="shared" si="26"/>
        <v>244839</v>
      </c>
      <c r="D190" s="30">
        <f t="shared" si="26"/>
        <v>0</v>
      </c>
      <c r="E190" s="30">
        <f>SUM(E191:E191)</f>
        <v>0</v>
      </c>
      <c r="F190" s="30">
        <f>SUM(F191:F191)</f>
        <v>0</v>
      </c>
      <c r="G190" s="30">
        <f t="shared" si="25"/>
        <v>0</v>
      </c>
      <c r="H190" s="30">
        <f>SUM(H191:H191)</f>
        <v>0</v>
      </c>
      <c r="I190" s="30">
        <f>SUM(I191:I191)</f>
        <v>0</v>
      </c>
      <c r="J190" s="30">
        <f t="shared" si="18"/>
        <v>0</v>
      </c>
      <c r="K190" s="30">
        <f>SUM(K191:K191)</f>
        <v>0</v>
      </c>
      <c r="L190" s="30">
        <f>SUM(L191:L191)</f>
        <v>0</v>
      </c>
      <c r="M190" s="30">
        <f t="shared" si="19"/>
        <v>0</v>
      </c>
      <c r="N190" s="30">
        <f>SUM(N191:N191)</f>
        <v>244839</v>
      </c>
      <c r="O190" s="30">
        <f>SUM(O191:O191)</f>
        <v>244839</v>
      </c>
      <c r="P190" s="30">
        <f t="shared" si="27"/>
        <v>0</v>
      </c>
      <c r="Q190" s="30">
        <f>SUM(Q191:Q191)</f>
        <v>0</v>
      </c>
      <c r="R190" s="30">
        <f>SUM(R191:R191)</f>
        <v>0</v>
      </c>
      <c r="S190" s="30">
        <f t="shared" si="21"/>
        <v>0</v>
      </c>
      <c r="T190" s="30">
        <f>SUM(T191:T191)</f>
        <v>0</v>
      </c>
      <c r="U190" s="30">
        <f>SUM(U191:U191)</f>
        <v>0</v>
      </c>
      <c r="V190" s="30">
        <f t="shared" si="22"/>
        <v>0</v>
      </c>
      <c r="W190" s="30">
        <f>SUM(W191:W191)</f>
        <v>0</v>
      </c>
      <c r="X190" s="30">
        <f>SUM(X191:X191)</f>
        <v>0</v>
      </c>
      <c r="Y190" s="30">
        <f t="shared" si="23"/>
        <v>0</v>
      </c>
      <c r="Z190" s="30">
        <f>SUM(Z191:Z191)</f>
        <v>0</v>
      </c>
      <c r="AA190" s="30">
        <f>SUM(AA191:AA191)</f>
        <v>0</v>
      </c>
      <c r="AB190" s="30">
        <f t="shared" si="24"/>
        <v>0</v>
      </c>
      <c r="AC190" s="28"/>
      <c r="AD190" s="28"/>
      <c r="AE190" s="28"/>
      <c r="AF190" s="28"/>
      <c r="AG190" s="28"/>
      <c r="AH190" s="28"/>
      <c r="AI190" s="28"/>
      <c r="AJ190" s="28"/>
      <c r="AK190" s="28"/>
      <c r="AL190" s="28"/>
      <c r="AM190" s="28"/>
      <c r="AN190" s="28"/>
      <c r="AO190" s="28"/>
      <c r="AP190" s="28"/>
      <c r="AQ190" s="28"/>
      <c r="AR190" s="28"/>
      <c r="AS190" s="28"/>
      <c r="AT190" s="28"/>
      <c r="AU190" s="28"/>
      <c r="AV190" s="28"/>
      <c r="AW190" s="28"/>
      <c r="AX190" s="28"/>
      <c r="AY190" s="28"/>
      <c r="AZ190" s="28"/>
      <c r="BA190" s="28"/>
      <c r="BB190" s="28"/>
      <c r="BC190" s="28"/>
      <c r="BD190" s="28"/>
      <c r="BE190" s="28"/>
      <c r="BF190" s="28"/>
      <c r="BG190" s="28"/>
      <c r="BH190" s="28"/>
      <c r="BI190" s="28"/>
      <c r="BJ190" s="28"/>
      <c r="BK190" s="28"/>
      <c r="BL190" s="28"/>
      <c r="BM190" s="28"/>
      <c r="BN190" s="28"/>
      <c r="BO190" s="28"/>
      <c r="BP190" s="28"/>
      <c r="BQ190" s="28"/>
      <c r="BR190" s="28"/>
      <c r="BS190" s="28"/>
      <c r="BT190" s="28"/>
      <c r="BU190" s="28"/>
      <c r="BV190" s="28"/>
      <c r="BW190" s="28"/>
      <c r="BX190" s="28"/>
      <c r="BY190" s="28"/>
      <c r="BZ190" s="28"/>
      <c r="CA190" s="28"/>
      <c r="CB190" s="28"/>
      <c r="CC190" s="28"/>
      <c r="CD190" s="28"/>
      <c r="CE190" s="28"/>
      <c r="CF190" s="28"/>
      <c r="CG190" s="28"/>
      <c r="CH190" s="28"/>
      <c r="CI190" s="28"/>
      <c r="CJ190" s="28"/>
      <c r="CK190" s="28"/>
      <c r="CL190" s="28"/>
      <c r="CM190" s="28"/>
      <c r="CN190" s="28"/>
      <c r="CO190" s="28"/>
      <c r="CP190" s="28"/>
      <c r="CQ190" s="28"/>
      <c r="CR190" s="28"/>
      <c r="CS190" s="28"/>
      <c r="CT190" s="28"/>
      <c r="CU190" s="28"/>
      <c r="CV190" s="28"/>
      <c r="CW190" s="28"/>
      <c r="CX190" s="28"/>
      <c r="CY190" s="28"/>
      <c r="CZ190" s="28"/>
      <c r="DA190" s="28"/>
      <c r="DB190" s="28"/>
      <c r="DC190" s="28"/>
      <c r="DD190" s="28"/>
      <c r="DE190" s="28"/>
      <c r="DF190" s="28"/>
      <c r="DG190" s="28"/>
      <c r="DH190" s="28"/>
      <c r="DI190" s="28"/>
      <c r="DJ190" s="28"/>
      <c r="DK190" s="28"/>
      <c r="DL190" s="28"/>
      <c r="DM190" s="28"/>
      <c r="DN190" s="28"/>
      <c r="DO190" s="28"/>
      <c r="DP190" s="28"/>
      <c r="DQ190" s="28"/>
      <c r="DR190" s="28"/>
      <c r="DS190" s="28"/>
      <c r="DT190" s="28"/>
      <c r="DU190" s="28"/>
      <c r="DV190" s="28"/>
      <c r="DW190" s="28"/>
      <c r="DX190" s="28"/>
      <c r="DY190" s="28"/>
      <c r="DZ190" s="28"/>
      <c r="EA190" s="28"/>
      <c r="EB190" s="28"/>
      <c r="EC190" s="28"/>
      <c r="ED190" s="28"/>
      <c r="EE190" s="28"/>
      <c r="EF190" s="28"/>
      <c r="EG190" s="28"/>
      <c r="EH190" s="28"/>
      <c r="EI190" s="28"/>
      <c r="EJ190" s="28"/>
      <c r="EK190" s="28"/>
      <c r="EL190" s="28"/>
      <c r="EM190" s="28"/>
      <c r="EN190" s="28"/>
      <c r="EO190" s="28"/>
      <c r="EP190" s="28"/>
      <c r="EQ190" s="28"/>
      <c r="ER190" s="28"/>
      <c r="ES190" s="28"/>
      <c r="ET190" s="28"/>
      <c r="EU190" s="28"/>
      <c r="EV190" s="28"/>
      <c r="EW190" s="28"/>
      <c r="EX190" s="28"/>
      <c r="EY190" s="28"/>
      <c r="EZ190" s="28"/>
      <c r="FA190" s="28"/>
      <c r="FB190" s="28"/>
      <c r="FC190" s="28"/>
      <c r="FD190" s="28"/>
      <c r="FE190" s="28"/>
      <c r="FF190" s="28"/>
      <c r="FG190" s="28"/>
      <c r="FH190" s="28"/>
      <c r="FI190" s="28"/>
      <c r="FJ190" s="28"/>
      <c r="FK190" s="28"/>
      <c r="FL190" s="28"/>
      <c r="FM190" s="28"/>
      <c r="FN190" s="28"/>
      <c r="FO190" s="28"/>
      <c r="FP190" s="28"/>
      <c r="FQ190" s="28"/>
      <c r="FR190" s="28"/>
      <c r="FS190" s="28"/>
      <c r="FT190" s="28"/>
      <c r="FU190" s="28"/>
      <c r="FV190" s="28"/>
      <c r="FW190" s="28"/>
      <c r="FX190" s="28"/>
      <c r="FY190" s="28"/>
      <c r="FZ190" s="28"/>
      <c r="GA190" s="28"/>
      <c r="GB190" s="28"/>
      <c r="GC190" s="28"/>
      <c r="GD190" s="28"/>
      <c r="GE190" s="28"/>
    </row>
    <row r="191" spans="1:187" s="11" customFormat="1" ht="78.75">
      <c r="A191" s="35" t="s">
        <v>184</v>
      </c>
      <c r="B191" s="36">
        <f t="shared" si="26"/>
        <v>244839</v>
      </c>
      <c r="C191" s="36">
        <f t="shared" si="26"/>
        <v>244839</v>
      </c>
      <c r="D191" s="36">
        <f t="shared" si="26"/>
        <v>0</v>
      </c>
      <c r="E191" s="36">
        <v>0</v>
      </c>
      <c r="F191" s="36">
        <v>0</v>
      </c>
      <c r="G191" s="36">
        <f t="shared" si="25"/>
        <v>0</v>
      </c>
      <c r="H191" s="36"/>
      <c r="I191" s="36"/>
      <c r="J191" s="36">
        <f t="shared" si="18"/>
        <v>0</v>
      </c>
      <c r="K191" s="36">
        <v>0</v>
      </c>
      <c r="L191" s="36">
        <v>0</v>
      </c>
      <c r="M191" s="36">
        <f t="shared" si="19"/>
        <v>0</v>
      </c>
      <c r="N191" s="36">
        <v>244839</v>
      </c>
      <c r="O191" s="36">
        <v>244839</v>
      </c>
      <c r="P191" s="36">
        <f t="shared" si="27"/>
        <v>0</v>
      </c>
      <c r="Q191" s="36"/>
      <c r="R191" s="36"/>
      <c r="S191" s="36">
        <f t="shared" si="21"/>
        <v>0</v>
      </c>
      <c r="T191" s="36">
        <v>0</v>
      </c>
      <c r="U191" s="36">
        <v>0</v>
      </c>
      <c r="V191" s="36">
        <f t="shared" si="22"/>
        <v>0</v>
      </c>
      <c r="W191" s="36"/>
      <c r="X191" s="36"/>
      <c r="Y191" s="36">
        <f t="shared" si="23"/>
        <v>0</v>
      </c>
      <c r="Z191" s="36"/>
      <c r="AA191" s="36"/>
      <c r="AB191" s="36">
        <f t="shared" si="24"/>
        <v>0</v>
      </c>
    </row>
    <row r="192" spans="1:187" s="11" customFormat="1" ht="31.5">
      <c r="A192" s="29" t="s">
        <v>103</v>
      </c>
      <c r="B192" s="30">
        <f t="shared" si="26"/>
        <v>92137</v>
      </c>
      <c r="C192" s="30">
        <f t="shared" si="26"/>
        <v>92137</v>
      </c>
      <c r="D192" s="30">
        <f t="shared" si="26"/>
        <v>0</v>
      </c>
      <c r="E192" s="30">
        <f>SUM(E193:E196)</f>
        <v>0</v>
      </c>
      <c r="F192" s="30">
        <f>SUM(F193:F196)</f>
        <v>0</v>
      </c>
      <c r="G192" s="30">
        <f t="shared" si="25"/>
        <v>0</v>
      </c>
      <c r="H192" s="30">
        <f>SUM(H193:H196)</f>
        <v>0</v>
      </c>
      <c r="I192" s="30">
        <f>SUM(I193:I196)</f>
        <v>0</v>
      </c>
      <c r="J192" s="30">
        <f t="shared" si="18"/>
        <v>0</v>
      </c>
      <c r="K192" s="30">
        <f>SUM(K193:K196)</f>
        <v>69644</v>
      </c>
      <c r="L192" s="30">
        <f>SUM(L193:L196)</f>
        <v>69644</v>
      </c>
      <c r="M192" s="30">
        <f t="shared" si="19"/>
        <v>0</v>
      </c>
      <c r="N192" s="30">
        <f>SUM(N193:N196)</f>
        <v>0</v>
      </c>
      <c r="O192" s="30">
        <f>SUM(O193:O196)</f>
        <v>0</v>
      </c>
      <c r="P192" s="30">
        <f t="shared" si="27"/>
        <v>0</v>
      </c>
      <c r="Q192" s="30">
        <f>SUM(Q193:Q196)</f>
        <v>22493</v>
      </c>
      <c r="R192" s="30">
        <f>SUM(R193:R196)</f>
        <v>22493</v>
      </c>
      <c r="S192" s="30">
        <f t="shared" si="21"/>
        <v>0</v>
      </c>
      <c r="T192" s="30">
        <f>SUM(T193:T196)</f>
        <v>0</v>
      </c>
      <c r="U192" s="30">
        <f>SUM(U193:U196)</f>
        <v>0</v>
      </c>
      <c r="V192" s="30">
        <f t="shared" si="22"/>
        <v>0</v>
      </c>
      <c r="W192" s="30">
        <f>SUM(W193:W196)</f>
        <v>0</v>
      </c>
      <c r="X192" s="30">
        <f>SUM(X193:X196)</f>
        <v>0</v>
      </c>
      <c r="Y192" s="30">
        <f t="shared" si="23"/>
        <v>0</v>
      </c>
      <c r="Z192" s="30">
        <f>SUM(Z193:Z196)</f>
        <v>0</v>
      </c>
      <c r="AA192" s="30">
        <f>SUM(AA193:AA196)</f>
        <v>0</v>
      </c>
      <c r="AB192" s="30">
        <f t="shared" si="24"/>
        <v>0</v>
      </c>
    </row>
    <row r="193" spans="1:187" s="11" customFormat="1" ht="47.25">
      <c r="A193" s="35" t="s">
        <v>185</v>
      </c>
      <c r="B193" s="36">
        <f t="shared" si="26"/>
        <v>79688</v>
      </c>
      <c r="C193" s="36">
        <f t="shared" si="26"/>
        <v>79688</v>
      </c>
      <c r="D193" s="36">
        <f t="shared" si="26"/>
        <v>0</v>
      </c>
      <c r="E193" s="36">
        <v>0</v>
      </c>
      <c r="F193" s="36">
        <v>0</v>
      </c>
      <c r="G193" s="36">
        <f t="shared" si="25"/>
        <v>0</v>
      </c>
      <c r="H193" s="36"/>
      <c r="I193" s="36"/>
      <c r="J193" s="36">
        <f t="shared" si="18"/>
        <v>0</v>
      </c>
      <c r="K193" s="36">
        <f>5342-5342+62075+5342</f>
        <v>67417</v>
      </c>
      <c r="L193" s="36">
        <f>5342-5342+62075+5342</f>
        <v>67417</v>
      </c>
      <c r="M193" s="36">
        <f t="shared" si="19"/>
        <v>0</v>
      </c>
      <c r="N193" s="36"/>
      <c r="O193" s="36"/>
      <c r="P193" s="36">
        <f t="shared" si="27"/>
        <v>0</v>
      </c>
      <c r="Q193" s="36">
        <f>2122+1596+3531+3336+1687+13035+15991+14275+13062+11053-5342-62075</f>
        <v>12271</v>
      </c>
      <c r="R193" s="36">
        <f>2122+1596+3531+3336+1687+13035+15991+14275+13062+11053-5342-62075</f>
        <v>12271</v>
      </c>
      <c r="S193" s="36">
        <f t="shared" si="21"/>
        <v>0</v>
      </c>
      <c r="T193" s="36"/>
      <c r="U193" s="36"/>
      <c r="V193" s="36">
        <f t="shared" si="22"/>
        <v>0</v>
      </c>
      <c r="W193" s="36"/>
      <c r="X193" s="36"/>
      <c r="Y193" s="36">
        <f t="shared" si="23"/>
        <v>0</v>
      </c>
      <c r="Z193" s="36"/>
      <c r="AA193" s="36"/>
      <c r="AB193" s="36">
        <f t="shared" si="24"/>
        <v>0</v>
      </c>
    </row>
    <row r="194" spans="1:187" s="11" customFormat="1" ht="31.5">
      <c r="A194" s="35" t="s">
        <v>186</v>
      </c>
      <c r="B194" s="36">
        <f t="shared" si="26"/>
        <v>3905</v>
      </c>
      <c r="C194" s="36">
        <f t="shared" si="26"/>
        <v>3905</v>
      </c>
      <c r="D194" s="36">
        <f t="shared" si="26"/>
        <v>0</v>
      </c>
      <c r="E194" s="36"/>
      <c r="F194" s="36"/>
      <c r="G194" s="36">
        <f t="shared" si="25"/>
        <v>0</v>
      </c>
      <c r="H194" s="36"/>
      <c r="I194" s="36"/>
      <c r="J194" s="36">
        <f t="shared" si="18"/>
        <v>0</v>
      </c>
      <c r="K194" s="36"/>
      <c r="L194" s="36"/>
      <c r="M194" s="36">
        <f t="shared" si="19"/>
        <v>0</v>
      </c>
      <c r="N194" s="36"/>
      <c r="O194" s="36"/>
      <c r="P194" s="36">
        <f t="shared" si="27"/>
        <v>0</v>
      </c>
      <c r="Q194" s="36">
        <v>3905</v>
      </c>
      <c r="R194" s="36">
        <v>3905</v>
      </c>
      <c r="S194" s="36">
        <f t="shared" si="21"/>
        <v>0</v>
      </c>
      <c r="T194" s="36"/>
      <c r="U194" s="36"/>
      <c r="V194" s="36">
        <f t="shared" si="22"/>
        <v>0</v>
      </c>
      <c r="W194" s="36"/>
      <c r="X194" s="36"/>
      <c r="Y194" s="36">
        <f t="shared" si="23"/>
        <v>0</v>
      </c>
      <c r="Z194" s="36"/>
      <c r="AA194" s="36"/>
      <c r="AB194" s="36">
        <f t="shared" si="24"/>
        <v>0</v>
      </c>
    </row>
    <row r="195" spans="1:187" s="11" customFormat="1">
      <c r="A195" s="35" t="s">
        <v>187</v>
      </c>
      <c r="B195" s="36">
        <f t="shared" si="26"/>
        <v>1376</v>
      </c>
      <c r="C195" s="36">
        <f t="shared" si="26"/>
        <v>1376</v>
      </c>
      <c r="D195" s="36">
        <f t="shared" si="26"/>
        <v>0</v>
      </c>
      <c r="E195" s="36"/>
      <c r="F195" s="36"/>
      <c r="G195" s="36">
        <f t="shared" si="25"/>
        <v>0</v>
      </c>
      <c r="H195" s="36"/>
      <c r="I195" s="36"/>
      <c r="J195" s="36">
        <f t="shared" si="18"/>
        <v>0</v>
      </c>
      <c r="K195" s="36"/>
      <c r="L195" s="36"/>
      <c r="M195" s="36">
        <f t="shared" si="19"/>
        <v>0</v>
      </c>
      <c r="N195" s="36"/>
      <c r="O195" s="36"/>
      <c r="P195" s="36">
        <f t="shared" si="27"/>
        <v>0</v>
      </c>
      <c r="Q195" s="36">
        <v>1376</v>
      </c>
      <c r="R195" s="36">
        <v>1376</v>
      </c>
      <c r="S195" s="36">
        <f t="shared" si="21"/>
        <v>0</v>
      </c>
      <c r="T195" s="36"/>
      <c r="U195" s="36"/>
      <c r="V195" s="36">
        <f t="shared" si="22"/>
        <v>0</v>
      </c>
      <c r="W195" s="36"/>
      <c r="X195" s="36"/>
      <c r="Y195" s="36">
        <f t="shared" si="23"/>
        <v>0</v>
      </c>
      <c r="Z195" s="36"/>
      <c r="AA195" s="36"/>
      <c r="AB195" s="36">
        <f t="shared" si="24"/>
        <v>0</v>
      </c>
    </row>
    <row r="196" spans="1:187" s="11" customFormat="1">
      <c r="A196" s="35" t="s">
        <v>188</v>
      </c>
      <c r="B196" s="36">
        <f t="shared" si="26"/>
        <v>7168</v>
      </c>
      <c r="C196" s="36">
        <f t="shared" si="26"/>
        <v>7168</v>
      </c>
      <c r="D196" s="36">
        <f t="shared" si="26"/>
        <v>0</v>
      </c>
      <c r="E196" s="36"/>
      <c r="F196" s="36"/>
      <c r="G196" s="36">
        <f t="shared" si="25"/>
        <v>0</v>
      </c>
      <c r="H196" s="36"/>
      <c r="I196" s="36"/>
      <c r="J196" s="36">
        <f t="shared" ref="J196:J203" si="28">I196-H196</f>
        <v>0</v>
      </c>
      <c r="K196" s="36">
        <v>2227</v>
      </c>
      <c r="L196" s="36">
        <v>2227</v>
      </c>
      <c r="M196" s="36">
        <f t="shared" ref="M196:M203" si="29">L196-K196</f>
        <v>0</v>
      </c>
      <c r="N196" s="36"/>
      <c r="O196" s="36"/>
      <c r="P196" s="36">
        <f t="shared" si="27"/>
        <v>0</v>
      </c>
      <c r="Q196" s="36">
        <v>4941</v>
      </c>
      <c r="R196" s="36">
        <v>4941</v>
      </c>
      <c r="S196" s="36">
        <f t="shared" ref="S196:S203" si="30">R196-Q196</f>
        <v>0</v>
      </c>
      <c r="T196" s="36"/>
      <c r="U196" s="36"/>
      <c r="V196" s="36">
        <f t="shared" ref="V196:V203" si="31">U196-T196</f>
        <v>0</v>
      </c>
      <c r="W196" s="36"/>
      <c r="X196" s="36"/>
      <c r="Y196" s="36">
        <f t="shared" ref="Y196:Y203" si="32">X196-W196</f>
        <v>0</v>
      </c>
      <c r="Z196" s="36"/>
      <c r="AA196" s="36"/>
      <c r="AB196" s="36">
        <f t="shared" ref="AB196:AB203" si="33">AA196-Z196</f>
        <v>0</v>
      </c>
    </row>
    <row r="197" spans="1:187" s="11" customFormat="1">
      <c r="A197" s="29" t="s">
        <v>166</v>
      </c>
      <c r="B197" s="30">
        <f t="shared" si="26"/>
        <v>64148</v>
      </c>
      <c r="C197" s="30">
        <f t="shared" si="26"/>
        <v>64148</v>
      </c>
      <c r="D197" s="30">
        <f t="shared" si="26"/>
        <v>0</v>
      </c>
      <c r="E197" s="30">
        <f>SUM(E198:E203)</f>
        <v>0</v>
      </c>
      <c r="F197" s="30">
        <f>SUM(F198:F203)</f>
        <v>0</v>
      </c>
      <c r="G197" s="30">
        <f t="shared" si="25"/>
        <v>0</v>
      </c>
      <c r="H197" s="30">
        <f>SUM(H198:H203)</f>
        <v>0</v>
      </c>
      <c r="I197" s="30">
        <f>SUM(I198:I203)</f>
        <v>0</v>
      </c>
      <c r="J197" s="30">
        <f t="shared" si="28"/>
        <v>0</v>
      </c>
      <c r="K197" s="30">
        <f>SUM(K198:K203)</f>
        <v>58770</v>
      </c>
      <c r="L197" s="30">
        <f>SUM(L198:L203)</f>
        <v>58770</v>
      </c>
      <c r="M197" s="30">
        <f t="shared" si="29"/>
        <v>0</v>
      </c>
      <c r="N197" s="30">
        <f>SUM(N198:N203)</f>
        <v>0</v>
      </c>
      <c r="O197" s="30">
        <f>SUM(O198:O203)</f>
        <v>0</v>
      </c>
      <c r="P197" s="30">
        <f t="shared" si="27"/>
        <v>0</v>
      </c>
      <c r="Q197" s="30">
        <f>SUM(Q198:Q203)</f>
        <v>5378</v>
      </c>
      <c r="R197" s="30">
        <f>SUM(R198:R203)</f>
        <v>5378</v>
      </c>
      <c r="S197" s="30">
        <f t="shared" si="30"/>
        <v>0</v>
      </c>
      <c r="T197" s="30">
        <f>SUM(T198:T203)</f>
        <v>0</v>
      </c>
      <c r="U197" s="30">
        <f>SUM(U198:U203)</f>
        <v>0</v>
      </c>
      <c r="V197" s="30">
        <f t="shared" si="31"/>
        <v>0</v>
      </c>
      <c r="W197" s="30">
        <f>SUM(W198:W203)</f>
        <v>0</v>
      </c>
      <c r="X197" s="30">
        <f>SUM(X198:X203)</f>
        <v>0</v>
      </c>
      <c r="Y197" s="30">
        <f t="shared" si="32"/>
        <v>0</v>
      </c>
      <c r="Z197" s="30">
        <f>SUM(Z198:Z203)</f>
        <v>0</v>
      </c>
      <c r="AA197" s="30">
        <f>SUM(AA198:AA203)</f>
        <v>0</v>
      </c>
      <c r="AB197" s="30">
        <f t="shared" si="33"/>
        <v>0</v>
      </c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28"/>
      <c r="BA197" s="28"/>
      <c r="BB197" s="28"/>
      <c r="BC197" s="28"/>
      <c r="BD197" s="28"/>
      <c r="BE197" s="28"/>
      <c r="BF197" s="28"/>
      <c r="BG197" s="28"/>
      <c r="BH197" s="28"/>
      <c r="BI197" s="28"/>
      <c r="BJ197" s="28"/>
      <c r="BK197" s="28"/>
      <c r="BL197" s="28"/>
      <c r="BM197" s="28"/>
      <c r="BN197" s="28"/>
      <c r="BO197" s="28"/>
      <c r="BP197" s="28"/>
      <c r="BQ197" s="28"/>
      <c r="BR197" s="28"/>
      <c r="BS197" s="28"/>
      <c r="BT197" s="28"/>
      <c r="BU197" s="28"/>
      <c r="BV197" s="28"/>
      <c r="BW197" s="28"/>
      <c r="BX197" s="28"/>
      <c r="BY197" s="28"/>
      <c r="BZ197" s="28"/>
      <c r="CA197" s="28"/>
      <c r="CB197" s="28"/>
      <c r="CC197" s="28"/>
      <c r="CD197" s="28"/>
      <c r="CE197" s="28"/>
      <c r="CF197" s="28"/>
      <c r="CG197" s="28"/>
      <c r="CH197" s="28"/>
      <c r="CI197" s="28"/>
      <c r="CJ197" s="28"/>
      <c r="CK197" s="28"/>
      <c r="CL197" s="28"/>
      <c r="CM197" s="28"/>
      <c r="CN197" s="28"/>
      <c r="CO197" s="28"/>
      <c r="CP197" s="28"/>
      <c r="CQ197" s="28"/>
      <c r="CR197" s="28"/>
      <c r="CS197" s="28"/>
      <c r="CT197" s="28"/>
      <c r="CU197" s="28"/>
      <c r="CV197" s="28"/>
      <c r="CW197" s="28"/>
      <c r="CX197" s="28"/>
      <c r="CY197" s="28"/>
      <c r="CZ197" s="28"/>
      <c r="DA197" s="28"/>
      <c r="DB197" s="28"/>
      <c r="DC197" s="28"/>
      <c r="DD197" s="28"/>
      <c r="DE197" s="28"/>
      <c r="DF197" s="28"/>
      <c r="DG197" s="28"/>
      <c r="DH197" s="28"/>
      <c r="DI197" s="28"/>
      <c r="DJ197" s="28"/>
      <c r="DK197" s="28"/>
      <c r="DL197" s="28"/>
      <c r="DM197" s="28"/>
      <c r="DN197" s="28"/>
      <c r="DO197" s="28"/>
      <c r="DP197" s="28"/>
      <c r="DQ197" s="28"/>
      <c r="DR197" s="28"/>
      <c r="DS197" s="28"/>
      <c r="DT197" s="28"/>
      <c r="DU197" s="28"/>
      <c r="DV197" s="28"/>
      <c r="DW197" s="28"/>
      <c r="DX197" s="28"/>
      <c r="DY197" s="28"/>
      <c r="DZ197" s="28"/>
      <c r="EA197" s="28"/>
      <c r="EB197" s="28"/>
      <c r="EC197" s="28"/>
      <c r="ED197" s="28"/>
      <c r="EE197" s="28"/>
      <c r="EF197" s="28"/>
      <c r="EG197" s="28"/>
      <c r="EH197" s="28"/>
      <c r="EI197" s="28"/>
      <c r="EJ197" s="28"/>
      <c r="EK197" s="28"/>
      <c r="EL197" s="28"/>
      <c r="EM197" s="28"/>
      <c r="EN197" s="28"/>
      <c r="EO197" s="28"/>
      <c r="EP197" s="28"/>
      <c r="EQ197" s="28"/>
      <c r="ER197" s="28"/>
      <c r="ES197" s="28"/>
      <c r="ET197" s="28"/>
      <c r="EU197" s="28"/>
      <c r="EV197" s="28"/>
      <c r="EW197" s="28"/>
      <c r="EX197" s="28"/>
      <c r="EY197" s="28"/>
      <c r="EZ197" s="28"/>
      <c r="FA197" s="28"/>
      <c r="FB197" s="28"/>
      <c r="FC197" s="28"/>
      <c r="FD197" s="28"/>
      <c r="FE197" s="28"/>
      <c r="FF197" s="28"/>
      <c r="FG197" s="28"/>
      <c r="FH197" s="28"/>
      <c r="FI197" s="28"/>
      <c r="FJ197" s="28"/>
      <c r="FK197" s="28"/>
      <c r="FL197" s="28"/>
      <c r="FM197" s="28"/>
      <c r="FN197" s="28"/>
      <c r="FO197" s="28"/>
      <c r="FP197" s="28"/>
      <c r="FQ197" s="28"/>
      <c r="FR197" s="28"/>
      <c r="FS197" s="28"/>
      <c r="FT197" s="28"/>
      <c r="FU197" s="28"/>
      <c r="FV197" s="28"/>
      <c r="FW197" s="28"/>
      <c r="FX197" s="28"/>
      <c r="FY197" s="28"/>
      <c r="FZ197" s="28"/>
      <c r="GA197" s="28"/>
      <c r="GB197" s="28"/>
      <c r="GC197" s="28"/>
      <c r="GD197" s="28"/>
      <c r="GE197" s="28"/>
    </row>
    <row r="198" spans="1:187" s="11" customFormat="1">
      <c r="A198" s="35" t="s">
        <v>189</v>
      </c>
      <c r="B198" s="36">
        <f t="shared" si="26"/>
        <v>5848</v>
      </c>
      <c r="C198" s="36">
        <f t="shared" si="26"/>
        <v>5848</v>
      </c>
      <c r="D198" s="36">
        <f t="shared" si="26"/>
        <v>0</v>
      </c>
      <c r="E198" s="36"/>
      <c r="F198" s="36"/>
      <c r="G198" s="36">
        <f t="shared" si="25"/>
        <v>0</v>
      </c>
      <c r="H198" s="36"/>
      <c r="I198" s="36"/>
      <c r="J198" s="36">
        <f t="shared" si="28"/>
        <v>0</v>
      </c>
      <c r="K198" s="36">
        <f>5848</f>
        <v>5848</v>
      </c>
      <c r="L198" s="36">
        <f>5848</f>
        <v>5848</v>
      </c>
      <c r="M198" s="36">
        <f t="shared" si="29"/>
        <v>0</v>
      </c>
      <c r="N198" s="36"/>
      <c r="O198" s="36"/>
      <c r="P198" s="36">
        <f t="shared" si="27"/>
        <v>0</v>
      </c>
      <c r="Q198" s="36">
        <f>7366-1518-5848</f>
        <v>0</v>
      </c>
      <c r="R198" s="36">
        <f>7366-1518-5848</f>
        <v>0</v>
      </c>
      <c r="S198" s="36">
        <f t="shared" si="30"/>
        <v>0</v>
      </c>
      <c r="T198" s="36"/>
      <c r="U198" s="36"/>
      <c r="V198" s="36">
        <f t="shared" si="31"/>
        <v>0</v>
      </c>
      <c r="W198" s="36"/>
      <c r="X198" s="36"/>
      <c r="Y198" s="36">
        <f t="shared" si="32"/>
        <v>0</v>
      </c>
      <c r="Z198" s="36"/>
      <c r="AA198" s="36"/>
      <c r="AB198" s="36">
        <f t="shared" si="33"/>
        <v>0</v>
      </c>
    </row>
    <row r="199" spans="1:187" s="11" customFormat="1" ht="31.5">
      <c r="A199" s="35" t="s">
        <v>190</v>
      </c>
      <c r="B199" s="36">
        <f t="shared" si="26"/>
        <v>28316</v>
      </c>
      <c r="C199" s="36">
        <f t="shared" si="26"/>
        <v>28316</v>
      </c>
      <c r="D199" s="36">
        <f t="shared" si="26"/>
        <v>0</v>
      </c>
      <c r="E199" s="36"/>
      <c r="F199" s="36"/>
      <c r="G199" s="36">
        <f t="shared" si="25"/>
        <v>0</v>
      </c>
      <c r="H199" s="36"/>
      <c r="I199" s="36"/>
      <c r="J199" s="36">
        <f t="shared" si="28"/>
        <v>0</v>
      </c>
      <c r="K199" s="36">
        <f>28316</f>
        <v>28316</v>
      </c>
      <c r="L199" s="36">
        <f>28316</f>
        <v>28316</v>
      </c>
      <c r="M199" s="36">
        <f t="shared" si="29"/>
        <v>0</v>
      </c>
      <c r="N199" s="36"/>
      <c r="O199" s="36"/>
      <c r="P199" s="36">
        <f t="shared" si="27"/>
        <v>0</v>
      </c>
      <c r="Q199" s="36">
        <f>28316-28316</f>
        <v>0</v>
      </c>
      <c r="R199" s="36">
        <f>28316-28316</f>
        <v>0</v>
      </c>
      <c r="S199" s="36">
        <f t="shared" si="30"/>
        <v>0</v>
      </c>
      <c r="T199" s="36"/>
      <c r="U199" s="36"/>
      <c r="V199" s="36">
        <f t="shared" si="31"/>
        <v>0</v>
      </c>
      <c r="W199" s="36"/>
      <c r="X199" s="36"/>
      <c r="Y199" s="36">
        <f t="shared" si="32"/>
        <v>0</v>
      </c>
      <c r="Z199" s="36"/>
      <c r="AA199" s="36"/>
      <c r="AB199" s="36">
        <f t="shared" si="33"/>
        <v>0</v>
      </c>
    </row>
    <row r="200" spans="1:187" s="11" customFormat="1" ht="31.5">
      <c r="A200" s="35" t="s">
        <v>191</v>
      </c>
      <c r="B200" s="36">
        <f t="shared" si="26"/>
        <v>10006</v>
      </c>
      <c r="C200" s="36">
        <f t="shared" si="26"/>
        <v>10006</v>
      </c>
      <c r="D200" s="36">
        <f t="shared" si="26"/>
        <v>0</v>
      </c>
      <c r="E200" s="36"/>
      <c r="F200" s="36"/>
      <c r="G200" s="36">
        <f t="shared" si="25"/>
        <v>0</v>
      </c>
      <c r="H200" s="36"/>
      <c r="I200" s="36"/>
      <c r="J200" s="36">
        <f t="shared" si="28"/>
        <v>0</v>
      </c>
      <c r="K200" s="36">
        <f>10006</f>
        <v>10006</v>
      </c>
      <c r="L200" s="36">
        <f>10006</f>
        <v>10006</v>
      </c>
      <c r="M200" s="36">
        <f t="shared" si="29"/>
        <v>0</v>
      </c>
      <c r="N200" s="36"/>
      <c r="O200" s="36"/>
      <c r="P200" s="36">
        <f t="shared" si="27"/>
        <v>0</v>
      </c>
      <c r="Q200" s="36">
        <f>10006-10006</f>
        <v>0</v>
      </c>
      <c r="R200" s="36">
        <f>10006-10006</f>
        <v>0</v>
      </c>
      <c r="S200" s="36">
        <f t="shared" si="30"/>
        <v>0</v>
      </c>
      <c r="T200" s="36"/>
      <c r="U200" s="36"/>
      <c r="V200" s="36">
        <f t="shared" si="31"/>
        <v>0</v>
      </c>
      <c r="W200" s="36"/>
      <c r="X200" s="36"/>
      <c r="Y200" s="36">
        <f t="shared" si="32"/>
        <v>0</v>
      </c>
      <c r="Z200" s="36"/>
      <c r="AA200" s="36"/>
      <c r="AB200" s="36">
        <f t="shared" si="33"/>
        <v>0</v>
      </c>
    </row>
    <row r="201" spans="1:187" s="11" customFormat="1" ht="31.5">
      <c r="A201" s="35" t="s">
        <v>192</v>
      </c>
      <c r="B201" s="36">
        <f t="shared" si="26"/>
        <v>4594</v>
      </c>
      <c r="C201" s="36">
        <f t="shared" si="26"/>
        <v>4594</v>
      </c>
      <c r="D201" s="36">
        <f t="shared" si="26"/>
        <v>0</v>
      </c>
      <c r="E201" s="36"/>
      <c r="F201" s="36"/>
      <c r="G201" s="36">
        <f t="shared" si="25"/>
        <v>0</v>
      </c>
      <c r="H201" s="36"/>
      <c r="I201" s="36"/>
      <c r="J201" s="36">
        <f t="shared" si="28"/>
        <v>0</v>
      </c>
      <c r="K201" s="36">
        <f>4594</f>
        <v>4594</v>
      </c>
      <c r="L201" s="36">
        <f>4594</f>
        <v>4594</v>
      </c>
      <c r="M201" s="36">
        <f t="shared" si="29"/>
        <v>0</v>
      </c>
      <c r="N201" s="36"/>
      <c r="O201" s="36"/>
      <c r="P201" s="36">
        <f t="shared" si="27"/>
        <v>0</v>
      </c>
      <c r="Q201" s="36">
        <f>4594-4594</f>
        <v>0</v>
      </c>
      <c r="R201" s="36">
        <f>4594-4594</f>
        <v>0</v>
      </c>
      <c r="S201" s="36">
        <f t="shared" si="30"/>
        <v>0</v>
      </c>
      <c r="T201" s="36"/>
      <c r="U201" s="36"/>
      <c r="V201" s="36">
        <f t="shared" si="31"/>
        <v>0</v>
      </c>
      <c r="W201" s="36"/>
      <c r="X201" s="36"/>
      <c r="Y201" s="36">
        <f t="shared" si="32"/>
        <v>0</v>
      </c>
      <c r="Z201" s="36"/>
      <c r="AA201" s="36"/>
      <c r="AB201" s="36">
        <f t="shared" si="33"/>
        <v>0</v>
      </c>
    </row>
    <row r="202" spans="1:187" s="11" customFormat="1" ht="31.5">
      <c r="A202" s="35" t="s">
        <v>193</v>
      </c>
      <c r="B202" s="36">
        <f t="shared" si="26"/>
        <v>10006</v>
      </c>
      <c r="C202" s="36">
        <f t="shared" si="26"/>
        <v>10006</v>
      </c>
      <c r="D202" s="36">
        <f t="shared" si="26"/>
        <v>0</v>
      </c>
      <c r="E202" s="36"/>
      <c r="F202" s="36"/>
      <c r="G202" s="36">
        <f t="shared" si="25"/>
        <v>0</v>
      </c>
      <c r="H202" s="36"/>
      <c r="I202" s="36"/>
      <c r="J202" s="36">
        <f t="shared" si="28"/>
        <v>0</v>
      </c>
      <c r="K202" s="36">
        <f>10006</f>
        <v>10006</v>
      </c>
      <c r="L202" s="36">
        <f>10006</f>
        <v>10006</v>
      </c>
      <c r="M202" s="36">
        <f t="shared" si="29"/>
        <v>0</v>
      </c>
      <c r="N202" s="36"/>
      <c r="O202" s="36"/>
      <c r="P202" s="36">
        <f t="shared" si="27"/>
        <v>0</v>
      </c>
      <c r="Q202" s="36">
        <f>10006-10006</f>
        <v>0</v>
      </c>
      <c r="R202" s="36">
        <f>10006-10006</f>
        <v>0</v>
      </c>
      <c r="S202" s="36">
        <f t="shared" si="30"/>
        <v>0</v>
      </c>
      <c r="T202" s="36"/>
      <c r="U202" s="36"/>
      <c r="V202" s="36">
        <f t="shared" si="31"/>
        <v>0</v>
      </c>
      <c r="W202" s="36"/>
      <c r="X202" s="36"/>
      <c r="Y202" s="36">
        <f t="shared" si="32"/>
        <v>0</v>
      </c>
      <c r="Z202" s="36"/>
      <c r="AA202" s="36"/>
      <c r="AB202" s="36">
        <f t="shared" si="33"/>
        <v>0</v>
      </c>
    </row>
    <row r="203" spans="1:187" s="11" customFormat="1" ht="31.5">
      <c r="A203" s="35" t="s">
        <v>194</v>
      </c>
      <c r="B203" s="36">
        <f t="shared" si="26"/>
        <v>5378</v>
      </c>
      <c r="C203" s="36">
        <f t="shared" si="26"/>
        <v>5378</v>
      </c>
      <c r="D203" s="36">
        <f t="shared" si="26"/>
        <v>0</v>
      </c>
      <c r="E203" s="36"/>
      <c r="F203" s="36"/>
      <c r="G203" s="36">
        <f t="shared" si="25"/>
        <v>0</v>
      </c>
      <c r="H203" s="36"/>
      <c r="I203" s="36"/>
      <c r="J203" s="36">
        <f t="shared" si="28"/>
        <v>0</v>
      </c>
      <c r="K203" s="36"/>
      <c r="L203" s="36"/>
      <c r="M203" s="36">
        <f t="shared" si="29"/>
        <v>0</v>
      </c>
      <c r="N203" s="36"/>
      <c r="O203" s="36"/>
      <c r="P203" s="36">
        <f t="shared" si="27"/>
        <v>0</v>
      </c>
      <c r="Q203" s="36">
        <f>6163-785</f>
        <v>5378</v>
      </c>
      <c r="R203" s="36">
        <f>6163-785</f>
        <v>5378</v>
      </c>
      <c r="S203" s="36">
        <f t="shared" si="30"/>
        <v>0</v>
      </c>
      <c r="T203" s="36"/>
      <c r="U203" s="36"/>
      <c r="V203" s="36">
        <f t="shared" si="31"/>
        <v>0</v>
      </c>
      <c r="W203" s="36"/>
      <c r="X203" s="36"/>
      <c r="Y203" s="36">
        <f t="shared" si="32"/>
        <v>0</v>
      </c>
      <c r="Z203" s="36"/>
      <c r="AA203" s="36"/>
      <c r="AB203" s="36">
        <f t="shared" si="33"/>
        <v>0</v>
      </c>
    </row>
    <row r="204" spans="1:187" s="11" customFormat="1" ht="31.5">
      <c r="A204" s="29" t="s">
        <v>63</v>
      </c>
      <c r="B204" s="30">
        <f t="shared" si="26"/>
        <v>624460</v>
      </c>
      <c r="C204" s="30">
        <f t="shared" si="26"/>
        <v>624138</v>
      </c>
      <c r="D204" s="30">
        <f t="shared" si="26"/>
        <v>-322</v>
      </c>
      <c r="E204" s="30">
        <f t="shared" ref="E204:AB204" si="34">SUM(E205,E218,E239,E244,E252)</f>
        <v>0</v>
      </c>
      <c r="F204" s="30">
        <f t="shared" si="34"/>
        <v>0</v>
      </c>
      <c r="G204" s="30">
        <f t="shared" si="34"/>
        <v>0</v>
      </c>
      <c r="H204" s="30">
        <f t="shared" si="34"/>
        <v>0</v>
      </c>
      <c r="I204" s="30">
        <f t="shared" si="34"/>
        <v>0</v>
      </c>
      <c r="J204" s="30">
        <f t="shared" si="34"/>
        <v>0</v>
      </c>
      <c r="K204" s="30">
        <f t="shared" si="34"/>
        <v>115710</v>
      </c>
      <c r="L204" s="30">
        <f t="shared" si="34"/>
        <v>115388</v>
      </c>
      <c r="M204" s="30">
        <f t="shared" si="34"/>
        <v>-322</v>
      </c>
      <c r="N204" s="30">
        <f t="shared" si="34"/>
        <v>262176</v>
      </c>
      <c r="O204" s="30">
        <f t="shared" si="34"/>
        <v>262176</v>
      </c>
      <c r="P204" s="30">
        <f t="shared" si="34"/>
        <v>0</v>
      </c>
      <c r="Q204" s="30">
        <f t="shared" si="34"/>
        <v>196301</v>
      </c>
      <c r="R204" s="30">
        <f t="shared" si="34"/>
        <v>196301</v>
      </c>
      <c r="S204" s="30">
        <f t="shared" si="34"/>
        <v>0</v>
      </c>
      <c r="T204" s="30">
        <f t="shared" si="34"/>
        <v>0</v>
      </c>
      <c r="U204" s="30">
        <f t="shared" si="34"/>
        <v>0</v>
      </c>
      <c r="V204" s="30">
        <f t="shared" si="34"/>
        <v>0</v>
      </c>
      <c r="W204" s="30">
        <f t="shared" si="34"/>
        <v>2266</v>
      </c>
      <c r="X204" s="30">
        <f t="shared" si="34"/>
        <v>2266</v>
      </c>
      <c r="Y204" s="30">
        <f t="shared" si="34"/>
        <v>0</v>
      </c>
      <c r="Z204" s="30">
        <f t="shared" si="34"/>
        <v>48007</v>
      </c>
      <c r="AA204" s="30">
        <f t="shared" si="34"/>
        <v>48007</v>
      </c>
      <c r="AB204" s="30">
        <f t="shared" si="34"/>
        <v>0</v>
      </c>
    </row>
    <row r="205" spans="1:187" s="11" customFormat="1">
      <c r="A205" s="29" t="s">
        <v>96</v>
      </c>
      <c r="B205" s="30">
        <f t="shared" si="26"/>
        <v>126551</v>
      </c>
      <c r="C205" s="30">
        <f t="shared" si="26"/>
        <v>126229</v>
      </c>
      <c r="D205" s="30">
        <f t="shared" si="26"/>
        <v>-322</v>
      </c>
      <c r="E205" s="30">
        <f>SUM(E206:E217)</f>
        <v>0</v>
      </c>
      <c r="F205" s="30">
        <f>SUM(F206:F217)</f>
        <v>0</v>
      </c>
      <c r="G205" s="30">
        <f t="shared" ref="G205:G268" si="35">F205-E205</f>
        <v>0</v>
      </c>
      <c r="H205" s="30">
        <f>SUM(H206:H217)</f>
        <v>0</v>
      </c>
      <c r="I205" s="30">
        <f>SUM(I206:I217)</f>
        <v>0</v>
      </c>
      <c r="J205" s="30">
        <f t="shared" ref="J205:J268" si="36">I205-H205</f>
        <v>0</v>
      </c>
      <c r="K205" s="30">
        <f>SUM(K206:K217)</f>
        <v>3091</v>
      </c>
      <c r="L205" s="30">
        <f>SUM(L206:L217)</f>
        <v>2769</v>
      </c>
      <c r="M205" s="30">
        <f t="shared" ref="M205:M268" si="37">L205-K205</f>
        <v>-322</v>
      </c>
      <c r="N205" s="30">
        <f>SUM(N206:N217)</f>
        <v>104471</v>
      </c>
      <c r="O205" s="30">
        <f>SUM(O206:O217)</f>
        <v>104471</v>
      </c>
      <c r="P205" s="30">
        <f t="shared" ref="P205:P268" si="38">O205-N205</f>
        <v>0</v>
      </c>
      <c r="Q205" s="30">
        <f>SUM(Q206:Q217)</f>
        <v>18989</v>
      </c>
      <c r="R205" s="30">
        <f>SUM(R206:R217)</f>
        <v>18989</v>
      </c>
      <c r="S205" s="30">
        <f t="shared" ref="S205:S268" si="39">R205-Q205</f>
        <v>0</v>
      </c>
      <c r="T205" s="30">
        <f>SUM(T206:T217)</f>
        <v>0</v>
      </c>
      <c r="U205" s="30">
        <f>SUM(U206:U217)</f>
        <v>0</v>
      </c>
      <c r="V205" s="30">
        <f t="shared" ref="V205:V268" si="40">U205-T205</f>
        <v>0</v>
      </c>
      <c r="W205" s="30">
        <f>SUM(W206:W217)</f>
        <v>0</v>
      </c>
      <c r="X205" s="30">
        <f>SUM(X206:X217)</f>
        <v>0</v>
      </c>
      <c r="Y205" s="30">
        <f t="shared" ref="Y205:Y268" si="41">X205-W205</f>
        <v>0</v>
      </c>
      <c r="Z205" s="30">
        <f>SUM(Z206:Z217)</f>
        <v>0</v>
      </c>
      <c r="AA205" s="30">
        <f>SUM(AA206:AA217)</f>
        <v>0</v>
      </c>
      <c r="AB205" s="30">
        <f t="shared" ref="AB205:AB268" si="42">AA205-Z205</f>
        <v>0</v>
      </c>
      <c r="AC205" s="28"/>
      <c r="AD205" s="28"/>
      <c r="AE205" s="28"/>
      <c r="AF205" s="28"/>
      <c r="AG205" s="28"/>
      <c r="AH205" s="28"/>
      <c r="AI205" s="28"/>
      <c r="AJ205" s="28"/>
      <c r="AK205" s="28"/>
      <c r="AL205" s="28"/>
      <c r="AM205" s="28"/>
      <c r="AN205" s="28"/>
      <c r="AO205" s="28"/>
      <c r="AP205" s="28"/>
      <c r="AQ205" s="28"/>
      <c r="AR205" s="28"/>
      <c r="AS205" s="28"/>
      <c r="AT205" s="28"/>
      <c r="AU205" s="28"/>
      <c r="AV205" s="28"/>
      <c r="AW205" s="28"/>
      <c r="AX205" s="28"/>
      <c r="AY205" s="28"/>
      <c r="AZ205" s="28"/>
      <c r="BA205" s="28"/>
      <c r="BB205" s="28"/>
      <c r="BC205" s="28"/>
      <c r="BD205" s="28"/>
      <c r="BE205" s="28"/>
      <c r="BF205" s="28"/>
      <c r="BG205" s="28"/>
      <c r="BH205" s="28"/>
      <c r="BI205" s="28"/>
      <c r="BJ205" s="28"/>
      <c r="BK205" s="28"/>
      <c r="BL205" s="28"/>
      <c r="BM205" s="28"/>
      <c r="BN205" s="28"/>
      <c r="BO205" s="28"/>
      <c r="BP205" s="28"/>
      <c r="BQ205" s="28"/>
      <c r="BR205" s="28"/>
      <c r="BS205" s="28"/>
      <c r="BT205" s="28"/>
      <c r="BU205" s="28"/>
      <c r="BV205" s="28"/>
      <c r="BW205" s="28"/>
      <c r="BX205" s="28"/>
      <c r="BY205" s="28"/>
      <c r="BZ205" s="28"/>
      <c r="CA205" s="28"/>
      <c r="CB205" s="28"/>
      <c r="CC205" s="28"/>
      <c r="CD205" s="28"/>
      <c r="CE205" s="28"/>
      <c r="CF205" s="28"/>
      <c r="CG205" s="28"/>
      <c r="CH205" s="28"/>
      <c r="CI205" s="28"/>
      <c r="CJ205" s="28"/>
      <c r="CK205" s="28"/>
      <c r="CL205" s="28"/>
      <c r="CM205" s="28"/>
      <c r="CN205" s="28"/>
      <c r="CO205" s="28"/>
      <c r="CP205" s="28"/>
      <c r="CQ205" s="28"/>
      <c r="CR205" s="28"/>
      <c r="CS205" s="28"/>
      <c r="CT205" s="28"/>
      <c r="CU205" s="28"/>
      <c r="CV205" s="28"/>
      <c r="CW205" s="28"/>
      <c r="CX205" s="28"/>
      <c r="CY205" s="28"/>
      <c r="CZ205" s="28"/>
      <c r="DA205" s="28"/>
      <c r="DB205" s="28"/>
      <c r="DC205" s="28"/>
      <c r="DD205" s="28"/>
      <c r="DE205" s="28"/>
      <c r="DF205" s="28"/>
      <c r="DG205" s="28"/>
      <c r="DH205" s="28"/>
      <c r="DI205" s="28"/>
      <c r="DJ205" s="28"/>
      <c r="DK205" s="28"/>
      <c r="DL205" s="28"/>
      <c r="DM205" s="28"/>
      <c r="DN205" s="28"/>
      <c r="DO205" s="28"/>
      <c r="DP205" s="28"/>
      <c r="DQ205" s="28"/>
      <c r="DR205" s="28"/>
      <c r="DS205" s="28"/>
      <c r="DT205" s="28"/>
      <c r="DU205" s="28"/>
      <c r="DV205" s="28"/>
      <c r="DW205" s="28"/>
      <c r="DX205" s="28"/>
      <c r="DY205" s="28"/>
      <c r="DZ205" s="28"/>
      <c r="EA205" s="28"/>
      <c r="EB205" s="28"/>
      <c r="EC205" s="28"/>
      <c r="ED205" s="28"/>
      <c r="EE205" s="28"/>
      <c r="EF205" s="28"/>
      <c r="EG205" s="28"/>
      <c r="EH205" s="28"/>
      <c r="EI205" s="28"/>
      <c r="EJ205" s="28"/>
      <c r="EK205" s="28"/>
      <c r="EL205" s="28"/>
      <c r="EM205" s="28"/>
      <c r="EN205" s="28"/>
      <c r="EO205" s="28"/>
      <c r="EP205" s="28"/>
      <c r="EQ205" s="28"/>
      <c r="ER205" s="28"/>
      <c r="ES205" s="28"/>
      <c r="ET205" s="28"/>
      <c r="EU205" s="28"/>
      <c r="EV205" s="28"/>
      <c r="EW205" s="28"/>
      <c r="EX205" s="28"/>
      <c r="EY205" s="28"/>
      <c r="EZ205" s="28"/>
      <c r="FA205" s="28"/>
      <c r="FB205" s="28"/>
      <c r="FC205" s="28"/>
      <c r="FD205" s="28"/>
      <c r="FE205" s="28"/>
      <c r="FF205" s="28"/>
      <c r="FG205" s="28"/>
      <c r="FH205" s="28"/>
      <c r="FI205" s="28"/>
      <c r="FJ205" s="28"/>
      <c r="FK205" s="28"/>
      <c r="FL205" s="28"/>
      <c r="FM205" s="28"/>
      <c r="FN205" s="28"/>
      <c r="FO205" s="28"/>
      <c r="FP205" s="28"/>
      <c r="FQ205" s="28"/>
      <c r="FR205" s="28"/>
      <c r="FS205" s="28"/>
      <c r="FT205" s="28"/>
      <c r="FU205" s="28"/>
      <c r="FV205" s="28"/>
      <c r="FW205" s="28"/>
      <c r="FX205" s="28"/>
      <c r="FY205" s="28"/>
      <c r="FZ205" s="28"/>
      <c r="GA205" s="28"/>
      <c r="GB205" s="28"/>
      <c r="GC205" s="28"/>
      <c r="GD205" s="28"/>
      <c r="GE205" s="28"/>
    </row>
    <row r="206" spans="1:187" s="11" customFormat="1">
      <c r="A206" s="35" t="s">
        <v>195</v>
      </c>
      <c r="B206" s="36">
        <f t="shared" si="26"/>
        <v>872</v>
      </c>
      <c r="C206" s="36">
        <f t="shared" si="26"/>
        <v>872</v>
      </c>
      <c r="D206" s="36">
        <f t="shared" si="26"/>
        <v>0</v>
      </c>
      <c r="E206" s="36"/>
      <c r="F206" s="36"/>
      <c r="G206" s="36">
        <f t="shared" si="35"/>
        <v>0</v>
      </c>
      <c r="H206" s="36"/>
      <c r="I206" s="36"/>
      <c r="J206" s="36">
        <f t="shared" si="36"/>
        <v>0</v>
      </c>
      <c r="K206" s="36">
        <v>0</v>
      </c>
      <c r="L206" s="36">
        <v>0</v>
      </c>
      <c r="M206" s="36">
        <f t="shared" si="37"/>
        <v>0</v>
      </c>
      <c r="N206" s="36">
        <v>0</v>
      </c>
      <c r="O206" s="36">
        <v>0</v>
      </c>
      <c r="P206" s="36">
        <f t="shared" si="38"/>
        <v>0</v>
      </c>
      <c r="Q206" s="36">
        <f>720+152</f>
        <v>872</v>
      </c>
      <c r="R206" s="36">
        <f>720+152</f>
        <v>872</v>
      </c>
      <c r="S206" s="36">
        <f t="shared" si="39"/>
        <v>0</v>
      </c>
      <c r="T206" s="36"/>
      <c r="U206" s="36"/>
      <c r="V206" s="36">
        <f t="shared" si="40"/>
        <v>0</v>
      </c>
      <c r="W206" s="36"/>
      <c r="X206" s="36"/>
      <c r="Y206" s="36">
        <f t="shared" si="41"/>
        <v>0</v>
      </c>
      <c r="Z206" s="36"/>
      <c r="AA206" s="36"/>
      <c r="AB206" s="36">
        <f t="shared" si="42"/>
        <v>0</v>
      </c>
    </row>
    <row r="207" spans="1:187" s="11" customFormat="1" ht="41.25" customHeight="1">
      <c r="A207" s="38" t="s">
        <v>196</v>
      </c>
      <c r="B207" s="33">
        <f t="shared" si="26"/>
        <v>2939</v>
      </c>
      <c r="C207" s="33">
        <f t="shared" si="26"/>
        <v>2617</v>
      </c>
      <c r="D207" s="33">
        <f t="shared" si="26"/>
        <v>-322</v>
      </c>
      <c r="E207" s="33">
        <v>0</v>
      </c>
      <c r="F207" s="33">
        <v>0</v>
      </c>
      <c r="G207" s="33">
        <f t="shared" si="35"/>
        <v>0</v>
      </c>
      <c r="H207" s="33"/>
      <c r="I207" s="33"/>
      <c r="J207" s="33">
        <f t="shared" si="36"/>
        <v>0</v>
      </c>
      <c r="K207" s="33">
        <v>2939</v>
      </c>
      <c r="L207" s="33">
        <f>2939-322</f>
        <v>2617</v>
      </c>
      <c r="M207" s="33">
        <f t="shared" si="37"/>
        <v>-322</v>
      </c>
      <c r="N207" s="33"/>
      <c r="O207" s="33"/>
      <c r="P207" s="33">
        <f t="shared" si="38"/>
        <v>0</v>
      </c>
      <c r="Q207" s="33"/>
      <c r="R207" s="33"/>
      <c r="S207" s="33">
        <f t="shared" si="39"/>
        <v>0</v>
      </c>
      <c r="T207" s="33"/>
      <c r="U207" s="33"/>
      <c r="V207" s="33">
        <f t="shared" si="40"/>
        <v>0</v>
      </c>
      <c r="W207" s="33"/>
      <c r="X207" s="33"/>
      <c r="Y207" s="33">
        <f t="shared" si="41"/>
        <v>0</v>
      </c>
      <c r="Z207" s="33"/>
      <c r="AA207" s="33"/>
      <c r="AB207" s="33">
        <f t="shared" si="42"/>
        <v>0</v>
      </c>
    </row>
    <row r="208" spans="1:187" s="28" customFormat="1" ht="31.5">
      <c r="A208" s="38" t="s">
        <v>197</v>
      </c>
      <c r="B208" s="42">
        <f t="shared" si="26"/>
        <v>1031</v>
      </c>
      <c r="C208" s="42">
        <f t="shared" si="26"/>
        <v>1031</v>
      </c>
      <c r="D208" s="42">
        <f t="shared" si="26"/>
        <v>0</v>
      </c>
      <c r="E208" s="42"/>
      <c r="F208" s="42"/>
      <c r="G208" s="42">
        <f t="shared" si="35"/>
        <v>0</v>
      </c>
      <c r="H208" s="42"/>
      <c r="I208" s="42"/>
      <c r="J208" s="42">
        <f t="shared" si="36"/>
        <v>0</v>
      </c>
      <c r="K208" s="42">
        <v>0</v>
      </c>
      <c r="L208" s="42">
        <v>0</v>
      </c>
      <c r="M208" s="42">
        <f t="shared" si="37"/>
        <v>0</v>
      </c>
      <c r="N208" s="42">
        <v>0</v>
      </c>
      <c r="O208" s="42">
        <v>0</v>
      </c>
      <c r="P208" s="42">
        <f t="shared" si="38"/>
        <v>0</v>
      </c>
      <c r="Q208" s="42">
        <f>1320-289</f>
        <v>1031</v>
      </c>
      <c r="R208" s="42">
        <f>1320-289</f>
        <v>1031</v>
      </c>
      <c r="S208" s="42">
        <f t="shared" si="39"/>
        <v>0</v>
      </c>
      <c r="T208" s="42"/>
      <c r="U208" s="42"/>
      <c r="V208" s="42">
        <f t="shared" si="40"/>
        <v>0</v>
      </c>
      <c r="W208" s="42"/>
      <c r="X208" s="42"/>
      <c r="Y208" s="42">
        <f t="shared" si="41"/>
        <v>0</v>
      </c>
      <c r="Z208" s="42"/>
      <c r="AA208" s="42"/>
      <c r="AB208" s="42">
        <f t="shared" si="42"/>
        <v>0</v>
      </c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11"/>
      <c r="AQ208" s="11"/>
      <c r="AR208" s="11"/>
      <c r="AS208" s="11"/>
      <c r="AT208" s="11"/>
      <c r="AU208" s="11"/>
      <c r="AV208" s="11"/>
      <c r="AW208" s="11"/>
      <c r="AX208" s="11"/>
      <c r="AY208" s="11"/>
      <c r="AZ208" s="11"/>
      <c r="BA208" s="11"/>
      <c r="BB208" s="11"/>
      <c r="BC208" s="11"/>
      <c r="BD208" s="11"/>
      <c r="BE208" s="11"/>
      <c r="BF208" s="11"/>
      <c r="BG208" s="11"/>
      <c r="BH208" s="11"/>
      <c r="BI208" s="11"/>
      <c r="BJ208" s="11"/>
      <c r="BK208" s="11"/>
      <c r="BL208" s="11"/>
      <c r="BM208" s="11"/>
      <c r="BN208" s="11"/>
      <c r="BO208" s="11"/>
      <c r="BP208" s="11"/>
      <c r="BQ208" s="11"/>
      <c r="BR208" s="11"/>
      <c r="BS208" s="11"/>
      <c r="BT208" s="11"/>
      <c r="BU208" s="11"/>
      <c r="BV208" s="11"/>
      <c r="BW208" s="11"/>
      <c r="BX208" s="11"/>
      <c r="BY208" s="11"/>
      <c r="BZ208" s="11"/>
      <c r="CA208" s="11"/>
      <c r="CB208" s="11"/>
      <c r="CC208" s="11"/>
      <c r="CD208" s="11"/>
      <c r="CE208" s="11"/>
      <c r="CF208" s="11"/>
      <c r="CG208" s="11"/>
      <c r="CH208" s="11"/>
      <c r="CI208" s="11"/>
      <c r="CJ208" s="11"/>
      <c r="CK208" s="11"/>
      <c r="CL208" s="11"/>
      <c r="CM208" s="11"/>
      <c r="CN208" s="11"/>
      <c r="CO208" s="11"/>
      <c r="CP208" s="11"/>
      <c r="CQ208" s="11"/>
      <c r="CR208" s="11"/>
      <c r="CS208" s="11"/>
      <c r="CT208" s="11"/>
      <c r="CU208" s="11"/>
      <c r="CV208" s="11"/>
      <c r="CW208" s="11"/>
      <c r="CX208" s="11"/>
      <c r="CY208" s="11"/>
      <c r="CZ208" s="11"/>
      <c r="DA208" s="11"/>
      <c r="DB208" s="11"/>
      <c r="DC208" s="11"/>
      <c r="DD208" s="11"/>
      <c r="DE208" s="11"/>
      <c r="DF208" s="11"/>
      <c r="DG208" s="11"/>
      <c r="DH208" s="11"/>
      <c r="DI208" s="11"/>
      <c r="DJ208" s="11"/>
      <c r="DK208" s="11"/>
      <c r="DL208" s="11"/>
      <c r="DM208" s="11"/>
      <c r="DN208" s="11"/>
      <c r="DO208" s="11"/>
      <c r="DP208" s="11"/>
      <c r="DQ208" s="11"/>
      <c r="DR208" s="11"/>
      <c r="DS208" s="11"/>
      <c r="DT208" s="11"/>
      <c r="DU208" s="11"/>
      <c r="DV208" s="11"/>
      <c r="DW208" s="11"/>
      <c r="DX208" s="11"/>
      <c r="DY208" s="11"/>
      <c r="DZ208" s="11"/>
      <c r="EA208" s="11"/>
      <c r="EB208" s="11"/>
      <c r="EC208" s="11"/>
      <c r="ED208" s="11"/>
      <c r="EE208" s="11"/>
      <c r="EF208" s="11"/>
      <c r="EG208" s="11"/>
      <c r="EH208" s="11"/>
      <c r="EI208" s="11"/>
      <c r="EJ208" s="11"/>
      <c r="EK208" s="11"/>
      <c r="EL208" s="11"/>
      <c r="EM208" s="11"/>
      <c r="EN208" s="11"/>
      <c r="EO208" s="11"/>
      <c r="EP208" s="11"/>
      <c r="EQ208" s="11"/>
      <c r="ER208" s="11"/>
      <c r="ES208" s="11"/>
      <c r="ET208" s="11"/>
      <c r="EU208" s="11"/>
      <c r="EV208" s="11"/>
      <c r="EW208" s="11"/>
      <c r="EX208" s="11"/>
      <c r="EY208" s="11"/>
      <c r="EZ208" s="11"/>
      <c r="FA208" s="11"/>
      <c r="FB208" s="11"/>
      <c r="FC208" s="11"/>
      <c r="FD208" s="11"/>
      <c r="FE208" s="11"/>
      <c r="FF208" s="11"/>
      <c r="FG208" s="11"/>
      <c r="FH208" s="11"/>
      <c r="FI208" s="11"/>
      <c r="FJ208" s="11"/>
      <c r="FK208" s="11"/>
      <c r="FL208" s="11"/>
      <c r="FM208" s="11"/>
      <c r="FN208" s="11"/>
      <c r="FO208" s="11"/>
      <c r="FP208" s="11"/>
      <c r="FQ208" s="11"/>
      <c r="FR208" s="11"/>
      <c r="FS208" s="11"/>
      <c r="FT208" s="11"/>
      <c r="FU208" s="11"/>
      <c r="FV208" s="11"/>
      <c r="FW208" s="11"/>
      <c r="FX208" s="11"/>
      <c r="FY208" s="11"/>
      <c r="FZ208" s="11"/>
      <c r="GA208" s="11"/>
      <c r="GB208" s="11"/>
      <c r="GC208" s="11"/>
      <c r="GD208" s="11"/>
      <c r="GE208" s="11"/>
    </row>
    <row r="209" spans="1:187" s="28" customFormat="1" ht="31.5">
      <c r="A209" s="38" t="s">
        <v>198</v>
      </c>
      <c r="B209" s="42">
        <f t="shared" si="26"/>
        <v>872</v>
      </c>
      <c r="C209" s="42">
        <f t="shared" si="26"/>
        <v>872</v>
      </c>
      <c r="D209" s="42">
        <f t="shared" si="26"/>
        <v>0</v>
      </c>
      <c r="E209" s="42"/>
      <c r="F209" s="42"/>
      <c r="G209" s="42">
        <f t="shared" si="35"/>
        <v>0</v>
      </c>
      <c r="H209" s="42"/>
      <c r="I209" s="42"/>
      <c r="J209" s="42">
        <f t="shared" si="36"/>
        <v>0</v>
      </c>
      <c r="K209" s="42">
        <v>152</v>
      </c>
      <c r="L209" s="42">
        <v>152</v>
      </c>
      <c r="M209" s="42">
        <f t="shared" si="37"/>
        <v>0</v>
      </c>
      <c r="N209" s="42">
        <v>0</v>
      </c>
      <c r="O209" s="42">
        <v>0</v>
      </c>
      <c r="P209" s="42">
        <f t="shared" si="38"/>
        <v>0</v>
      </c>
      <c r="Q209" s="42">
        <f>720</f>
        <v>720</v>
      </c>
      <c r="R209" s="42">
        <f>720</f>
        <v>720</v>
      </c>
      <c r="S209" s="42">
        <f t="shared" si="39"/>
        <v>0</v>
      </c>
      <c r="T209" s="42"/>
      <c r="U209" s="42"/>
      <c r="V209" s="42">
        <f t="shared" si="40"/>
        <v>0</v>
      </c>
      <c r="W209" s="42"/>
      <c r="X209" s="42"/>
      <c r="Y209" s="42">
        <f t="shared" si="41"/>
        <v>0</v>
      </c>
      <c r="Z209" s="42"/>
      <c r="AA209" s="42"/>
      <c r="AB209" s="42">
        <f t="shared" si="42"/>
        <v>0</v>
      </c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  <c r="AP209" s="11"/>
      <c r="AQ209" s="11"/>
      <c r="AR209" s="11"/>
      <c r="AS209" s="11"/>
      <c r="AT209" s="11"/>
      <c r="AU209" s="11"/>
      <c r="AV209" s="11"/>
      <c r="AW209" s="11"/>
      <c r="AX209" s="11"/>
      <c r="AY209" s="11"/>
      <c r="AZ209" s="11"/>
      <c r="BA209" s="11"/>
      <c r="BB209" s="11"/>
      <c r="BC209" s="11"/>
      <c r="BD209" s="11"/>
      <c r="BE209" s="11"/>
      <c r="BF209" s="11"/>
      <c r="BG209" s="11"/>
      <c r="BH209" s="11"/>
      <c r="BI209" s="11"/>
      <c r="BJ209" s="11"/>
      <c r="BK209" s="11"/>
      <c r="BL209" s="11"/>
      <c r="BM209" s="11"/>
      <c r="BN209" s="11"/>
      <c r="BO209" s="11"/>
      <c r="BP209" s="11"/>
      <c r="BQ209" s="11"/>
      <c r="BR209" s="11"/>
      <c r="BS209" s="11"/>
      <c r="BT209" s="11"/>
      <c r="BU209" s="11"/>
      <c r="BV209" s="11"/>
      <c r="BW209" s="11"/>
      <c r="BX209" s="11"/>
      <c r="BY209" s="11"/>
      <c r="BZ209" s="11"/>
      <c r="CA209" s="11"/>
      <c r="CB209" s="11"/>
      <c r="CC209" s="11"/>
      <c r="CD209" s="11"/>
      <c r="CE209" s="11"/>
      <c r="CF209" s="11"/>
      <c r="CG209" s="11"/>
      <c r="CH209" s="11"/>
      <c r="CI209" s="11"/>
      <c r="CJ209" s="11"/>
      <c r="CK209" s="11"/>
      <c r="CL209" s="11"/>
      <c r="CM209" s="11"/>
      <c r="CN209" s="11"/>
      <c r="CO209" s="11"/>
      <c r="CP209" s="11"/>
      <c r="CQ209" s="11"/>
      <c r="CR209" s="11"/>
      <c r="CS209" s="11"/>
      <c r="CT209" s="11"/>
      <c r="CU209" s="11"/>
      <c r="CV209" s="11"/>
      <c r="CW209" s="11"/>
      <c r="CX209" s="11"/>
      <c r="CY209" s="11"/>
      <c r="CZ209" s="11"/>
      <c r="DA209" s="11"/>
      <c r="DB209" s="11"/>
      <c r="DC209" s="11"/>
      <c r="DD209" s="11"/>
      <c r="DE209" s="11"/>
      <c r="DF209" s="11"/>
      <c r="DG209" s="11"/>
      <c r="DH209" s="11"/>
      <c r="DI209" s="11"/>
      <c r="DJ209" s="11"/>
      <c r="DK209" s="11"/>
      <c r="DL209" s="11"/>
      <c r="DM209" s="11"/>
      <c r="DN209" s="11"/>
      <c r="DO209" s="11"/>
      <c r="DP209" s="11"/>
      <c r="DQ209" s="11"/>
      <c r="DR209" s="11"/>
      <c r="DS209" s="11"/>
      <c r="DT209" s="11"/>
      <c r="DU209" s="11"/>
      <c r="DV209" s="11"/>
      <c r="DW209" s="11"/>
      <c r="DX209" s="11"/>
      <c r="DY209" s="11"/>
      <c r="DZ209" s="11"/>
      <c r="EA209" s="11"/>
      <c r="EB209" s="11"/>
      <c r="EC209" s="11"/>
      <c r="ED209" s="11"/>
      <c r="EE209" s="11"/>
      <c r="EF209" s="11"/>
      <c r="EG209" s="11"/>
      <c r="EH209" s="11"/>
      <c r="EI209" s="11"/>
      <c r="EJ209" s="11"/>
      <c r="EK209" s="11"/>
      <c r="EL209" s="11"/>
      <c r="EM209" s="11"/>
      <c r="EN209" s="11"/>
      <c r="EO209" s="11"/>
      <c r="EP209" s="11"/>
      <c r="EQ209" s="11"/>
      <c r="ER209" s="11"/>
      <c r="ES209" s="11"/>
      <c r="ET209" s="11"/>
      <c r="EU209" s="11"/>
      <c r="EV209" s="11"/>
      <c r="EW209" s="11"/>
      <c r="EX209" s="11"/>
      <c r="EY209" s="11"/>
      <c r="EZ209" s="11"/>
      <c r="FA209" s="11"/>
      <c r="FB209" s="11"/>
      <c r="FC209" s="11"/>
      <c r="FD209" s="11"/>
      <c r="FE209" s="11"/>
      <c r="FF209" s="11"/>
      <c r="FG209" s="11"/>
      <c r="FH209" s="11"/>
      <c r="FI209" s="11"/>
      <c r="FJ209" s="11"/>
      <c r="FK209" s="11"/>
      <c r="FL209" s="11"/>
      <c r="FM209" s="11"/>
      <c r="FN209" s="11"/>
      <c r="FO209" s="11"/>
      <c r="FP209" s="11"/>
      <c r="FQ209" s="11"/>
      <c r="FR209" s="11"/>
      <c r="FS209" s="11"/>
      <c r="FT209" s="11"/>
      <c r="FU209" s="11"/>
      <c r="FV209" s="11"/>
      <c r="FW209" s="11"/>
      <c r="FX209" s="11"/>
      <c r="FY209" s="11"/>
      <c r="FZ209" s="11"/>
      <c r="GA209" s="11"/>
      <c r="GB209" s="11"/>
      <c r="GC209" s="11"/>
      <c r="GD209" s="11"/>
      <c r="GE209" s="11"/>
    </row>
    <row r="210" spans="1:187" s="28" customFormat="1" ht="31.5">
      <c r="A210" s="38" t="s">
        <v>199</v>
      </c>
      <c r="B210" s="42">
        <f t="shared" si="26"/>
        <v>12355</v>
      </c>
      <c r="C210" s="42">
        <f t="shared" si="26"/>
        <v>12355</v>
      </c>
      <c r="D210" s="42">
        <f t="shared" si="26"/>
        <v>0</v>
      </c>
      <c r="E210" s="42"/>
      <c r="F210" s="42"/>
      <c r="G210" s="42">
        <f t="shared" si="35"/>
        <v>0</v>
      </c>
      <c r="H210" s="42"/>
      <c r="I210" s="42"/>
      <c r="J210" s="42">
        <f t="shared" si="36"/>
        <v>0</v>
      </c>
      <c r="K210" s="42">
        <v>0</v>
      </c>
      <c r="L210" s="42">
        <v>0</v>
      </c>
      <c r="M210" s="42">
        <f t="shared" si="37"/>
        <v>0</v>
      </c>
      <c r="N210" s="42">
        <v>0</v>
      </c>
      <c r="O210" s="42">
        <v>0</v>
      </c>
      <c r="P210" s="42">
        <f t="shared" si="38"/>
        <v>0</v>
      </c>
      <c r="Q210" s="42">
        <v>12355</v>
      </c>
      <c r="R210" s="42">
        <v>12355</v>
      </c>
      <c r="S210" s="42">
        <f t="shared" si="39"/>
        <v>0</v>
      </c>
      <c r="T210" s="42"/>
      <c r="U210" s="42"/>
      <c r="V210" s="42">
        <f t="shared" si="40"/>
        <v>0</v>
      </c>
      <c r="W210" s="42"/>
      <c r="X210" s="42"/>
      <c r="Y210" s="42">
        <f t="shared" si="41"/>
        <v>0</v>
      </c>
      <c r="Z210" s="42"/>
      <c r="AA210" s="42"/>
      <c r="AB210" s="42">
        <f t="shared" si="42"/>
        <v>0</v>
      </c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  <c r="AQ210" s="11"/>
      <c r="AR210" s="11"/>
      <c r="AS210" s="11"/>
      <c r="AT210" s="11"/>
      <c r="AU210" s="11"/>
      <c r="AV210" s="11"/>
      <c r="AW210" s="11"/>
      <c r="AX210" s="11"/>
      <c r="AY210" s="11"/>
      <c r="AZ210" s="11"/>
      <c r="BA210" s="11"/>
      <c r="BB210" s="11"/>
      <c r="BC210" s="11"/>
      <c r="BD210" s="11"/>
      <c r="BE210" s="11"/>
      <c r="BF210" s="11"/>
      <c r="BG210" s="11"/>
      <c r="BH210" s="11"/>
      <c r="BI210" s="11"/>
      <c r="BJ210" s="11"/>
      <c r="BK210" s="11"/>
      <c r="BL210" s="11"/>
      <c r="BM210" s="11"/>
      <c r="BN210" s="11"/>
      <c r="BO210" s="11"/>
      <c r="BP210" s="11"/>
      <c r="BQ210" s="11"/>
      <c r="BR210" s="11"/>
      <c r="BS210" s="11"/>
      <c r="BT210" s="11"/>
      <c r="BU210" s="11"/>
      <c r="BV210" s="11"/>
      <c r="BW210" s="11"/>
      <c r="BX210" s="11"/>
      <c r="BY210" s="11"/>
      <c r="BZ210" s="11"/>
      <c r="CA210" s="11"/>
      <c r="CB210" s="11"/>
      <c r="CC210" s="11"/>
      <c r="CD210" s="11"/>
      <c r="CE210" s="11"/>
      <c r="CF210" s="11"/>
      <c r="CG210" s="11"/>
      <c r="CH210" s="11"/>
      <c r="CI210" s="11"/>
      <c r="CJ210" s="11"/>
      <c r="CK210" s="11"/>
      <c r="CL210" s="11"/>
      <c r="CM210" s="11"/>
      <c r="CN210" s="11"/>
      <c r="CO210" s="11"/>
      <c r="CP210" s="11"/>
      <c r="CQ210" s="11"/>
      <c r="CR210" s="11"/>
      <c r="CS210" s="11"/>
      <c r="CT210" s="11"/>
      <c r="CU210" s="11"/>
      <c r="CV210" s="11"/>
      <c r="CW210" s="11"/>
      <c r="CX210" s="11"/>
      <c r="CY210" s="11"/>
      <c r="CZ210" s="11"/>
      <c r="DA210" s="11"/>
      <c r="DB210" s="11"/>
      <c r="DC210" s="11"/>
      <c r="DD210" s="11"/>
      <c r="DE210" s="11"/>
      <c r="DF210" s="11"/>
      <c r="DG210" s="11"/>
      <c r="DH210" s="11"/>
      <c r="DI210" s="11"/>
      <c r="DJ210" s="11"/>
      <c r="DK210" s="11"/>
      <c r="DL210" s="11"/>
      <c r="DM210" s="11"/>
      <c r="DN210" s="11"/>
      <c r="DO210" s="11"/>
      <c r="DP210" s="11"/>
      <c r="DQ210" s="11"/>
      <c r="DR210" s="11"/>
      <c r="DS210" s="11"/>
      <c r="DT210" s="11"/>
      <c r="DU210" s="11"/>
      <c r="DV210" s="11"/>
      <c r="DW210" s="11"/>
      <c r="DX210" s="11"/>
      <c r="DY210" s="11"/>
      <c r="DZ210" s="11"/>
      <c r="EA210" s="11"/>
      <c r="EB210" s="11"/>
      <c r="EC210" s="11"/>
      <c r="ED210" s="11"/>
      <c r="EE210" s="11"/>
      <c r="EF210" s="11"/>
      <c r="EG210" s="11"/>
      <c r="EH210" s="11"/>
      <c r="EI210" s="11"/>
      <c r="EJ210" s="11"/>
      <c r="EK210" s="11"/>
      <c r="EL210" s="11"/>
      <c r="EM210" s="11"/>
      <c r="EN210" s="11"/>
      <c r="EO210" s="11"/>
      <c r="EP210" s="11"/>
      <c r="EQ210" s="11"/>
      <c r="ER210" s="11"/>
      <c r="ES210" s="11"/>
      <c r="ET210" s="11"/>
      <c r="EU210" s="11"/>
      <c r="EV210" s="11"/>
      <c r="EW210" s="11"/>
      <c r="EX210" s="11"/>
      <c r="EY210" s="11"/>
      <c r="EZ210" s="11"/>
      <c r="FA210" s="11"/>
      <c r="FB210" s="11"/>
      <c r="FC210" s="11"/>
      <c r="FD210" s="11"/>
      <c r="FE210" s="11"/>
      <c r="FF210" s="11"/>
      <c r="FG210" s="11"/>
      <c r="FH210" s="11"/>
      <c r="FI210" s="11"/>
      <c r="FJ210" s="11"/>
      <c r="FK210" s="11"/>
      <c r="FL210" s="11"/>
      <c r="FM210" s="11"/>
      <c r="FN210" s="11"/>
      <c r="FO210" s="11"/>
      <c r="FP210" s="11"/>
      <c r="FQ210" s="11"/>
      <c r="FR210" s="11"/>
      <c r="FS210" s="11"/>
      <c r="FT210" s="11"/>
      <c r="FU210" s="11"/>
      <c r="FV210" s="11"/>
      <c r="FW210" s="11"/>
      <c r="FX210" s="11"/>
      <c r="FY210" s="11"/>
      <c r="FZ210" s="11"/>
      <c r="GA210" s="11"/>
      <c r="GB210" s="11"/>
      <c r="GC210" s="11"/>
      <c r="GD210" s="11"/>
      <c r="GE210" s="11"/>
    </row>
    <row r="211" spans="1:187" s="28" customFormat="1" ht="47.25">
      <c r="A211" s="38" t="s">
        <v>200</v>
      </c>
      <c r="B211" s="42">
        <f t="shared" si="26"/>
        <v>2017</v>
      </c>
      <c r="C211" s="42">
        <f t="shared" si="26"/>
        <v>2017</v>
      </c>
      <c r="D211" s="42">
        <f t="shared" si="26"/>
        <v>0</v>
      </c>
      <c r="E211" s="42"/>
      <c r="F211" s="42"/>
      <c r="G211" s="42">
        <f t="shared" si="35"/>
        <v>0</v>
      </c>
      <c r="H211" s="42"/>
      <c r="I211" s="42"/>
      <c r="J211" s="42">
        <f t="shared" si="36"/>
        <v>0</v>
      </c>
      <c r="K211" s="42">
        <v>0</v>
      </c>
      <c r="L211" s="42">
        <v>0</v>
      </c>
      <c r="M211" s="42">
        <f t="shared" si="37"/>
        <v>0</v>
      </c>
      <c r="N211" s="42">
        <v>0</v>
      </c>
      <c r="O211" s="42">
        <v>0</v>
      </c>
      <c r="P211" s="42">
        <f t="shared" si="38"/>
        <v>0</v>
      </c>
      <c r="Q211" s="42">
        <f>929+960+128</f>
        <v>2017</v>
      </c>
      <c r="R211" s="42">
        <f>929+960+128</f>
        <v>2017</v>
      </c>
      <c r="S211" s="42">
        <f t="shared" si="39"/>
        <v>0</v>
      </c>
      <c r="T211" s="42"/>
      <c r="U211" s="42"/>
      <c r="V211" s="42">
        <f t="shared" si="40"/>
        <v>0</v>
      </c>
      <c r="W211" s="42"/>
      <c r="X211" s="42"/>
      <c r="Y211" s="42">
        <f t="shared" si="41"/>
        <v>0</v>
      </c>
      <c r="Z211" s="42"/>
      <c r="AA211" s="42"/>
      <c r="AB211" s="42">
        <f t="shared" si="42"/>
        <v>0</v>
      </c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  <c r="AP211" s="11"/>
      <c r="AQ211" s="11"/>
      <c r="AR211" s="11"/>
      <c r="AS211" s="11"/>
      <c r="AT211" s="11"/>
      <c r="AU211" s="11"/>
      <c r="AV211" s="11"/>
      <c r="AW211" s="11"/>
      <c r="AX211" s="11"/>
      <c r="AY211" s="11"/>
      <c r="AZ211" s="11"/>
      <c r="BA211" s="11"/>
      <c r="BB211" s="11"/>
      <c r="BC211" s="11"/>
      <c r="BD211" s="11"/>
      <c r="BE211" s="11"/>
      <c r="BF211" s="11"/>
      <c r="BG211" s="11"/>
      <c r="BH211" s="11"/>
      <c r="BI211" s="11"/>
      <c r="BJ211" s="11"/>
      <c r="BK211" s="11"/>
      <c r="BL211" s="11"/>
      <c r="BM211" s="11"/>
      <c r="BN211" s="11"/>
      <c r="BO211" s="11"/>
      <c r="BP211" s="11"/>
      <c r="BQ211" s="11"/>
      <c r="BR211" s="11"/>
      <c r="BS211" s="11"/>
      <c r="BT211" s="11"/>
      <c r="BU211" s="11"/>
      <c r="BV211" s="11"/>
      <c r="BW211" s="11"/>
      <c r="BX211" s="11"/>
      <c r="BY211" s="11"/>
      <c r="BZ211" s="11"/>
      <c r="CA211" s="11"/>
      <c r="CB211" s="11"/>
      <c r="CC211" s="11"/>
      <c r="CD211" s="11"/>
      <c r="CE211" s="11"/>
      <c r="CF211" s="11"/>
      <c r="CG211" s="11"/>
      <c r="CH211" s="11"/>
      <c r="CI211" s="11"/>
      <c r="CJ211" s="11"/>
      <c r="CK211" s="11"/>
      <c r="CL211" s="11"/>
      <c r="CM211" s="11"/>
      <c r="CN211" s="11"/>
      <c r="CO211" s="11"/>
      <c r="CP211" s="11"/>
      <c r="CQ211" s="11"/>
      <c r="CR211" s="11"/>
      <c r="CS211" s="11"/>
      <c r="CT211" s="11"/>
      <c r="CU211" s="11"/>
      <c r="CV211" s="11"/>
      <c r="CW211" s="11"/>
      <c r="CX211" s="11"/>
      <c r="CY211" s="11"/>
      <c r="CZ211" s="11"/>
      <c r="DA211" s="11"/>
      <c r="DB211" s="11"/>
      <c r="DC211" s="11"/>
      <c r="DD211" s="11"/>
      <c r="DE211" s="11"/>
      <c r="DF211" s="11"/>
      <c r="DG211" s="11"/>
      <c r="DH211" s="11"/>
      <c r="DI211" s="11"/>
      <c r="DJ211" s="11"/>
      <c r="DK211" s="11"/>
      <c r="DL211" s="11"/>
      <c r="DM211" s="11"/>
      <c r="DN211" s="11"/>
      <c r="DO211" s="11"/>
      <c r="DP211" s="11"/>
      <c r="DQ211" s="11"/>
      <c r="DR211" s="11"/>
      <c r="DS211" s="11"/>
      <c r="DT211" s="11"/>
      <c r="DU211" s="11"/>
      <c r="DV211" s="11"/>
      <c r="DW211" s="11"/>
      <c r="DX211" s="11"/>
      <c r="DY211" s="11"/>
      <c r="DZ211" s="11"/>
      <c r="EA211" s="11"/>
      <c r="EB211" s="11"/>
      <c r="EC211" s="11"/>
      <c r="ED211" s="11"/>
      <c r="EE211" s="11"/>
      <c r="EF211" s="11"/>
      <c r="EG211" s="11"/>
      <c r="EH211" s="11"/>
      <c r="EI211" s="11"/>
      <c r="EJ211" s="11"/>
      <c r="EK211" s="11"/>
      <c r="EL211" s="11"/>
      <c r="EM211" s="11"/>
      <c r="EN211" s="11"/>
      <c r="EO211" s="11"/>
      <c r="EP211" s="11"/>
      <c r="EQ211" s="11"/>
      <c r="ER211" s="11"/>
      <c r="ES211" s="11"/>
      <c r="ET211" s="11"/>
      <c r="EU211" s="11"/>
      <c r="EV211" s="11"/>
      <c r="EW211" s="11"/>
      <c r="EX211" s="11"/>
      <c r="EY211" s="11"/>
      <c r="EZ211" s="11"/>
      <c r="FA211" s="11"/>
      <c r="FB211" s="11"/>
      <c r="FC211" s="11"/>
      <c r="FD211" s="11"/>
      <c r="FE211" s="11"/>
      <c r="FF211" s="11"/>
      <c r="FG211" s="11"/>
      <c r="FH211" s="11"/>
      <c r="FI211" s="11"/>
      <c r="FJ211" s="11"/>
      <c r="FK211" s="11"/>
      <c r="FL211" s="11"/>
      <c r="FM211" s="11"/>
      <c r="FN211" s="11"/>
      <c r="FO211" s="11"/>
      <c r="FP211" s="11"/>
      <c r="FQ211" s="11"/>
      <c r="FR211" s="11"/>
      <c r="FS211" s="11"/>
      <c r="FT211" s="11"/>
      <c r="FU211" s="11"/>
      <c r="FV211" s="11"/>
      <c r="FW211" s="11"/>
      <c r="FX211" s="11"/>
      <c r="FY211" s="11"/>
      <c r="FZ211" s="11"/>
      <c r="GA211" s="11"/>
      <c r="GB211" s="11"/>
      <c r="GC211" s="11"/>
      <c r="GD211" s="11"/>
      <c r="GE211" s="11"/>
    </row>
    <row r="212" spans="1:187" s="28" customFormat="1" ht="31.5">
      <c r="A212" s="38" t="s">
        <v>201</v>
      </c>
      <c r="B212" s="42">
        <f t="shared" si="26"/>
        <v>1994</v>
      </c>
      <c r="C212" s="42">
        <f t="shared" si="26"/>
        <v>1994</v>
      </c>
      <c r="D212" s="42">
        <f t="shared" si="26"/>
        <v>0</v>
      </c>
      <c r="E212" s="42"/>
      <c r="F212" s="42"/>
      <c r="G212" s="42">
        <f t="shared" si="35"/>
        <v>0</v>
      </c>
      <c r="H212" s="42"/>
      <c r="I212" s="42"/>
      <c r="J212" s="42">
        <f t="shared" si="36"/>
        <v>0</v>
      </c>
      <c r="K212" s="42">
        <v>0</v>
      </c>
      <c r="L212" s="42">
        <v>0</v>
      </c>
      <c r="M212" s="42">
        <f t="shared" si="37"/>
        <v>0</v>
      </c>
      <c r="N212" s="42">
        <v>0</v>
      </c>
      <c r="O212" s="42">
        <v>0</v>
      </c>
      <c r="P212" s="42">
        <f t="shared" si="38"/>
        <v>0</v>
      </c>
      <c r="Q212" s="42">
        <v>1994</v>
      </c>
      <c r="R212" s="42">
        <v>1994</v>
      </c>
      <c r="S212" s="42">
        <f t="shared" si="39"/>
        <v>0</v>
      </c>
      <c r="T212" s="42"/>
      <c r="U212" s="42"/>
      <c r="V212" s="42">
        <f t="shared" si="40"/>
        <v>0</v>
      </c>
      <c r="W212" s="42"/>
      <c r="X212" s="42"/>
      <c r="Y212" s="42">
        <f t="shared" si="41"/>
        <v>0</v>
      </c>
      <c r="Z212" s="42"/>
      <c r="AA212" s="42"/>
      <c r="AB212" s="42">
        <f t="shared" si="42"/>
        <v>0</v>
      </c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11"/>
      <c r="AQ212" s="11"/>
      <c r="AR212" s="11"/>
      <c r="AS212" s="11"/>
      <c r="AT212" s="11"/>
      <c r="AU212" s="11"/>
      <c r="AV212" s="11"/>
      <c r="AW212" s="11"/>
      <c r="AX212" s="11"/>
      <c r="AY212" s="11"/>
      <c r="AZ212" s="11"/>
      <c r="BA212" s="11"/>
      <c r="BB212" s="11"/>
      <c r="BC212" s="11"/>
      <c r="BD212" s="11"/>
      <c r="BE212" s="11"/>
      <c r="BF212" s="11"/>
      <c r="BG212" s="11"/>
      <c r="BH212" s="11"/>
      <c r="BI212" s="11"/>
      <c r="BJ212" s="11"/>
      <c r="BK212" s="11"/>
      <c r="BL212" s="11"/>
      <c r="BM212" s="11"/>
      <c r="BN212" s="11"/>
      <c r="BO212" s="11"/>
      <c r="BP212" s="11"/>
      <c r="BQ212" s="11"/>
      <c r="BR212" s="11"/>
      <c r="BS212" s="11"/>
      <c r="BT212" s="11"/>
      <c r="BU212" s="11"/>
      <c r="BV212" s="11"/>
      <c r="BW212" s="11"/>
      <c r="BX212" s="11"/>
      <c r="BY212" s="11"/>
      <c r="BZ212" s="11"/>
      <c r="CA212" s="11"/>
      <c r="CB212" s="11"/>
      <c r="CC212" s="11"/>
      <c r="CD212" s="11"/>
      <c r="CE212" s="11"/>
      <c r="CF212" s="11"/>
      <c r="CG212" s="11"/>
      <c r="CH212" s="11"/>
      <c r="CI212" s="11"/>
      <c r="CJ212" s="11"/>
      <c r="CK212" s="11"/>
      <c r="CL212" s="11"/>
      <c r="CM212" s="11"/>
      <c r="CN212" s="11"/>
      <c r="CO212" s="11"/>
      <c r="CP212" s="11"/>
      <c r="CQ212" s="11"/>
      <c r="CR212" s="11"/>
      <c r="CS212" s="11"/>
      <c r="CT212" s="11"/>
      <c r="CU212" s="11"/>
      <c r="CV212" s="11"/>
      <c r="CW212" s="11"/>
      <c r="CX212" s="11"/>
      <c r="CY212" s="11"/>
      <c r="CZ212" s="11"/>
      <c r="DA212" s="11"/>
      <c r="DB212" s="11"/>
      <c r="DC212" s="11"/>
      <c r="DD212" s="11"/>
      <c r="DE212" s="11"/>
      <c r="DF212" s="11"/>
      <c r="DG212" s="11"/>
      <c r="DH212" s="11"/>
      <c r="DI212" s="11"/>
      <c r="DJ212" s="11"/>
      <c r="DK212" s="11"/>
      <c r="DL212" s="11"/>
      <c r="DM212" s="11"/>
      <c r="DN212" s="11"/>
      <c r="DO212" s="11"/>
      <c r="DP212" s="11"/>
      <c r="DQ212" s="11"/>
      <c r="DR212" s="11"/>
      <c r="DS212" s="11"/>
      <c r="DT212" s="11"/>
      <c r="DU212" s="11"/>
      <c r="DV212" s="11"/>
      <c r="DW212" s="11"/>
      <c r="DX212" s="11"/>
      <c r="DY212" s="11"/>
      <c r="DZ212" s="11"/>
      <c r="EA212" s="11"/>
      <c r="EB212" s="11"/>
      <c r="EC212" s="11"/>
      <c r="ED212" s="11"/>
      <c r="EE212" s="11"/>
      <c r="EF212" s="11"/>
      <c r="EG212" s="11"/>
      <c r="EH212" s="11"/>
      <c r="EI212" s="11"/>
      <c r="EJ212" s="11"/>
      <c r="EK212" s="11"/>
      <c r="EL212" s="11"/>
      <c r="EM212" s="11"/>
      <c r="EN212" s="11"/>
      <c r="EO212" s="11"/>
      <c r="EP212" s="11"/>
      <c r="EQ212" s="11"/>
      <c r="ER212" s="11"/>
      <c r="ES212" s="11"/>
      <c r="ET212" s="11"/>
      <c r="EU212" s="11"/>
      <c r="EV212" s="11"/>
      <c r="EW212" s="11"/>
      <c r="EX212" s="11"/>
      <c r="EY212" s="11"/>
      <c r="EZ212" s="11"/>
      <c r="FA212" s="11"/>
      <c r="FB212" s="11"/>
      <c r="FC212" s="11"/>
      <c r="FD212" s="11"/>
      <c r="FE212" s="11"/>
      <c r="FF212" s="11"/>
      <c r="FG212" s="11"/>
      <c r="FH212" s="11"/>
      <c r="FI212" s="11"/>
      <c r="FJ212" s="11"/>
      <c r="FK212" s="11"/>
      <c r="FL212" s="11"/>
      <c r="FM212" s="11"/>
      <c r="FN212" s="11"/>
      <c r="FO212" s="11"/>
      <c r="FP212" s="11"/>
      <c r="FQ212" s="11"/>
      <c r="FR212" s="11"/>
      <c r="FS212" s="11"/>
      <c r="FT212" s="11"/>
      <c r="FU212" s="11"/>
      <c r="FV212" s="11"/>
      <c r="FW212" s="11"/>
      <c r="FX212" s="11"/>
      <c r="FY212" s="11"/>
      <c r="FZ212" s="11"/>
      <c r="GA212" s="11"/>
      <c r="GB212" s="11"/>
      <c r="GC212" s="11"/>
      <c r="GD212" s="11"/>
      <c r="GE212" s="11"/>
    </row>
    <row r="213" spans="1:187" s="11" customFormat="1" ht="47.25">
      <c r="A213" s="38" t="s">
        <v>202</v>
      </c>
      <c r="B213" s="33">
        <f t="shared" si="26"/>
        <v>30000</v>
      </c>
      <c r="C213" s="33">
        <f t="shared" si="26"/>
        <v>30000</v>
      </c>
      <c r="D213" s="33">
        <f t="shared" si="26"/>
        <v>0</v>
      </c>
      <c r="E213" s="33"/>
      <c r="F213" s="33"/>
      <c r="G213" s="33">
        <f t="shared" si="35"/>
        <v>0</v>
      </c>
      <c r="H213" s="33"/>
      <c r="I213" s="33"/>
      <c r="J213" s="33">
        <f t="shared" si="36"/>
        <v>0</v>
      </c>
      <c r="K213" s="33">
        <v>0</v>
      </c>
      <c r="L213" s="33">
        <v>0</v>
      </c>
      <c r="M213" s="33">
        <f t="shared" si="37"/>
        <v>0</v>
      </c>
      <c r="N213" s="33">
        <v>30000</v>
      </c>
      <c r="O213" s="33">
        <v>30000</v>
      </c>
      <c r="P213" s="33">
        <f t="shared" si="38"/>
        <v>0</v>
      </c>
      <c r="Q213" s="33">
        <v>0</v>
      </c>
      <c r="R213" s="33">
        <v>0</v>
      </c>
      <c r="S213" s="33">
        <f t="shared" si="39"/>
        <v>0</v>
      </c>
      <c r="T213" s="33"/>
      <c r="U213" s="33"/>
      <c r="V213" s="33">
        <f t="shared" si="40"/>
        <v>0</v>
      </c>
      <c r="W213" s="33"/>
      <c r="X213" s="33"/>
      <c r="Y213" s="33">
        <f t="shared" si="41"/>
        <v>0</v>
      </c>
      <c r="Z213" s="33"/>
      <c r="AA213" s="33"/>
      <c r="AB213" s="33">
        <f t="shared" si="42"/>
        <v>0</v>
      </c>
    </row>
    <row r="214" spans="1:187" s="11" customFormat="1" ht="52.5" customHeight="1">
      <c r="A214" s="38" t="s">
        <v>203</v>
      </c>
      <c r="B214" s="33">
        <f t="shared" si="26"/>
        <v>52246</v>
      </c>
      <c r="C214" s="33">
        <f t="shared" si="26"/>
        <v>52246</v>
      </c>
      <c r="D214" s="33">
        <f t="shared" si="26"/>
        <v>0</v>
      </c>
      <c r="E214" s="33"/>
      <c r="F214" s="33"/>
      <c r="G214" s="33">
        <f t="shared" si="35"/>
        <v>0</v>
      </c>
      <c r="H214" s="33"/>
      <c r="I214" s="33"/>
      <c r="J214" s="33">
        <f t="shared" si="36"/>
        <v>0</v>
      </c>
      <c r="K214" s="33">
        <v>0</v>
      </c>
      <c r="L214" s="33">
        <v>0</v>
      </c>
      <c r="M214" s="33">
        <f t="shared" si="37"/>
        <v>0</v>
      </c>
      <c r="N214" s="33">
        <v>52246</v>
      </c>
      <c r="O214" s="33">
        <v>52246</v>
      </c>
      <c r="P214" s="33">
        <f t="shared" si="38"/>
        <v>0</v>
      </c>
      <c r="Q214" s="33">
        <v>0</v>
      </c>
      <c r="R214" s="33">
        <v>0</v>
      </c>
      <c r="S214" s="33">
        <f t="shared" si="39"/>
        <v>0</v>
      </c>
      <c r="T214" s="33"/>
      <c r="U214" s="33"/>
      <c r="V214" s="33">
        <f t="shared" si="40"/>
        <v>0</v>
      </c>
      <c r="W214" s="33"/>
      <c r="X214" s="33"/>
      <c r="Y214" s="33">
        <f t="shared" si="41"/>
        <v>0</v>
      </c>
      <c r="Z214" s="33"/>
      <c r="AA214" s="33"/>
      <c r="AB214" s="33">
        <f t="shared" si="42"/>
        <v>0</v>
      </c>
    </row>
    <row r="215" spans="1:187" s="11" customFormat="1" ht="78.75">
      <c r="A215" s="38" t="s">
        <v>204</v>
      </c>
      <c r="B215" s="33">
        <f t="shared" si="26"/>
        <v>9000</v>
      </c>
      <c r="C215" s="33">
        <f t="shared" si="26"/>
        <v>9000</v>
      </c>
      <c r="D215" s="33">
        <f t="shared" si="26"/>
        <v>0</v>
      </c>
      <c r="E215" s="33"/>
      <c r="F215" s="33"/>
      <c r="G215" s="33">
        <f t="shared" si="35"/>
        <v>0</v>
      </c>
      <c r="H215" s="33"/>
      <c r="I215" s="33"/>
      <c r="J215" s="33">
        <f t="shared" si="36"/>
        <v>0</v>
      </c>
      <c r="K215" s="33">
        <v>0</v>
      </c>
      <c r="L215" s="33">
        <v>0</v>
      </c>
      <c r="M215" s="33">
        <f t="shared" si="37"/>
        <v>0</v>
      </c>
      <c r="N215" s="33">
        <v>9000</v>
      </c>
      <c r="O215" s="33">
        <v>9000</v>
      </c>
      <c r="P215" s="33">
        <f t="shared" si="38"/>
        <v>0</v>
      </c>
      <c r="Q215" s="33">
        <v>0</v>
      </c>
      <c r="R215" s="33">
        <v>0</v>
      </c>
      <c r="S215" s="33">
        <f t="shared" si="39"/>
        <v>0</v>
      </c>
      <c r="T215" s="33"/>
      <c r="U215" s="33"/>
      <c r="V215" s="33">
        <f t="shared" si="40"/>
        <v>0</v>
      </c>
      <c r="W215" s="33"/>
      <c r="X215" s="33"/>
      <c r="Y215" s="33">
        <f t="shared" si="41"/>
        <v>0</v>
      </c>
      <c r="Z215" s="33"/>
      <c r="AA215" s="33"/>
      <c r="AB215" s="33">
        <f t="shared" si="42"/>
        <v>0</v>
      </c>
    </row>
    <row r="216" spans="1:187" s="11" customFormat="1" ht="78.75">
      <c r="A216" s="38" t="s">
        <v>205</v>
      </c>
      <c r="B216" s="33">
        <f t="shared" si="26"/>
        <v>2000</v>
      </c>
      <c r="C216" s="33">
        <f t="shared" si="26"/>
        <v>2000</v>
      </c>
      <c r="D216" s="33">
        <f t="shared" si="26"/>
        <v>0</v>
      </c>
      <c r="E216" s="33"/>
      <c r="F216" s="33"/>
      <c r="G216" s="33">
        <f t="shared" si="35"/>
        <v>0</v>
      </c>
      <c r="H216" s="33"/>
      <c r="I216" s="33"/>
      <c r="J216" s="33">
        <f t="shared" si="36"/>
        <v>0</v>
      </c>
      <c r="K216" s="33">
        <v>0</v>
      </c>
      <c r="L216" s="33">
        <v>0</v>
      </c>
      <c r="M216" s="33">
        <f t="shared" si="37"/>
        <v>0</v>
      </c>
      <c r="N216" s="33">
        <v>2000</v>
      </c>
      <c r="O216" s="33">
        <v>2000</v>
      </c>
      <c r="P216" s="33">
        <f t="shared" si="38"/>
        <v>0</v>
      </c>
      <c r="Q216" s="33">
        <v>0</v>
      </c>
      <c r="R216" s="33">
        <v>0</v>
      </c>
      <c r="S216" s="33">
        <f t="shared" si="39"/>
        <v>0</v>
      </c>
      <c r="T216" s="33"/>
      <c r="U216" s="33"/>
      <c r="V216" s="33">
        <f t="shared" si="40"/>
        <v>0</v>
      </c>
      <c r="W216" s="33"/>
      <c r="X216" s="33"/>
      <c r="Y216" s="33">
        <f t="shared" si="41"/>
        <v>0</v>
      </c>
      <c r="Z216" s="33"/>
      <c r="AA216" s="33"/>
      <c r="AB216" s="33">
        <f t="shared" si="42"/>
        <v>0</v>
      </c>
    </row>
    <row r="217" spans="1:187" s="11" customFormat="1" ht="94.5">
      <c r="A217" s="38" t="s">
        <v>206</v>
      </c>
      <c r="B217" s="33">
        <f t="shared" ref="B217:D290" si="43">E217+H217+K217+N217+Q217+T217+W217+Z217</f>
        <v>11225</v>
      </c>
      <c r="C217" s="33">
        <f t="shared" si="43"/>
        <v>11225</v>
      </c>
      <c r="D217" s="33">
        <f t="shared" si="43"/>
        <v>0</v>
      </c>
      <c r="E217" s="33"/>
      <c r="F217" s="33"/>
      <c r="G217" s="33">
        <f t="shared" si="35"/>
        <v>0</v>
      </c>
      <c r="H217" s="33"/>
      <c r="I217" s="33"/>
      <c r="J217" s="33">
        <f t="shared" si="36"/>
        <v>0</v>
      </c>
      <c r="K217" s="33">
        <v>0</v>
      </c>
      <c r="L217" s="33">
        <v>0</v>
      </c>
      <c r="M217" s="33">
        <f t="shared" si="37"/>
        <v>0</v>
      </c>
      <c r="N217" s="33">
        <v>11225</v>
      </c>
      <c r="O217" s="33">
        <v>11225</v>
      </c>
      <c r="P217" s="33">
        <f t="shared" si="38"/>
        <v>0</v>
      </c>
      <c r="Q217" s="33">
        <v>0</v>
      </c>
      <c r="R217" s="33">
        <v>0</v>
      </c>
      <c r="S217" s="33">
        <f t="shared" si="39"/>
        <v>0</v>
      </c>
      <c r="T217" s="33"/>
      <c r="U217" s="33"/>
      <c r="V217" s="33">
        <f t="shared" si="40"/>
        <v>0</v>
      </c>
      <c r="W217" s="33"/>
      <c r="X217" s="33"/>
      <c r="Y217" s="33">
        <f t="shared" si="41"/>
        <v>0</v>
      </c>
      <c r="Z217" s="33"/>
      <c r="AA217" s="33"/>
      <c r="AB217" s="33">
        <f t="shared" si="42"/>
        <v>0</v>
      </c>
    </row>
    <row r="218" spans="1:187" s="11" customFormat="1" ht="31.5">
      <c r="A218" s="29" t="s">
        <v>103</v>
      </c>
      <c r="B218" s="30">
        <f t="shared" si="43"/>
        <v>163347</v>
      </c>
      <c r="C218" s="30">
        <f t="shared" si="43"/>
        <v>163347</v>
      </c>
      <c r="D218" s="30">
        <f t="shared" si="43"/>
        <v>0</v>
      </c>
      <c r="E218" s="30">
        <f>SUM(E219:E238)</f>
        <v>0</v>
      </c>
      <c r="F218" s="30">
        <f>SUM(F219:F238)</f>
        <v>0</v>
      </c>
      <c r="G218" s="30">
        <f t="shared" si="35"/>
        <v>0</v>
      </c>
      <c r="H218" s="30">
        <f>SUM(H219:H238)</f>
        <v>0</v>
      </c>
      <c r="I218" s="30">
        <f>SUM(I219:I238)</f>
        <v>0</v>
      </c>
      <c r="J218" s="30">
        <f t="shared" si="36"/>
        <v>0</v>
      </c>
      <c r="K218" s="30">
        <f>SUM(K219:K238)</f>
        <v>76355</v>
      </c>
      <c r="L218" s="30">
        <f>SUM(L219:L238)</f>
        <v>76355</v>
      </c>
      <c r="M218" s="30">
        <f t="shared" si="37"/>
        <v>0</v>
      </c>
      <c r="N218" s="30">
        <f>SUM(N219:N238)</f>
        <v>36327</v>
      </c>
      <c r="O218" s="30">
        <f>SUM(O219:O238)</f>
        <v>36327</v>
      </c>
      <c r="P218" s="30">
        <f t="shared" si="38"/>
        <v>0</v>
      </c>
      <c r="Q218" s="30">
        <f>SUM(Q219:Q238)</f>
        <v>33572</v>
      </c>
      <c r="R218" s="30">
        <f>SUM(R219:R238)</f>
        <v>33572</v>
      </c>
      <c r="S218" s="30">
        <f t="shared" si="39"/>
        <v>0</v>
      </c>
      <c r="T218" s="30">
        <f>SUM(T219:T238)</f>
        <v>0</v>
      </c>
      <c r="U218" s="30">
        <f>SUM(U219:U238)</f>
        <v>0</v>
      </c>
      <c r="V218" s="30">
        <f t="shared" si="40"/>
        <v>0</v>
      </c>
      <c r="W218" s="30">
        <f>SUM(W219:W238)</f>
        <v>2266</v>
      </c>
      <c r="X218" s="30">
        <f>SUM(X219:X238)</f>
        <v>2266</v>
      </c>
      <c r="Y218" s="30">
        <f t="shared" si="41"/>
        <v>0</v>
      </c>
      <c r="Z218" s="30">
        <f>SUM(Z219:Z238)</f>
        <v>14827</v>
      </c>
      <c r="AA218" s="30">
        <f>SUM(AA219:AA238)</f>
        <v>14827</v>
      </c>
      <c r="AB218" s="30">
        <f t="shared" si="42"/>
        <v>0</v>
      </c>
    </row>
    <row r="219" spans="1:187" s="11" customFormat="1" ht="94.5">
      <c r="A219" s="38" t="s">
        <v>207</v>
      </c>
      <c r="B219" s="33">
        <f t="shared" si="43"/>
        <v>4684</v>
      </c>
      <c r="C219" s="33">
        <f t="shared" si="43"/>
        <v>4684</v>
      </c>
      <c r="D219" s="33">
        <f t="shared" si="43"/>
        <v>0</v>
      </c>
      <c r="E219" s="33"/>
      <c r="F219" s="33"/>
      <c r="G219" s="33">
        <f t="shared" si="35"/>
        <v>0</v>
      </c>
      <c r="H219" s="33"/>
      <c r="I219" s="33"/>
      <c r="J219" s="33">
        <f t="shared" si="36"/>
        <v>0</v>
      </c>
      <c r="K219" s="33"/>
      <c r="L219" s="33"/>
      <c r="M219" s="33">
        <f t="shared" si="37"/>
        <v>0</v>
      </c>
      <c r="N219" s="33">
        <v>4684</v>
      </c>
      <c r="O219" s="33">
        <v>4684</v>
      </c>
      <c r="P219" s="33">
        <f t="shared" si="38"/>
        <v>0</v>
      </c>
      <c r="Q219" s="33">
        <v>0</v>
      </c>
      <c r="R219" s="33">
        <v>0</v>
      </c>
      <c r="S219" s="33">
        <f t="shared" si="39"/>
        <v>0</v>
      </c>
      <c r="T219" s="33"/>
      <c r="U219" s="33"/>
      <c r="V219" s="33">
        <f t="shared" si="40"/>
        <v>0</v>
      </c>
      <c r="W219" s="33"/>
      <c r="X219" s="33"/>
      <c r="Y219" s="33">
        <f t="shared" si="41"/>
        <v>0</v>
      </c>
      <c r="Z219" s="33"/>
      <c r="AA219" s="33"/>
      <c r="AB219" s="33">
        <f t="shared" si="42"/>
        <v>0</v>
      </c>
    </row>
    <row r="220" spans="1:187" s="11" customFormat="1" ht="94.5">
      <c r="A220" s="38" t="s">
        <v>208</v>
      </c>
      <c r="B220" s="33">
        <f t="shared" si="43"/>
        <v>18000</v>
      </c>
      <c r="C220" s="33">
        <f t="shared" si="43"/>
        <v>18000</v>
      </c>
      <c r="D220" s="33">
        <f t="shared" si="43"/>
        <v>0</v>
      </c>
      <c r="E220" s="33"/>
      <c r="F220" s="33"/>
      <c r="G220" s="33">
        <f t="shared" si="35"/>
        <v>0</v>
      </c>
      <c r="H220" s="33"/>
      <c r="I220" s="33"/>
      <c r="J220" s="33">
        <f t="shared" si="36"/>
        <v>0</v>
      </c>
      <c r="K220" s="33"/>
      <c r="L220" s="33"/>
      <c r="M220" s="33">
        <f t="shared" si="37"/>
        <v>0</v>
      </c>
      <c r="N220" s="33">
        <v>18000</v>
      </c>
      <c r="O220" s="33">
        <v>18000</v>
      </c>
      <c r="P220" s="33">
        <f t="shared" si="38"/>
        <v>0</v>
      </c>
      <c r="Q220" s="33">
        <v>0</v>
      </c>
      <c r="R220" s="33">
        <v>0</v>
      </c>
      <c r="S220" s="33">
        <f t="shared" si="39"/>
        <v>0</v>
      </c>
      <c r="T220" s="33"/>
      <c r="U220" s="33"/>
      <c r="V220" s="33">
        <f t="shared" si="40"/>
        <v>0</v>
      </c>
      <c r="W220" s="33"/>
      <c r="X220" s="33"/>
      <c r="Y220" s="33">
        <f t="shared" si="41"/>
        <v>0</v>
      </c>
      <c r="Z220" s="33"/>
      <c r="AA220" s="33"/>
      <c r="AB220" s="33">
        <f t="shared" si="42"/>
        <v>0</v>
      </c>
    </row>
    <row r="221" spans="1:187" s="11" customFormat="1" ht="47.25">
      <c r="A221" s="38" t="s">
        <v>209</v>
      </c>
      <c r="B221" s="33">
        <f t="shared" si="43"/>
        <v>2395</v>
      </c>
      <c r="C221" s="33">
        <f t="shared" si="43"/>
        <v>2395</v>
      </c>
      <c r="D221" s="33">
        <f t="shared" si="43"/>
        <v>0</v>
      </c>
      <c r="E221" s="33"/>
      <c r="F221" s="33"/>
      <c r="G221" s="33">
        <f t="shared" si="35"/>
        <v>0</v>
      </c>
      <c r="H221" s="33"/>
      <c r="I221" s="33"/>
      <c r="J221" s="33">
        <f t="shared" si="36"/>
        <v>0</v>
      </c>
      <c r="K221" s="33"/>
      <c r="L221" s="33"/>
      <c r="M221" s="33">
        <f t="shared" si="37"/>
        <v>0</v>
      </c>
      <c r="N221" s="33">
        <f>1500+895</f>
        <v>2395</v>
      </c>
      <c r="O221" s="33">
        <f>1500+895</f>
        <v>2395</v>
      </c>
      <c r="P221" s="33">
        <f t="shared" si="38"/>
        <v>0</v>
      </c>
      <c r="Q221" s="33"/>
      <c r="R221" s="33"/>
      <c r="S221" s="33">
        <f t="shared" si="39"/>
        <v>0</v>
      </c>
      <c r="T221" s="33"/>
      <c r="U221" s="33"/>
      <c r="V221" s="33">
        <f t="shared" si="40"/>
        <v>0</v>
      </c>
      <c r="W221" s="33"/>
      <c r="X221" s="33"/>
      <c r="Y221" s="33">
        <f t="shared" si="41"/>
        <v>0</v>
      </c>
      <c r="Z221" s="33"/>
      <c r="AA221" s="33"/>
      <c r="AB221" s="33">
        <f t="shared" si="42"/>
        <v>0</v>
      </c>
    </row>
    <row r="222" spans="1:187" s="11" customFormat="1" ht="78.75">
      <c r="A222" s="38" t="s">
        <v>210</v>
      </c>
      <c r="B222" s="33">
        <f t="shared" si="43"/>
        <v>7500</v>
      </c>
      <c r="C222" s="33">
        <f t="shared" si="43"/>
        <v>7500</v>
      </c>
      <c r="D222" s="33">
        <f t="shared" si="43"/>
        <v>0</v>
      </c>
      <c r="E222" s="33"/>
      <c r="F222" s="33"/>
      <c r="G222" s="33">
        <f t="shared" si="35"/>
        <v>0</v>
      </c>
      <c r="H222" s="33"/>
      <c r="I222" s="33"/>
      <c r="J222" s="33">
        <f t="shared" si="36"/>
        <v>0</v>
      </c>
      <c r="K222" s="33">
        <v>0</v>
      </c>
      <c r="L222" s="33">
        <v>0</v>
      </c>
      <c r="M222" s="33">
        <f t="shared" si="37"/>
        <v>0</v>
      </c>
      <c r="N222" s="33">
        <v>7500</v>
      </c>
      <c r="O222" s="33">
        <v>7500</v>
      </c>
      <c r="P222" s="33">
        <f t="shared" si="38"/>
        <v>0</v>
      </c>
      <c r="Q222" s="33">
        <v>0</v>
      </c>
      <c r="R222" s="33">
        <v>0</v>
      </c>
      <c r="S222" s="33">
        <f t="shared" si="39"/>
        <v>0</v>
      </c>
      <c r="T222" s="33"/>
      <c r="U222" s="33"/>
      <c r="V222" s="33">
        <f t="shared" si="40"/>
        <v>0</v>
      </c>
      <c r="W222" s="33"/>
      <c r="X222" s="33"/>
      <c r="Y222" s="33">
        <f t="shared" si="41"/>
        <v>0</v>
      </c>
      <c r="Z222" s="33"/>
      <c r="AA222" s="33"/>
      <c r="AB222" s="33">
        <f t="shared" si="42"/>
        <v>0</v>
      </c>
    </row>
    <row r="223" spans="1:187" s="28" customFormat="1" ht="63">
      <c r="A223" s="38" t="s">
        <v>211</v>
      </c>
      <c r="B223" s="42">
        <f t="shared" si="43"/>
        <v>3748</v>
      </c>
      <c r="C223" s="42">
        <f t="shared" si="43"/>
        <v>3748</v>
      </c>
      <c r="D223" s="42">
        <f t="shared" si="43"/>
        <v>0</v>
      </c>
      <c r="E223" s="42"/>
      <c r="F223" s="42"/>
      <c r="G223" s="42">
        <f t="shared" si="35"/>
        <v>0</v>
      </c>
      <c r="H223" s="42"/>
      <c r="I223" s="42"/>
      <c r="J223" s="42">
        <f t="shared" si="36"/>
        <v>0</v>
      </c>
      <c r="K223" s="42"/>
      <c r="L223" s="42"/>
      <c r="M223" s="42">
        <f t="shared" si="37"/>
        <v>0</v>
      </c>
      <c r="N223" s="42">
        <v>3748</v>
      </c>
      <c r="O223" s="42">
        <v>3748</v>
      </c>
      <c r="P223" s="42">
        <f t="shared" si="38"/>
        <v>0</v>
      </c>
      <c r="Q223" s="42">
        <v>0</v>
      </c>
      <c r="R223" s="42">
        <v>0</v>
      </c>
      <c r="S223" s="42">
        <f t="shared" si="39"/>
        <v>0</v>
      </c>
      <c r="T223" s="42"/>
      <c r="U223" s="42"/>
      <c r="V223" s="42">
        <f t="shared" si="40"/>
        <v>0</v>
      </c>
      <c r="W223" s="42"/>
      <c r="X223" s="42"/>
      <c r="Y223" s="42">
        <f t="shared" si="41"/>
        <v>0</v>
      </c>
      <c r="Z223" s="42"/>
      <c r="AA223" s="42"/>
      <c r="AB223" s="42">
        <f t="shared" si="42"/>
        <v>0</v>
      </c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  <c r="AO223" s="11"/>
      <c r="AP223" s="11"/>
      <c r="AQ223" s="11"/>
      <c r="AR223" s="11"/>
      <c r="AS223" s="11"/>
      <c r="AT223" s="11"/>
      <c r="AU223" s="11"/>
      <c r="AV223" s="11"/>
      <c r="AW223" s="11"/>
      <c r="AX223" s="11"/>
      <c r="AY223" s="11"/>
      <c r="AZ223" s="11"/>
      <c r="BA223" s="11"/>
      <c r="BB223" s="11"/>
      <c r="BC223" s="11"/>
      <c r="BD223" s="11"/>
      <c r="BE223" s="11"/>
      <c r="BF223" s="11"/>
      <c r="BG223" s="11"/>
      <c r="BH223" s="11"/>
      <c r="BI223" s="11"/>
      <c r="BJ223" s="11"/>
      <c r="BK223" s="11"/>
      <c r="BL223" s="11"/>
      <c r="BM223" s="11"/>
      <c r="BN223" s="11"/>
      <c r="BO223" s="11"/>
      <c r="BP223" s="11"/>
      <c r="BQ223" s="11"/>
      <c r="BR223" s="11"/>
      <c r="BS223" s="11"/>
      <c r="BT223" s="11"/>
      <c r="BU223" s="11"/>
      <c r="BV223" s="11"/>
      <c r="BW223" s="11"/>
      <c r="BX223" s="11"/>
      <c r="BY223" s="11"/>
      <c r="BZ223" s="11"/>
      <c r="CA223" s="11"/>
      <c r="CB223" s="11"/>
      <c r="CC223" s="11"/>
      <c r="CD223" s="11"/>
      <c r="CE223" s="11"/>
      <c r="CF223" s="11"/>
      <c r="CG223" s="11"/>
      <c r="CH223" s="11"/>
      <c r="CI223" s="11"/>
      <c r="CJ223" s="11"/>
      <c r="CK223" s="11"/>
      <c r="CL223" s="11"/>
      <c r="CM223" s="11"/>
      <c r="CN223" s="11"/>
      <c r="CO223" s="11"/>
      <c r="CP223" s="11"/>
      <c r="CQ223" s="11"/>
      <c r="CR223" s="11"/>
      <c r="CS223" s="11"/>
      <c r="CT223" s="11"/>
      <c r="CU223" s="11"/>
      <c r="CV223" s="11"/>
      <c r="CW223" s="11"/>
      <c r="CX223" s="11"/>
      <c r="CY223" s="11"/>
      <c r="CZ223" s="11"/>
      <c r="DA223" s="11"/>
      <c r="DB223" s="11"/>
      <c r="DC223" s="11"/>
      <c r="DD223" s="11"/>
      <c r="DE223" s="11"/>
      <c r="DF223" s="11"/>
      <c r="DG223" s="11"/>
      <c r="DH223" s="11"/>
      <c r="DI223" s="11"/>
      <c r="DJ223" s="11"/>
      <c r="DK223" s="11"/>
      <c r="DL223" s="11"/>
      <c r="DM223" s="11"/>
      <c r="DN223" s="11"/>
      <c r="DO223" s="11"/>
      <c r="DP223" s="11"/>
      <c r="DQ223" s="11"/>
      <c r="DR223" s="11"/>
      <c r="DS223" s="11"/>
      <c r="DT223" s="11"/>
      <c r="DU223" s="11"/>
      <c r="DV223" s="11"/>
      <c r="DW223" s="11"/>
      <c r="DX223" s="11"/>
      <c r="DY223" s="11"/>
      <c r="DZ223" s="11"/>
      <c r="EA223" s="11"/>
      <c r="EB223" s="11"/>
      <c r="EC223" s="11"/>
      <c r="ED223" s="11"/>
      <c r="EE223" s="11"/>
      <c r="EF223" s="11"/>
      <c r="EG223" s="11"/>
      <c r="EH223" s="11"/>
      <c r="EI223" s="11"/>
      <c r="EJ223" s="11"/>
      <c r="EK223" s="11"/>
      <c r="EL223" s="11"/>
      <c r="EM223" s="11"/>
      <c r="EN223" s="11"/>
      <c r="EO223" s="11"/>
      <c r="EP223" s="11"/>
      <c r="EQ223" s="11"/>
      <c r="ER223" s="11"/>
      <c r="ES223" s="11"/>
      <c r="ET223" s="11"/>
      <c r="EU223" s="11"/>
      <c r="EV223" s="11"/>
      <c r="EW223" s="11"/>
      <c r="EX223" s="11"/>
      <c r="EY223" s="11"/>
      <c r="EZ223" s="11"/>
      <c r="FA223" s="11"/>
      <c r="FB223" s="11"/>
      <c r="FC223" s="11"/>
      <c r="FD223" s="11"/>
      <c r="FE223" s="11"/>
      <c r="FF223" s="11"/>
      <c r="FG223" s="11"/>
      <c r="FH223" s="11"/>
      <c r="FI223" s="11"/>
      <c r="FJ223" s="11"/>
      <c r="FK223" s="11"/>
      <c r="FL223" s="11"/>
      <c r="FM223" s="11"/>
      <c r="FN223" s="11"/>
      <c r="FO223" s="11"/>
      <c r="FP223" s="11"/>
      <c r="FQ223" s="11"/>
      <c r="FR223" s="11"/>
      <c r="FS223" s="11"/>
      <c r="FT223" s="11"/>
      <c r="FU223" s="11"/>
      <c r="FV223" s="11"/>
      <c r="FW223" s="11"/>
      <c r="FX223" s="11"/>
      <c r="FY223" s="11"/>
      <c r="FZ223" s="11"/>
      <c r="GA223" s="11"/>
      <c r="GB223" s="11"/>
      <c r="GC223" s="11"/>
      <c r="GD223" s="11"/>
      <c r="GE223" s="11"/>
    </row>
    <row r="224" spans="1:187" s="28" customFormat="1">
      <c r="A224" s="38" t="s">
        <v>212</v>
      </c>
      <c r="B224" s="42">
        <f t="shared" si="43"/>
        <v>2674</v>
      </c>
      <c r="C224" s="42">
        <f t="shared" si="43"/>
        <v>2674</v>
      </c>
      <c r="D224" s="42">
        <f t="shared" si="43"/>
        <v>0</v>
      </c>
      <c r="E224" s="42"/>
      <c r="F224" s="42"/>
      <c r="G224" s="42">
        <f t="shared" si="35"/>
        <v>0</v>
      </c>
      <c r="H224" s="42"/>
      <c r="I224" s="42"/>
      <c r="J224" s="42">
        <f t="shared" si="36"/>
        <v>0</v>
      </c>
      <c r="K224" s="42">
        <v>2674</v>
      </c>
      <c r="L224" s="42">
        <v>2674</v>
      </c>
      <c r="M224" s="42">
        <f t="shared" si="37"/>
        <v>0</v>
      </c>
      <c r="N224" s="42"/>
      <c r="O224" s="42"/>
      <c r="P224" s="42">
        <f t="shared" si="38"/>
        <v>0</v>
      </c>
      <c r="Q224" s="42"/>
      <c r="R224" s="42"/>
      <c r="S224" s="42">
        <f t="shared" si="39"/>
        <v>0</v>
      </c>
      <c r="T224" s="42"/>
      <c r="U224" s="42"/>
      <c r="V224" s="42">
        <f t="shared" si="40"/>
        <v>0</v>
      </c>
      <c r="W224" s="42"/>
      <c r="X224" s="42"/>
      <c r="Y224" s="42">
        <f t="shared" si="41"/>
        <v>0</v>
      </c>
      <c r="Z224" s="42"/>
      <c r="AA224" s="42"/>
      <c r="AB224" s="42">
        <f t="shared" si="42"/>
        <v>0</v>
      </c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  <c r="AP224" s="11"/>
      <c r="AQ224" s="11"/>
      <c r="AR224" s="11"/>
      <c r="AS224" s="11"/>
      <c r="AT224" s="11"/>
      <c r="AU224" s="11"/>
      <c r="AV224" s="11"/>
      <c r="AW224" s="11"/>
      <c r="AX224" s="11"/>
      <c r="AY224" s="11"/>
      <c r="AZ224" s="11"/>
      <c r="BA224" s="11"/>
      <c r="BB224" s="11"/>
      <c r="BC224" s="11"/>
      <c r="BD224" s="11"/>
      <c r="BE224" s="11"/>
      <c r="BF224" s="11"/>
      <c r="BG224" s="11"/>
      <c r="BH224" s="11"/>
      <c r="BI224" s="11"/>
      <c r="BJ224" s="11"/>
      <c r="BK224" s="11"/>
      <c r="BL224" s="11"/>
      <c r="BM224" s="11"/>
      <c r="BN224" s="11"/>
      <c r="BO224" s="11"/>
      <c r="BP224" s="11"/>
      <c r="BQ224" s="11"/>
      <c r="BR224" s="11"/>
      <c r="BS224" s="11"/>
      <c r="BT224" s="11"/>
      <c r="BU224" s="11"/>
      <c r="BV224" s="11"/>
      <c r="BW224" s="11"/>
      <c r="BX224" s="11"/>
      <c r="BY224" s="11"/>
      <c r="BZ224" s="11"/>
      <c r="CA224" s="11"/>
      <c r="CB224" s="11"/>
      <c r="CC224" s="11"/>
      <c r="CD224" s="11"/>
      <c r="CE224" s="11"/>
      <c r="CF224" s="11"/>
      <c r="CG224" s="11"/>
      <c r="CH224" s="11"/>
      <c r="CI224" s="11"/>
      <c r="CJ224" s="11"/>
      <c r="CK224" s="11"/>
      <c r="CL224" s="11"/>
      <c r="CM224" s="11"/>
      <c r="CN224" s="11"/>
      <c r="CO224" s="11"/>
      <c r="CP224" s="11"/>
      <c r="CQ224" s="11"/>
      <c r="CR224" s="11"/>
      <c r="CS224" s="11"/>
      <c r="CT224" s="11"/>
      <c r="CU224" s="11"/>
      <c r="CV224" s="11"/>
      <c r="CW224" s="11"/>
      <c r="CX224" s="11"/>
      <c r="CY224" s="11"/>
      <c r="CZ224" s="11"/>
      <c r="DA224" s="11"/>
      <c r="DB224" s="11"/>
      <c r="DC224" s="11"/>
      <c r="DD224" s="11"/>
      <c r="DE224" s="11"/>
      <c r="DF224" s="11"/>
      <c r="DG224" s="11"/>
      <c r="DH224" s="11"/>
      <c r="DI224" s="11"/>
      <c r="DJ224" s="11"/>
      <c r="DK224" s="11"/>
      <c r="DL224" s="11"/>
      <c r="DM224" s="11"/>
      <c r="DN224" s="11"/>
      <c r="DO224" s="11"/>
      <c r="DP224" s="11"/>
      <c r="DQ224" s="11"/>
      <c r="DR224" s="11"/>
      <c r="DS224" s="11"/>
      <c r="DT224" s="11"/>
      <c r="DU224" s="11"/>
      <c r="DV224" s="11"/>
      <c r="DW224" s="11"/>
      <c r="DX224" s="11"/>
      <c r="DY224" s="11"/>
      <c r="DZ224" s="11"/>
      <c r="EA224" s="11"/>
      <c r="EB224" s="11"/>
      <c r="EC224" s="11"/>
      <c r="ED224" s="11"/>
      <c r="EE224" s="11"/>
      <c r="EF224" s="11"/>
      <c r="EG224" s="11"/>
      <c r="EH224" s="11"/>
      <c r="EI224" s="11"/>
      <c r="EJ224" s="11"/>
      <c r="EK224" s="11"/>
      <c r="EL224" s="11"/>
      <c r="EM224" s="11"/>
      <c r="EN224" s="11"/>
      <c r="EO224" s="11"/>
      <c r="EP224" s="11"/>
      <c r="EQ224" s="11"/>
      <c r="ER224" s="11"/>
      <c r="ES224" s="11"/>
      <c r="ET224" s="11"/>
      <c r="EU224" s="11"/>
      <c r="EV224" s="11"/>
      <c r="EW224" s="11"/>
      <c r="EX224" s="11"/>
      <c r="EY224" s="11"/>
      <c r="EZ224" s="11"/>
      <c r="FA224" s="11"/>
      <c r="FB224" s="11"/>
      <c r="FC224" s="11"/>
      <c r="FD224" s="11"/>
      <c r="FE224" s="11"/>
      <c r="FF224" s="11"/>
      <c r="FG224" s="11"/>
      <c r="FH224" s="11"/>
      <c r="FI224" s="11"/>
      <c r="FJ224" s="11"/>
      <c r="FK224" s="11"/>
      <c r="FL224" s="11"/>
      <c r="FM224" s="11"/>
      <c r="FN224" s="11"/>
      <c r="FO224" s="11"/>
      <c r="FP224" s="11"/>
      <c r="FQ224" s="11"/>
      <c r="FR224" s="11"/>
      <c r="FS224" s="11"/>
      <c r="FT224" s="11"/>
      <c r="FU224" s="11"/>
      <c r="FV224" s="11"/>
      <c r="FW224" s="11"/>
      <c r="FX224" s="11"/>
      <c r="FY224" s="11"/>
      <c r="FZ224" s="11"/>
      <c r="GA224" s="11"/>
      <c r="GB224" s="11"/>
      <c r="GC224" s="11"/>
      <c r="GD224" s="11"/>
      <c r="GE224" s="11"/>
    </row>
    <row r="225" spans="1:187" s="28" customFormat="1">
      <c r="A225" s="38" t="s">
        <v>213</v>
      </c>
      <c r="B225" s="42">
        <f t="shared" si="43"/>
        <v>2614</v>
      </c>
      <c r="C225" s="42">
        <f t="shared" si="43"/>
        <v>2614</v>
      </c>
      <c r="D225" s="42">
        <f t="shared" si="43"/>
        <v>0</v>
      </c>
      <c r="E225" s="42"/>
      <c r="F225" s="42"/>
      <c r="G225" s="42">
        <f t="shared" si="35"/>
        <v>0</v>
      </c>
      <c r="H225" s="42"/>
      <c r="I225" s="42"/>
      <c r="J225" s="42">
        <f t="shared" si="36"/>
        <v>0</v>
      </c>
      <c r="K225" s="42">
        <v>2614</v>
      </c>
      <c r="L225" s="42">
        <v>2614</v>
      </c>
      <c r="M225" s="42">
        <f t="shared" si="37"/>
        <v>0</v>
      </c>
      <c r="N225" s="42"/>
      <c r="O225" s="42"/>
      <c r="P225" s="42">
        <f t="shared" si="38"/>
        <v>0</v>
      </c>
      <c r="Q225" s="42"/>
      <c r="R225" s="42"/>
      <c r="S225" s="42">
        <f t="shared" si="39"/>
        <v>0</v>
      </c>
      <c r="T225" s="42"/>
      <c r="U225" s="42"/>
      <c r="V225" s="42">
        <f t="shared" si="40"/>
        <v>0</v>
      </c>
      <c r="W225" s="42"/>
      <c r="X225" s="42"/>
      <c r="Y225" s="42">
        <f t="shared" si="41"/>
        <v>0</v>
      </c>
      <c r="Z225" s="42"/>
      <c r="AA225" s="42"/>
      <c r="AB225" s="42">
        <f t="shared" si="42"/>
        <v>0</v>
      </c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11"/>
      <c r="AQ225" s="11"/>
      <c r="AR225" s="11"/>
      <c r="AS225" s="11"/>
      <c r="AT225" s="11"/>
      <c r="AU225" s="11"/>
      <c r="AV225" s="11"/>
      <c r="AW225" s="11"/>
      <c r="AX225" s="11"/>
      <c r="AY225" s="11"/>
      <c r="AZ225" s="11"/>
      <c r="BA225" s="11"/>
      <c r="BB225" s="11"/>
      <c r="BC225" s="11"/>
      <c r="BD225" s="11"/>
      <c r="BE225" s="11"/>
      <c r="BF225" s="11"/>
      <c r="BG225" s="11"/>
      <c r="BH225" s="11"/>
      <c r="BI225" s="11"/>
      <c r="BJ225" s="11"/>
      <c r="BK225" s="11"/>
      <c r="BL225" s="11"/>
      <c r="BM225" s="11"/>
      <c r="BN225" s="11"/>
      <c r="BO225" s="11"/>
      <c r="BP225" s="11"/>
      <c r="BQ225" s="11"/>
      <c r="BR225" s="11"/>
      <c r="BS225" s="11"/>
      <c r="BT225" s="11"/>
      <c r="BU225" s="11"/>
      <c r="BV225" s="11"/>
      <c r="BW225" s="11"/>
      <c r="BX225" s="11"/>
      <c r="BY225" s="11"/>
      <c r="BZ225" s="11"/>
      <c r="CA225" s="11"/>
      <c r="CB225" s="11"/>
      <c r="CC225" s="11"/>
      <c r="CD225" s="11"/>
      <c r="CE225" s="11"/>
      <c r="CF225" s="11"/>
      <c r="CG225" s="11"/>
      <c r="CH225" s="11"/>
      <c r="CI225" s="11"/>
      <c r="CJ225" s="11"/>
      <c r="CK225" s="11"/>
      <c r="CL225" s="11"/>
      <c r="CM225" s="11"/>
      <c r="CN225" s="11"/>
      <c r="CO225" s="11"/>
      <c r="CP225" s="11"/>
      <c r="CQ225" s="11"/>
      <c r="CR225" s="11"/>
      <c r="CS225" s="11"/>
      <c r="CT225" s="11"/>
      <c r="CU225" s="11"/>
      <c r="CV225" s="11"/>
      <c r="CW225" s="11"/>
      <c r="CX225" s="11"/>
      <c r="CY225" s="11"/>
      <c r="CZ225" s="11"/>
      <c r="DA225" s="11"/>
      <c r="DB225" s="11"/>
      <c r="DC225" s="11"/>
      <c r="DD225" s="11"/>
      <c r="DE225" s="11"/>
      <c r="DF225" s="11"/>
      <c r="DG225" s="11"/>
      <c r="DH225" s="11"/>
      <c r="DI225" s="11"/>
      <c r="DJ225" s="11"/>
      <c r="DK225" s="11"/>
      <c r="DL225" s="11"/>
      <c r="DM225" s="11"/>
      <c r="DN225" s="11"/>
      <c r="DO225" s="11"/>
      <c r="DP225" s="11"/>
      <c r="DQ225" s="11"/>
      <c r="DR225" s="11"/>
      <c r="DS225" s="11"/>
      <c r="DT225" s="11"/>
      <c r="DU225" s="11"/>
      <c r="DV225" s="11"/>
      <c r="DW225" s="11"/>
      <c r="DX225" s="11"/>
      <c r="DY225" s="11"/>
      <c r="DZ225" s="11"/>
      <c r="EA225" s="11"/>
      <c r="EB225" s="11"/>
      <c r="EC225" s="11"/>
      <c r="ED225" s="11"/>
      <c r="EE225" s="11"/>
      <c r="EF225" s="11"/>
      <c r="EG225" s="11"/>
      <c r="EH225" s="11"/>
      <c r="EI225" s="11"/>
      <c r="EJ225" s="11"/>
      <c r="EK225" s="11"/>
      <c r="EL225" s="11"/>
      <c r="EM225" s="11"/>
      <c r="EN225" s="11"/>
      <c r="EO225" s="11"/>
      <c r="EP225" s="11"/>
      <c r="EQ225" s="11"/>
      <c r="ER225" s="11"/>
      <c r="ES225" s="11"/>
      <c r="ET225" s="11"/>
      <c r="EU225" s="11"/>
      <c r="EV225" s="11"/>
      <c r="EW225" s="11"/>
      <c r="EX225" s="11"/>
      <c r="EY225" s="11"/>
      <c r="EZ225" s="11"/>
      <c r="FA225" s="11"/>
      <c r="FB225" s="11"/>
      <c r="FC225" s="11"/>
      <c r="FD225" s="11"/>
      <c r="FE225" s="11"/>
      <c r="FF225" s="11"/>
      <c r="FG225" s="11"/>
      <c r="FH225" s="11"/>
      <c r="FI225" s="11"/>
      <c r="FJ225" s="11"/>
      <c r="FK225" s="11"/>
      <c r="FL225" s="11"/>
      <c r="FM225" s="11"/>
      <c r="FN225" s="11"/>
      <c r="FO225" s="11"/>
      <c r="FP225" s="11"/>
      <c r="FQ225" s="11"/>
      <c r="FR225" s="11"/>
      <c r="FS225" s="11"/>
      <c r="FT225" s="11"/>
      <c r="FU225" s="11"/>
      <c r="FV225" s="11"/>
      <c r="FW225" s="11"/>
      <c r="FX225" s="11"/>
      <c r="FY225" s="11"/>
      <c r="FZ225" s="11"/>
      <c r="GA225" s="11"/>
      <c r="GB225" s="11"/>
      <c r="GC225" s="11"/>
      <c r="GD225" s="11"/>
      <c r="GE225" s="11"/>
    </row>
    <row r="226" spans="1:187" s="28" customFormat="1" ht="31.5">
      <c r="A226" s="38" t="s">
        <v>214</v>
      </c>
      <c r="B226" s="42">
        <f t="shared" si="43"/>
        <v>3500</v>
      </c>
      <c r="C226" s="42">
        <f t="shared" si="43"/>
        <v>3500</v>
      </c>
      <c r="D226" s="42">
        <f t="shared" si="43"/>
        <v>0</v>
      </c>
      <c r="E226" s="42"/>
      <c r="F226" s="42"/>
      <c r="G226" s="42">
        <f t="shared" si="35"/>
        <v>0</v>
      </c>
      <c r="H226" s="42"/>
      <c r="I226" s="42"/>
      <c r="J226" s="42">
        <f t="shared" si="36"/>
        <v>0</v>
      </c>
      <c r="K226" s="42">
        <v>0</v>
      </c>
      <c r="L226" s="42">
        <v>0</v>
      </c>
      <c r="M226" s="42">
        <f t="shared" si="37"/>
        <v>0</v>
      </c>
      <c r="N226" s="42"/>
      <c r="O226" s="42"/>
      <c r="P226" s="42">
        <f t="shared" si="38"/>
        <v>0</v>
      </c>
      <c r="Q226" s="42">
        <f>3500-3500</f>
        <v>0</v>
      </c>
      <c r="R226" s="42">
        <f>3500-3500</f>
        <v>0</v>
      </c>
      <c r="S226" s="42">
        <f t="shared" si="39"/>
        <v>0</v>
      </c>
      <c r="T226" s="42"/>
      <c r="U226" s="42"/>
      <c r="V226" s="42">
        <f t="shared" si="40"/>
        <v>0</v>
      </c>
      <c r="W226" s="42"/>
      <c r="X226" s="42"/>
      <c r="Y226" s="42">
        <f t="shared" si="41"/>
        <v>0</v>
      </c>
      <c r="Z226" s="42">
        <f>3500</f>
        <v>3500</v>
      </c>
      <c r="AA226" s="42">
        <f>3500</f>
        <v>3500</v>
      </c>
      <c r="AB226" s="42">
        <f t="shared" si="42"/>
        <v>0</v>
      </c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  <c r="AO226" s="11"/>
      <c r="AP226" s="11"/>
      <c r="AQ226" s="11"/>
      <c r="AR226" s="11"/>
      <c r="AS226" s="11"/>
      <c r="AT226" s="11"/>
      <c r="AU226" s="11"/>
      <c r="AV226" s="11"/>
      <c r="AW226" s="11"/>
      <c r="AX226" s="11"/>
      <c r="AY226" s="11"/>
      <c r="AZ226" s="11"/>
      <c r="BA226" s="11"/>
      <c r="BB226" s="11"/>
      <c r="BC226" s="11"/>
      <c r="BD226" s="11"/>
      <c r="BE226" s="11"/>
      <c r="BF226" s="11"/>
      <c r="BG226" s="11"/>
      <c r="BH226" s="11"/>
      <c r="BI226" s="11"/>
      <c r="BJ226" s="11"/>
      <c r="BK226" s="11"/>
      <c r="BL226" s="11"/>
      <c r="BM226" s="11"/>
      <c r="BN226" s="11"/>
      <c r="BO226" s="11"/>
      <c r="BP226" s="11"/>
      <c r="BQ226" s="11"/>
      <c r="BR226" s="11"/>
      <c r="BS226" s="11"/>
      <c r="BT226" s="11"/>
      <c r="BU226" s="11"/>
      <c r="BV226" s="11"/>
      <c r="BW226" s="11"/>
      <c r="BX226" s="11"/>
      <c r="BY226" s="11"/>
      <c r="BZ226" s="11"/>
      <c r="CA226" s="11"/>
      <c r="CB226" s="11"/>
      <c r="CC226" s="11"/>
      <c r="CD226" s="11"/>
      <c r="CE226" s="11"/>
      <c r="CF226" s="11"/>
      <c r="CG226" s="11"/>
      <c r="CH226" s="11"/>
      <c r="CI226" s="11"/>
      <c r="CJ226" s="11"/>
      <c r="CK226" s="11"/>
      <c r="CL226" s="11"/>
      <c r="CM226" s="11"/>
      <c r="CN226" s="11"/>
      <c r="CO226" s="11"/>
      <c r="CP226" s="11"/>
      <c r="CQ226" s="11"/>
      <c r="CR226" s="11"/>
      <c r="CS226" s="11"/>
      <c r="CT226" s="11"/>
      <c r="CU226" s="11"/>
      <c r="CV226" s="11"/>
      <c r="CW226" s="11"/>
      <c r="CX226" s="11"/>
      <c r="CY226" s="11"/>
      <c r="CZ226" s="11"/>
      <c r="DA226" s="11"/>
      <c r="DB226" s="11"/>
      <c r="DC226" s="11"/>
      <c r="DD226" s="11"/>
      <c r="DE226" s="11"/>
      <c r="DF226" s="11"/>
      <c r="DG226" s="11"/>
      <c r="DH226" s="11"/>
      <c r="DI226" s="11"/>
      <c r="DJ226" s="11"/>
      <c r="DK226" s="11"/>
      <c r="DL226" s="11"/>
      <c r="DM226" s="11"/>
      <c r="DN226" s="11"/>
      <c r="DO226" s="11"/>
      <c r="DP226" s="11"/>
      <c r="DQ226" s="11"/>
      <c r="DR226" s="11"/>
      <c r="DS226" s="11"/>
      <c r="DT226" s="11"/>
      <c r="DU226" s="11"/>
      <c r="DV226" s="11"/>
      <c r="DW226" s="11"/>
      <c r="DX226" s="11"/>
      <c r="DY226" s="11"/>
      <c r="DZ226" s="11"/>
      <c r="EA226" s="11"/>
      <c r="EB226" s="11"/>
      <c r="EC226" s="11"/>
      <c r="ED226" s="11"/>
      <c r="EE226" s="11"/>
      <c r="EF226" s="11"/>
      <c r="EG226" s="11"/>
      <c r="EH226" s="11"/>
      <c r="EI226" s="11"/>
      <c r="EJ226" s="11"/>
      <c r="EK226" s="11"/>
      <c r="EL226" s="11"/>
      <c r="EM226" s="11"/>
      <c r="EN226" s="11"/>
      <c r="EO226" s="11"/>
      <c r="EP226" s="11"/>
      <c r="EQ226" s="11"/>
      <c r="ER226" s="11"/>
      <c r="ES226" s="11"/>
      <c r="ET226" s="11"/>
      <c r="EU226" s="11"/>
      <c r="EV226" s="11"/>
      <c r="EW226" s="11"/>
      <c r="EX226" s="11"/>
      <c r="EY226" s="11"/>
      <c r="EZ226" s="11"/>
      <c r="FA226" s="11"/>
      <c r="FB226" s="11"/>
      <c r="FC226" s="11"/>
      <c r="FD226" s="11"/>
      <c r="FE226" s="11"/>
      <c r="FF226" s="11"/>
      <c r="FG226" s="11"/>
      <c r="FH226" s="11"/>
      <c r="FI226" s="11"/>
      <c r="FJ226" s="11"/>
      <c r="FK226" s="11"/>
      <c r="FL226" s="11"/>
      <c r="FM226" s="11"/>
      <c r="FN226" s="11"/>
      <c r="FO226" s="11"/>
      <c r="FP226" s="11"/>
      <c r="FQ226" s="11"/>
      <c r="FR226" s="11"/>
      <c r="FS226" s="11"/>
      <c r="FT226" s="11"/>
      <c r="FU226" s="11"/>
      <c r="FV226" s="11"/>
      <c r="FW226" s="11"/>
      <c r="FX226" s="11"/>
      <c r="FY226" s="11"/>
      <c r="FZ226" s="11"/>
      <c r="GA226" s="11"/>
      <c r="GB226" s="11"/>
      <c r="GC226" s="11"/>
      <c r="GD226" s="11"/>
      <c r="GE226" s="11"/>
    </row>
    <row r="227" spans="1:187" s="28" customFormat="1" ht="31.5">
      <c r="A227" s="38" t="s">
        <v>215</v>
      </c>
      <c r="B227" s="42">
        <f t="shared" si="43"/>
        <v>4442</v>
      </c>
      <c r="C227" s="42">
        <f t="shared" si="43"/>
        <v>4442</v>
      </c>
      <c r="D227" s="42">
        <f t="shared" si="43"/>
        <v>0</v>
      </c>
      <c r="E227" s="42"/>
      <c r="F227" s="42"/>
      <c r="G227" s="42">
        <f t="shared" si="35"/>
        <v>0</v>
      </c>
      <c r="H227" s="42"/>
      <c r="I227" s="42"/>
      <c r="J227" s="42">
        <f t="shared" si="36"/>
        <v>0</v>
      </c>
      <c r="K227" s="42">
        <v>0</v>
      </c>
      <c r="L227" s="42">
        <v>0</v>
      </c>
      <c r="M227" s="42">
        <f t="shared" si="37"/>
        <v>0</v>
      </c>
      <c r="N227" s="42"/>
      <c r="O227" s="42"/>
      <c r="P227" s="42">
        <f t="shared" si="38"/>
        <v>0</v>
      </c>
      <c r="Q227" s="42">
        <f>3360+1082</f>
        <v>4442</v>
      </c>
      <c r="R227" s="42">
        <f>3360+1082</f>
        <v>4442</v>
      </c>
      <c r="S227" s="42">
        <f t="shared" si="39"/>
        <v>0</v>
      </c>
      <c r="T227" s="42"/>
      <c r="U227" s="42"/>
      <c r="V227" s="42">
        <f t="shared" si="40"/>
        <v>0</v>
      </c>
      <c r="W227" s="42"/>
      <c r="X227" s="42"/>
      <c r="Y227" s="42">
        <f t="shared" si="41"/>
        <v>0</v>
      </c>
      <c r="Z227" s="42"/>
      <c r="AA227" s="42"/>
      <c r="AB227" s="42">
        <f t="shared" si="42"/>
        <v>0</v>
      </c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  <c r="AO227" s="11"/>
      <c r="AP227" s="11"/>
      <c r="AQ227" s="11"/>
      <c r="AR227" s="11"/>
      <c r="AS227" s="11"/>
      <c r="AT227" s="11"/>
      <c r="AU227" s="11"/>
      <c r="AV227" s="11"/>
      <c r="AW227" s="11"/>
      <c r="AX227" s="11"/>
      <c r="AY227" s="11"/>
      <c r="AZ227" s="11"/>
      <c r="BA227" s="11"/>
      <c r="BB227" s="11"/>
      <c r="BC227" s="11"/>
      <c r="BD227" s="11"/>
      <c r="BE227" s="11"/>
      <c r="BF227" s="11"/>
      <c r="BG227" s="11"/>
      <c r="BH227" s="11"/>
      <c r="BI227" s="11"/>
      <c r="BJ227" s="11"/>
      <c r="BK227" s="11"/>
      <c r="BL227" s="11"/>
      <c r="BM227" s="11"/>
      <c r="BN227" s="11"/>
      <c r="BO227" s="11"/>
      <c r="BP227" s="11"/>
      <c r="BQ227" s="11"/>
      <c r="BR227" s="11"/>
      <c r="BS227" s="11"/>
      <c r="BT227" s="11"/>
      <c r="BU227" s="11"/>
      <c r="BV227" s="11"/>
      <c r="BW227" s="11"/>
      <c r="BX227" s="11"/>
      <c r="BY227" s="11"/>
      <c r="BZ227" s="11"/>
      <c r="CA227" s="11"/>
      <c r="CB227" s="11"/>
      <c r="CC227" s="11"/>
      <c r="CD227" s="11"/>
      <c r="CE227" s="11"/>
      <c r="CF227" s="11"/>
      <c r="CG227" s="11"/>
      <c r="CH227" s="11"/>
      <c r="CI227" s="11"/>
      <c r="CJ227" s="11"/>
      <c r="CK227" s="11"/>
      <c r="CL227" s="11"/>
      <c r="CM227" s="11"/>
      <c r="CN227" s="11"/>
      <c r="CO227" s="11"/>
      <c r="CP227" s="11"/>
      <c r="CQ227" s="11"/>
      <c r="CR227" s="11"/>
      <c r="CS227" s="11"/>
      <c r="CT227" s="11"/>
      <c r="CU227" s="11"/>
      <c r="CV227" s="11"/>
      <c r="CW227" s="11"/>
      <c r="CX227" s="11"/>
      <c r="CY227" s="11"/>
      <c r="CZ227" s="11"/>
      <c r="DA227" s="11"/>
      <c r="DB227" s="11"/>
      <c r="DC227" s="11"/>
      <c r="DD227" s="11"/>
      <c r="DE227" s="11"/>
      <c r="DF227" s="11"/>
      <c r="DG227" s="11"/>
      <c r="DH227" s="11"/>
      <c r="DI227" s="11"/>
      <c r="DJ227" s="11"/>
      <c r="DK227" s="11"/>
      <c r="DL227" s="11"/>
      <c r="DM227" s="11"/>
      <c r="DN227" s="11"/>
      <c r="DO227" s="11"/>
      <c r="DP227" s="11"/>
      <c r="DQ227" s="11"/>
      <c r="DR227" s="11"/>
      <c r="DS227" s="11"/>
      <c r="DT227" s="11"/>
      <c r="DU227" s="11"/>
      <c r="DV227" s="11"/>
      <c r="DW227" s="11"/>
      <c r="DX227" s="11"/>
      <c r="DY227" s="11"/>
      <c r="DZ227" s="11"/>
      <c r="EA227" s="11"/>
      <c r="EB227" s="11"/>
      <c r="EC227" s="11"/>
      <c r="ED227" s="11"/>
      <c r="EE227" s="11"/>
      <c r="EF227" s="11"/>
      <c r="EG227" s="11"/>
      <c r="EH227" s="11"/>
      <c r="EI227" s="11"/>
      <c r="EJ227" s="11"/>
      <c r="EK227" s="11"/>
      <c r="EL227" s="11"/>
      <c r="EM227" s="11"/>
      <c r="EN227" s="11"/>
      <c r="EO227" s="11"/>
      <c r="EP227" s="11"/>
      <c r="EQ227" s="11"/>
      <c r="ER227" s="11"/>
      <c r="ES227" s="11"/>
      <c r="ET227" s="11"/>
      <c r="EU227" s="11"/>
      <c r="EV227" s="11"/>
      <c r="EW227" s="11"/>
      <c r="EX227" s="11"/>
      <c r="EY227" s="11"/>
      <c r="EZ227" s="11"/>
      <c r="FA227" s="11"/>
      <c r="FB227" s="11"/>
      <c r="FC227" s="11"/>
      <c r="FD227" s="11"/>
      <c r="FE227" s="11"/>
      <c r="FF227" s="11"/>
      <c r="FG227" s="11"/>
      <c r="FH227" s="11"/>
      <c r="FI227" s="11"/>
      <c r="FJ227" s="11"/>
      <c r="FK227" s="11"/>
      <c r="FL227" s="11"/>
      <c r="FM227" s="11"/>
      <c r="FN227" s="11"/>
      <c r="FO227" s="11"/>
      <c r="FP227" s="11"/>
      <c r="FQ227" s="11"/>
      <c r="FR227" s="11"/>
      <c r="FS227" s="11"/>
      <c r="FT227" s="11"/>
      <c r="FU227" s="11"/>
      <c r="FV227" s="11"/>
      <c r="FW227" s="11"/>
      <c r="FX227" s="11"/>
      <c r="FY227" s="11"/>
      <c r="FZ227" s="11"/>
      <c r="GA227" s="11"/>
      <c r="GB227" s="11"/>
      <c r="GC227" s="11"/>
      <c r="GD227" s="11"/>
      <c r="GE227" s="11"/>
    </row>
    <row r="228" spans="1:187" s="28" customFormat="1" ht="31.5">
      <c r="A228" s="38" t="s">
        <v>216</v>
      </c>
      <c r="B228" s="42">
        <f t="shared" si="43"/>
        <v>3816</v>
      </c>
      <c r="C228" s="42">
        <f t="shared" si="43"/>
        <v>3816</v>
      </c>
      <c r="D228" s="42">
        <f t="shared" si="43"/>
        <v>0</v>
      </c>
      <c r="E228" s="42"/>
      <c r="F228" s="42"/>
      <c r="G228" s="42">
        <f t="shared" si="35"/>
        <v>0</v>
      </c>
      <c r="H228" s="42"/>
      <c r="I228" s="42"/>
      <c r="J228" s="42">
        <f t="shared" si="36"/>
        <v>0</v>
      </c>
      <c r="K228" s="42">
        <v>0</v>
      </c>
      <c r="L228" s="42">
        <v>0</v>
      </c>
      <c r="M228" s="42">
        <f t="shared" si="37"/>
        <v>0</v>
      </c>
      <c r="N228" s="42"/>
      <c r="O228" s="42"/>
      <c r="P228" s="42">
        <f t="shared" si="38"/>
        <v>0</v>
      </c>
      <c r="Q228" s="42">
        <v>3816</v>
      </c>
      <c r="R228" s="42">
        <v>3816</v>
      </c>
      <c r="S228" s="42">
        <f t="shared" si="39"/>
        <v>0</v>
      </c>
      <c r="T228" s="42"/>
      <c r="U228" s="42"/>
      <c r="V228" s="42">
        <f t="shared" si="40"/>
        <v>0</v>
      </c>
      <c r="W228" s="42"/>
      <c r="X228" s="42"/>
      <c r="Y228" s="42">
        <f t="shared" si="41"/>
        <v>0</v>
      </c>
      <c r="Z228" s="42"/>
      <c r="AA228" s="42"/>
      <c r="AB228" s="42">
        <f t="shared" si="42"/>
        <v>0</v>
      </c>
      <c r="AC228" s="11"/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11"/>
      <c r="AQ228" s="11"/>
      <c r="AR228" s="11"/>
      <c r="AS228" s="11"/>
      <c r="AT228" s="11"/>
      <c r="AU228" s="11"/>
      <c r="AV228" s="11"/>
      <c r="AW228" s="11"/>
      <c r="AX228" s="11"/>
      <c r="AY228" s="11"/>
      <c r="AZ228" s="11"/>
      <c r="BA228" s="11"/>
      <c r="BB228" s="11"/>
      <c r="BC228" s="11"/>
      <c r="BD228" s="11"/>
      <c r="BE228" s="11"/>
      <c r="BF228" s="11"/>
      <c r="BG228" s="11"/>
      <c r="BH228" s="11"/>
      <c r="BI228" s="11"/>
      <c r="BJ228" s="11"/>
      <c r="BK228" s="11"/>
      <c r="BL228" s="11"/>
      <c r="BM228" s="11"/>
      <c r="BN228" s="11"/>
      <c r="BO228" s="11"/>
      <c r="BP228" s="11"/>
      <c r="BQ228" s="11"/>
      <c r="BR228" s="11"/>
      <c r="BS228" s="11"/>
      <c r="BT228" s="11"/>
      <c r="BU228" s="11"/>
      <c r="BV228" s="11"/>
      <c r="BW228" s="11"/>
      <c r="BX228" s="11"/>
      <c r="BY228" s="11"/>
      <c r="BZ228" s="11"/>
      <c r="CA228" s="11"/>
      <c r="CB228" s="11"/>
      <c r="CC228" s="11"/>
      <c r="CD228" s="11"/>
      <c r="CE228" s="11"/>
      <c r="CF228" s="11"/>
      <c r="CG228" s="11"/>
      <c r="CH228" s="11"/>
      <c r="CI228" s="11"/>
      <c r="CJ228" s="11"/>
      <c r="CK228" s="11"/>
      <c r="CL228" s="11"/>
      <c r="CM228" s="11"/>
      <c r="CN228" s="11"/>
      <c r="CO228" s="11"/>
      <c r="CP228" s="11"/>
      <c r="CQ228" s="11"/>
      <c r="CR228" s="11"/>
      <c r="CS228" s="11"/>
      <c r="CT228" s="11"/>
      <c r="CU228" s="11"/>
      <c r="CV228" s="11"/>
      <c r="CW228" s="11"/>
      <c r="CX228" s="11"/>
      <c r="CY228" s="11"/>
      <c r="CZ228" s="11"/>
      <c r="DA228" s="11"/>
      <c r="DB228" s="11"/>
      <c r="DC228" s="11"/>
      <c r="DD228" s="11"/>
      <c r="DE228" s="11"/>
      <c r="DF228" s="11"/>
      <c r="DG228" s="11"/>
      <c r="DH228" s="11"/>
      <c r="DI228" s="11"/>
      <c r="DJ228" s="11"/>
      <c r="DK228" s="11"/>
      <c r="DL228" s="11"/>
      <c r="DM228" s="11"/>
      <c r="DN228" s="11"/>
      <c r="DO228" s="11"/>
      <c r="DP228" s="11"/>
      <c r="DQ228" s="11"/>
      <c r="DR228" s="11"/>
      <c r="DS228" s="11"/>
      <c r="DT228" s="11"/>
      <c r="DU228" s="11"/>
      <c r="DV228" s="11"/>
      <c r="DW228" s="11"/>
      <c r="DX228" s="11"/>
      <c r="DY228" s="11"/>
      <c r="DZ228" s="11"/>
      <c r="EA228" s="11"/>
      <c r="EB228" s="11"/>
      <c r="EC228" s="11"/>
      <c r="ED228" s="11"/>
      <c r="EE228" s="11"/>
      <c r="EF228" s="11"/>
      <c r="EG228" s="11"/>
      <c r="EH228" s="11"/>
      <c r="EI228" s="11"/>
      <c r="EJ228" s="11"/>
      <c r="EK228" s="11"/>
      <c r="EL228" s="11"/>
      <c r="EM228" s="11"/>
      <c r="EN228" s="11"/>
      <c r="EO228" s="11"/>
      <c r="EP228" s="11"/>
      <c r="EQ228" s="11"/>
      <c r="ER228" s="11"/>
      <c r="ES228" s="11"/>
      <c r="ET228" s="11"/>
      <c r="EU228" s="11"/>
      <c r="EV228" s="11"/>
      <c r="EW228" s="11"/>
      <c r="EX228" s="11"/>
      <c r="EY228" s="11"/>
      <c r="EZ228" s="11"/>
      <c r="FA228" s="11"/>
      <c r="FB228" s="11"/>
      <c r="FC228" s="11"/>
      <c r="FD228" s="11"/>
      <c r="FE228" s="11"/>
      <c r="FF228" s="11"/>
      <c r="FG228" s="11"/>
      <c r="FH228" s="11"/>
      <c r="FI228" s="11"/>
      <c r="FJ228" s="11"/>
      <c r="FK228" s="11"/>
      <c r="FL228" s="11"/>
      <c r="FM228" s="11"/>
      <c r="FN228" s="11"/>
      <c r="FO228" s="11"/>
      <c r="FP228" s="11"/>
      <c r="FQ228" s="11"/>
      <c r="FR228" s="11"/>
      <c r="FS228" s="11"/>
      <c r="FT228" s="11"/>
      <c r="FU228" s="11"/>
      <c r="FV228" s="11"/>
      <c r="FW228" s="11"/>
      <c r="FX228" s="11"/>
      <c r="FY228" s="11"/>
      <c r="FZ228" s="11"/>
      <c r="GA228" s="11"/>
      <c r="GB228" s="11"/>
      <c r="GC228" s="11"/>
      <c r="GD228" s="11"/>
      <c r="GE228" s="11"/>
    </row>
    <row r="229" spans="1:187" s="28" customFormat="1" ht="31.5">
      <c r="A229" s="38" t="s">
        <v>217</v>
      </c>
      <c r="B229" s="42">
        <f t="shared" si="43"/>
        <v>26022</v>
      </c>
      <c r="C229" s="42">
        <f t="shared" si="43"/>
        <v>26022</v>
      </c>
      <c r="D229" s="42">
        <f t="shared" si="43"/>
        <v>0</v>
      </c>
      <c r="E229" s="42"/>
      <c r="F229" s="42"/>
      <c r="G229" s="42">
        <f t="shared" si="35"/>
        <v>0</v>
      </c>
      <c r="H229" s="42"/>
      <c r="I229" s="42"/>
      <c r="J229" s="42">
        <f t="shared" si="36"/>
        <v>0</v>
      </c>
      <c r="K229" s="42">
        <f>0+23387</f>
        <v>23387</v>
      </c>
      <c r="L229" s="42">
        <f>0+23387</f>
        <v>23387</v>
      </c>
      <c r="M229" s="42">
        <f t="shared" si="37"/>
        <v>0</v>
      </c>
      <c r="N229" s="42"/>
      <c r="O229" s="42"/>
      <c r="P229" s="42">
        <f t="shared" si="38"/>
        <v>0</v>
      </c>
      <c r="Q229" s="42">
        <f>2635+23387-23387</f>
        <v>2635</v>
      </c>
      <c r="R229" s="42">
        <f>2635+23387-23387</f>
        <v>2635</v>
      </c>
      <c r="S229" s="42">
        <f t="shared" si="39"/>
        <v>0</v>
      </c>
      <c r="T229" s="42"/>
      <c r="U229" s="42"/>
      <c r="V229" s="42">
        <f t="shared" si="40"/>
        <v>0</v>
      </c>
      <c r="W229" s="42"/>
      <c r="X229" s="42"/>
      <c r="Y229" s="42">
        <f t="shared" si="41"/>
        <v>0</v>
      </c>
      <c r="Z229" s="42"/>
      <c r="AA229" s="42"/>
      <c r="AB229" s="42">
        <f t="shared" si="42"/>
        <v>0</v>
      </c>
      <c r="AC229" s="11"/>
      <c r="AD229" s="11"/>
      <c r="AE229" s="11"/>
      <c r="AF229" s="11"/>
      <c r="AG229" s="11"/>
      <c r="AH229" s="11"/>
      <c r="AI229" s="11"/>
      <c r="AJ229" s="11"/>
      <c r="AK229" s="11"/>
      <c r="AL229" s="11"/>
      <c r="AM229" s="11"/>
      <c r="AN229" s="11"/>
      <c r="AO229" s="11"/>
      <c r="AP229" s="11"/>
      <c r="AQ229" s="11"/>
      <c r="AR229" s="11"/>
      <c r="AS229" s="11"/>
      <c r="AT229" s="11"/>
      <c r="AU229" s="11"/>
      <c r="AV229" s="11"/>
      <c r="AW229" s="11"/>
      <c r="AX229" s="11"/>
      <c r="AY229" s="11"/>
      <c r="AZ229" s="11"/>
      <c r="BA229" s="11"/>
      <c r="BB229" s="11"/>
      <c r="BC229" s="11"/>
      <c r="BD229" s="11"/>
      <c r="BE229" s="11"/>
      <c r="BF229" s="11"/>
      <c r="BG229" s="11"/>
      <c r="BH229" s="11"/>
      <c r="BI229" s="11"/>
      <c r="BJ229" s="11"/>
      <c r="BK229" s="11"/>
      <c r="BL229" s="11"/>
      <c r="BM229" s="11"/>
      <c r="BN229" s="11"/>
      <c r="BO229" s="11"/>
      <c r="BP229" s="11"/>
      <c r="BQ229" s="11"/>
      <c r="BR229" s="11"/>
      <c r="BS229" s="11"/>
      <c r="BT229" s="11"/>
      <c r="BU229" s="11"/>
      <c r="BV229" s="11"/>
      <c r="BW229" s="11"/>
      <c r="BX229" s="11"/>
      <c r="BY229" s="11"/>
      <c r="BZ229" s="11"/>
      <c r="CA229" s="11"/>
      <c r="CB229" s="11"/>
      <c r="CC229" s="11"/>
      <c r="CD229" s="11"/>
      <c r="CE229" s="11"/>
      <c r="CF229" s="11"/>
      <c r="CG229" s="11"/>
      <c r="CH229" s="11"/>
      <c r="CI229" s="11"/>
      <c r="CJ229" s="11"/>
      <c r="CK229" s="11"/>
      <c r="CL229" s="11"/>
      <c r="CM229" s="11"/>
      <c r="CN229" s="11"/>
      <c r="CO229" s="11"/>
      <c r="CP229" s="11"/>
      <c r="CQ229" s="11"/>
      <c r="CR229" s="11"/>
      <c r="CS229" s="11"/>
      <c r="CT229" s="11"/>
      <c r="CU229" s="11"/>
      <c r="CV229" s="11"/>
      <c r="CW229" s="11"/>
      <c r="CX229" s="11"/>
      <c r="CY229" s="11"/>
      <c r="CZ229" s="11"/>
      <c r="DA229" s="11"/>
      <c r="DB229" s="11"/>
      <c r="DC229" s="11"/>
      <c r="DD229" s="11"/>
      <c r="DE229" s="11"/>
      <c r="DF229" s="11"/>
      <c r="DG229" s="11"/>
      <c r="DH229" s="11"/>
      <c r="DI229" s="11"/>
      <c r="DJ229" s="11"/>
      <c r="DK229" s="11"/>
      <c r="DL229" s="11"/>
      <c r="DM229" s="11"/>
      <c r="DN229" s="11"/>
      <c r="DO229" s="11"/>
      <c r="DP229" s="11"/>
      <c r="DQ229" s="11"/>
      <c r="DR229" s="11"/>
      <c r="DS229" s="11"/>
      <c r="DT229" s="11"/>
      <c r="DU229" s="11"/>
      <c r="DV229" s="11"/>
      <c r="DW229" s="11"/>
      <c r="DX229" s="11"/>
      <c r="DY229" s="11"/>
      <c r="DZ229" s="11"/>
      <c r="EA229" s="11"/>
      <c r="EB229" s="11"/>
      <c r="EC229" s="11"/>
      <c r="ED229" s="11"/>
      <c r="EE229" s="11"/>
      <c r="EF229" s="11"/>
      <c r="EG229" s="11"/>
      <c r="EH229" s="11"/>
      <c r="EI229" s="11"/>
      <c r="EJ229" s="11"/>
      <c r="EK229" s="11"/>
      <c r="EL229" s="11"/>
      <c r="EM229" s="11"/>
      <c r="EN229" s="11"/>
      <c r="EO229" s="11"/>
      <c r="EP229" s="11"/>
      <c r="EQ229" s="11"/>
      <c r="ER229" s="11"/>
      <c r="ES229" s="11"/>
      <c r="ET229" s="11"/>
      <c r="EU229" s="11"/>
      <c r="EV229" s="11"/>
      <c r="EW229" s="11"/>
      <c r="EX229" s="11"/>
      <c r="EY229" s="11"/>
      <c r="EZ229" s="11"/>
      <c r="FA229" s="11"/>
      <c r="FB229" s="11"/>
      <c r="FC229" s="11"/>
      <c r="FD229" s="11"/>
      <c r="FE229" s="11"/>
      <c r="FF229" s="11"/>
      <c r="FG229" s="11"/>
      <c r="FH229" s="11"/>
      <c r="FI229" s="11"/>
      <c r="FJ229" s="11"/>
      <c r="FK229" s="11"/>
      <c r="FL229" s="11"/>
      <c r="FM229" s="11"/>
      <c r="FN229" s="11"/>
      <c r="FO229" s="11"/>
      <c r="FP229" s="11"/>
      <c r="FQ229" s="11"/>
      <c r="FR229" s="11"/>
      <c r="FS229" s="11"/>
      <c r="FT229" s="11"/>
      <c r="FU229" s="11"/>
      <c r="FV229" s="11"/>
      <c r="FW229" s="11"/>
      <c r="FX229" s="11"/>
      <c r="FY229" s="11"/>
      <c r="FZ229" s="11"/>
      <c r="GA229" s="11"/>
      <c r="GB229" s="11"/>
      <c r="GC229" s="11"/>
      <c r="GD229" s="11"/>
      <c r="GE229" s="11"/>
    </row>
    <row r="230" spans="1:187" s="28" customFormat="1" ht="31.5">
      <c r="A230" s="38" t="s">
        <v>218</v>
      </c>
      <c r="B230" s="42">
        <f t="shared" si="43"/>
        <v>3976</v>
      </c>
      <c r="C230" s="42">
        <f t="shared" si="43"/>
        <v>3976</v>
      </c>
      <c r="D230" s="42">
        <f t="shared" si="43"/>
        <v>0</v>
      </c>
      <c r="E230" s="42"/>
      <c r="F230" s="42"/>
      <c r="G230" s="42">
        <f t="shared" si="35"/>
        <v>0</v>
      </c>
      <c r="H230" s="42"/>
      <c r="I230" s="42"/>
      <c r="J230" s="42">
        <f t="shared" si="36"/>
        <v>0</v>
      </c>
      <c r="K230" s="42">
        <v>0</v>
      </c>
      <c r="L230" s="42">
        <v>0</v>
      </c>
      <c r="M230" s="42">
        <f t="shared" si="37"/>
        <v>0</v>
      </c>
      <c r="N230" s="42"/>
      <c r="O230" s="42"/>
      <c r="P230" s="42">
        <f t="shared" si="38"/>
        <v>0</v>
      </c>
      <c r="Q230" s="42">
        <v>3976</v>
      </c>
      <c r="R230" s="42">
        <v>3976</v>
      </c>
      <c r="S230" s="42">
        <f t="shared" si="39"/>
        <v>0</v>
      </c>
      <c r="T230" s="42"/>
      <c r="U230" s="42"/>
      <c r="V230" s="42">
        <f t="shared" si="40"/>
        <v>0</v>
      </c>
      <c r="W230" s="42"/>
      <c r="X230" s="42"/>
      <c r="Y230" s="42">
        <f t="shared" si="41"/>
        <v>0</v>
      </c>
      <c r="Z230" s="42"/>
      <c r="AA230" s="42"/>
      <c r="AB230" s="42">
        <f t="shared" si="42"/>
        <v>0</v>
      </c>
      <c r="AC230" s="11"/>
      <c r="AD230" s="11"/>
      <c r="AE230" s="11"/>
      <c r="AF230" s="11"/>
      <c r="AG230" s="11"/>
      <c r="AH230" s="11"/>
      <c r="AI230" s="11"/>
      <c r="AJ230" s="11"/>
      <c r="AK230" s="11"/>
      <c r="AL230" s="11"/>
      <c r="AM230" s="11"/>
      <c r="AN230" s="11"/>
      <c r="AO230" s="11"/>
      <c r="AP230" s="11"/>
      <c r="AQ230" s="11"/>
      <c r="AR230" s="11"/>
      <c r="AS230" s="11"/>
      <c r="AT230" s="11"/>
      <c r="AU230" s="11"/>
      <c r="AV230" s="11"/>
      <c r="AW230" s="11"/>
      <c r="AX230" s="11"/>
      <c r="AY230" s="11"/>
      <c r="AZ230" s="11"/>
      <c r="BA230" s="11"/>
      <c r="BB230" s="11"/>
      <c r="BC230" s="11"/>
      <c r="BD230" s="11"/>
      <c r="BE230" s="11"/>
      <c r="BF230" s="11"/>
      <c r="BG230" s="11"/>
      <c r="BH230" s="11"/>
      <c r="BI230" s="11"/>
      <c r="BJ230" s="11"/>
      <c r="BK230" s="11"/>
      <c r="BL230" s="11"/>
      <c r="BM230" s="11"/>
      <c r="BN230" s="11"/>
      <c r="BO230" s="11"/>
      <c r="BP230" s="11"/>
      <c r="BQ230" s="11"/>
      <c r="BR230" s="11"/>
      <c r="BS230" s="11"/>
      <c r="BT230" s="11"/>
      <c r="BU230" s="11"/>
      <c r="BV230" s="11"/>
      <c r="BW230" s="11"/>
      <c r="BX230" s="11"/>
      <c r="BY230" s="11"/>
      <c r="BZ230" s="11"/>
      <c r="CA230" s="11"/>
      <c r="CB230" s="11"/>
      <c r="CC230" s="11"/>
      <c r="CD230" s="11"/>
      <c r="CE230" s="11"/>
      <c r="CF230" s="11"/>
      <c r="CG230" s="11"/>
      <c r="CH230" s="11"/>
      <c r="CI230" s="11"/>
      <c r="CJ230" s="11"/>
      <c r="CK230" s="11"/>
      <c r="CL230" s="11"/>
      <c r="CM230" s="11"/>
      <c r="CN230" s="11"/>
      <c r="CO230" s="11"/>
      <c r="CP230" s="11"/>
      <c r="CQ230" s="11"/>
      <c r="CR230" s="11"/>
      <c r="CS230" s="11"/>
      <c r="CT230" s="11"/>
      <c r="CU230" s="11"/>
      <c r="CV230" s="11"/>
      <c r="CW230" s="11"/>
      <c r="CX230" s="11"/>
      <c r="CY230" s="11"/>
      <c r="CZ230" s="11"/>
      <c r="DA230" s="11"/>
      <c r="DB230" s="11"/>
      <c r="DC230" s="11"/>
      <c r="DD230" s="11"/>
      <c r="DE230" s="11"/>
      <c r="DF230" s="11"/>
      <c r="DG230" s="11"/>
      <c r="DH230" s="11"/>
      <c r="DI230" s="11"/>
      <c r="DJ230" s="11"/>
      <c r="DK230" s="11"/>
      <c r="DL230" s="11"/>
      <c r="DM230" s="11"/>
      <c r="DN230" s="11"/>
      <c r="DO230" s="11"/>
      <c r="DP230" s="11"/>
      <c r="DQ230" s="11"/>
      <c r="DR230" s="11"/>
      <c r="DS230" s="11"/>
      <c r="DT230" s="11"/>
      <c r="DU230" s="11"/>
      <c r="DV230" s="11"/>
      <c r="DW230" s="11"/>
      <c r="DX230" s="11"/>
      <c r="DY230" s="11"/>
      <c r="DZ230" s="11"/>
      <c r="EA230" s="11"/>
      <c r="EB230" s="11"/>
      <c r="EC230" s="11"/>
      <c r="ED230" s="11"/>
      <c r="EE230" s="11"/>
      <c r="EF230" s="11"/>
      <c r="EG230" s="11"/>
      <c r="EH230" s="11"/>
      <c r="EI230" s="11"/>
      <c r="EJ230" s="11"/>
      <c r="EK230" s="11"/>
      <c r="EL230" s="11"/>
      <c r="EM230" s="11"/>
      <c r="EN230" s="11"/>
      <c r="EO230" s="11"/>
      <c r="EP230" s="11"/>
      <c r="EQ230" s="11"/>
      <c r="ER230" s="11"/>
      <c r="ES230" s="11"/>
      <c r="ET230" s="11"/>
      <c r="EU230" s="11"/>
      <c r="EV230" s="11"/>
      <c r="EW230" s="11"/>
      <c r="EX230" s="11"/>
      <c r="EY230" s="11"/>
      <c r="EZ230" s="11"/>
      <c r="FA230" s="11"/>
      <c r="FB230" s="11"/>
      <c r="FC230" s="11"/>
      <c r="FD230" s="11"/>
      <c r="FE230" s="11"/>
      <c r="FF230" s="11"/>
      <c r="FG230" s="11"/>
      <c r="FH230" s="11"/>
      <c r="FI230" s="11"/>
      <c r="FJ230" s="11"/>
      <c r="FK230" s="11"/>
      <c r="FL230" s="11"/>
      <c r="FM230" s="11"/>
      <c r="FN230" s="11"/>
      <c r="FO230" s="11"/>
      <c r="FP230" s="11"/>
      <c r="FQ230" s="11"/>
      <c r="FR230" s="11"/>
      <c r="FS230" s="11"/>
      <c r="FT230" s="11"/>
      <c r="FU230" s="11"/>
      <c r="FV230" s="11"/>
      <c r="FW230" s="11"/>
      <c r="FX230" s="11"/>
      <c r="FY230" s="11"/>
      <c r="FZ230" s="11"/>
      <c r="GA230" s="11"/>
      <c r="GB230" s="11"/>
      <c r="GC230" s="11"/>
      <c r="GD230" s="11"/>
      <c r="GE230" s="11"/>
    </row>
    <row r="231" spans="1:187" s="28" customFormat="1" ht="29.25" customHeight="1">
      <c r="A231" s="38" t="s">
        <v>219</v>
      </c>
      <c r="B231" s="42">
        <f t="shared" si="43"/>
        <v>2266</v>
      </c>
      <c r="C231" s="42">
        <f t="shared" si="43"/>
        <v>2266</v>
      </c>
      <c r="D231" s="42">
        <f t="shared" si="43"/>
        <v>0</v>
      </c>
      <c r="E231" s="42"/>
      <c r="F231" s="42"/>
      <c r="G231" s="42">
        <f t="shared" si="35"/>
        <v>0</v>
      </c>
      <c r="H231" s="42"/>
      <c r="I231" s="42"/>
      <c r="J231" s="42">
        <f t="shared" si="36"/>
        <v>0</v>
      </c>
      <c r="K231" s="42">
        <v>0</v>
      </c>
      <c r="L231" s="42">
        <v>0</v>
      </c>
      <c r="M231" s="42">
        <f t="shared" si="37"/>
        <v>0</v>
      </c>
      <c r="N231" s="42"/>
      <c r="O231" s="42"/>
      <c r="P231" s="42">
        <f t="shared" si="38"/>
        <v>0</v>
      </c>
      <c r="Q231" s="42">
        <v>0</v>
      </c>
      <c r="R231" s="42">
        <v>0</v>
      </c>
      <c r="S231" s="42">
        <f t="shared" si="39"/>
        <v>0</v>
      </c>
      <c r="T231" s="42"/>
      <c r="U231" s="42"/>
      <c r="V231" s="42">
        <f t="shared" si="40"/>
        <v>0</v>
      </c>
      <c r="W231" s="42">
        <v>2266</v>
      </c>
      <c r="X231" s="42">
        <v>2266</v>
      </c>
      <c r="Y231" s="42">
        <f t="shared" si="41"/>
        <v>0</v>
      </c>
      <c r="Z231" s="42"/>
      <c r="AA231" s="42"/>
      <c r="AB231" s="42">
        <f t="shared" si="42"/>
        <v>0</v>
      </c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  <c r="AN231" s="11"/>
      <c r="AO231" s="11"/>
      <c r="AP231" s="11"/>
      <c r="AQ231" s="11"/>
      <c r="AR231" s="11"/>
      <c r="AS231" s="11"/>
      <c r="AT231" s="11"/>
      <c r="AU231" s="11"/>
      <c r="AV231" s="11"/>
      <c r="AW231" s="11"/>
      <c r="AX231" s="11"/>
      <c r="AY231" s="11"/>
      <c r="AZ231" s="11"/>
      <c r="BA231" s="11"/>
      <c r="BB231" s="11"/>
      <c r="BC231" s="11"/>
      <c r="BD231" s="11"/>
      <c r="BE231" s="11"/>
      <c r="BF231" s="11"/>
      <c r="BG231" s="11"/>
      <c r="BH231" s="11"/>
      <c r="BI231" s="11"/>
      <c r="BJ231" s="11"/>
      <c r="BK231" s="11"/>
      <c r="BL231" s="11"/>
      <c r="BM231" s="11"/>
      <c r="BN231" s="11"/>
      <c r="BO231" s="11"/>
      <c r="BP231" s="11"/>
      <c r="BQ231" s="11"/>
      <c r="BR231" s="11"/>
      <c r="BS231" s="11"/>
      <c r="BT231" s="11"/>
      <c r="BU231" s="11"/>
      <c r="BV231" s="11"/>
      <c r="BW231" s="11"/>
      <c r="BX231" s="11"/>
      <c r="BY231" s="11"/>
      <c r="BZ231" s="11"/>
      <c r="CA231" s="11"/>
      <c r="CB231" s="11"/>
      <c r="CC231" s="11"/>
      <c r="CD231" s="11"/>
      <c r="CE231" s="11"/>
      <c r="CF231" s="11"/>
      <c r="CG231" s="11"/>
      <c r="CH231" s="11"/>
      <c r="CI231" s="11"/>
      <c r="CJ231" s="11"/>
      <c r="CK231" s="11"/>
      <c r="CL231" s="11"/>
      <c r="CM231" s="11"/>
      <c r="CN231" s="11"/>
      <c r="CO231" s="11"/>
      <c r="CP231" s="11"/>
      <c r="CQ231" s="11"/>
      <c r="CR231" s="11"/>
      <c r="CS231" s="11"/>
      <c r="CT231" s="11"/>
      <c r="CU231" s="11"/>
      <c r="CV231" s="11"/>
      <c r="CW231" s="11"/>
      <c r="CX231" s="11"/>
      <c r="CY231" s="11"/>
      <c r="CZ231" s="11"/>
      <c r="DA231" s="11"/>
      <c r="DB231" s="11"/>
      <c r="DC231" s="11"/>
      <c r="DD231" s="11"/>
      <c r="DE231" s="11"/>
      <c r="DF231" s="11"/>
      <c r="DG231" s="11"/>
      <c r="DH231" s="11"/>
      <c r="DI231" s="11"/>
      <c r="DJ231" s="11"/>
      <c r="DK231" s="11"/>
      <c r="DL231" s="11"/>
      <c r="DM231" s="11"/>
      <c r="DN231" s="11"/>
      <c r="DO231" s="11"/>
      <c r="DP231" s="11"/>
      <c r="DQ231" s="11"/>
      <c r="DR231" s="11"/>
      <c r="DS231" s="11"/>
      <c r="DT231" s="11"/>
      <c r="DU231" s="11"/>
      <c r="DV231" s="11"/>
      <c r="DW231" s="11"/>
      <c r="DX231" s="11"/>
      <c r="DY231" s="11"/>
      <c r="DZ231" s="11"/>
      <c r="EA231" s="11"/>
      <c r="EB231" s="11"/>
      <c r="EC231" s="11"/>
      <c r="ED231" s="11"/>
      <c r="EE231" s="11"/>
      <c r="EF231" s="11"/>
      <c r="EG231" s="11"/>
      <c r="EH231" s="11"/>
      <c r="EI231" s="11"/>
      <c r="EJ231" s="11"/>
      <c r="EK231" s="11"/>
      <c r="EL231" s="11"/>
      <c r="EM231" s="11"/>
      <c r="EN231" s="11"/>
      <c r="EO231" s="11"/>
      <c r="EP231" s="11"/>
      <c r="EQ231" s="11"/>
      <c r="ER231" s="11"/>
      <c r="ES231" s="11"/>
      <c r="ET231" s="11"/>
      <c r="EU231" s="11"/>
      <c r="EV231" s="11"/>
      <c r="EW231" s="11"/>
      <c r="EX231" s="11"/>
      <c r="EY231" s="11"/>
      <c r="EZ231" s="11"/>
      <c r="FA231" s="11"/>
      <c r="FB231" s="11"/>
      <c r="FC231" s="11"/>
      <c r="FD231" s="11"/>
      <c r="FE231" s="11"/>
      <c r="FF231" s="11"/>
      <c r="FG231" s="11"/>
      <c r="FH231" s="11"/>
      <c r="FI231" s="11"/>
      <c r="FJ231" s="11"/>
      <c r="FK231" s="11"/>
      <c r="FL231" s="11"/>
      <c r="FM231" s="11"/>
      <c r="FN231" s="11"/>
      <c r="FO231" s="11"/>
      <c r="FP231" s="11"/>
      <c r="FQ231" s="11"/>
      <c r="FR231" s="11"/>
      <c r="FS231" s="11"/>
      <c r="FT231" s="11"/>
      <c r="FU231" s="11"/>
      <c r="FV231" s="11"/>
      <c r="FW231" s="11"/>
      <c r="FX231" s="11"/>
      <c r="FY231" s="11"/>
      <c r="FZ231" s="11"/>
      <c r="GA231" s="11"/>
      <c r="GB231" s="11"/>
      <c r="GC231" s="11"/>
      <c r="GD231" s="11"/>
      <c r="GE231" s="11"/>
    </row>
    <row r="232" spans="1:187" s="28" customFormat="1" ht="47.25">
      <c r="A232" s="38" t="s">
        <v>220</v>
      </c>
      <c r="B232" s="42">
        <f t="shared" si="43"/>
        <v>5586</v>
      </c>
      <c r="C232" s="42">
        <f t="shared" si="43"/>
        <v>5586</v>
      </c>
      <c r="D232" s="42">
        <f t="shared" si="43"/>
        <v>0</v>
      </c>
      <c r="E232" s="42"/>
      <c r="F232" s="42"/>
      <c r="G232" s="42">
        <f t="shared" si="35"/>
        <v>0</v>
      </c>
      <c r="H232" s="42"/>
      <c r="I232" s="42"/>
      <c r="J232" s="42">
        <f t="shared" si="36"/>
        <v>0</v>
      </c>
      <c r="K232" s="42">
        <v>0</v>
      </c>
      <c r="L232" s="42">
        <v>0</v>
      </c>
      <c r="M232" s="42">
        <f t="shared" si="37"/>
        <v>0</v>
      </c>
      <c r="N232" s="42"/>
      <c r="O232" s="42"/>
      <c r="P232" s="42">
        <f t="shared" si="38"/>
        <v>0</v>
      </c>
      <c r="Q232" s="42">
        <f>5843-257</f>
        <v>5586</v>
      </c>
      <c r="R232" s="42">
        <f>5843-257</f>
        <v>5586</v>
      </c>
      <c r="S232" s="42">
        <f t="shared" si="39"/>
        <v>0</v>
      </c>
      <c r="T232" s="42"/>
      <c r="U232" s="42"/>
      <c r="V232" s="42">
        <f t="shared" si="40"/>
        <v>0</v>
      </c>
      <c r="W232" s="42"/>
      <c r="X232" s="42"/>
      <c r="Y232" s="42">
        <f t="shared" si="41"/>
        <v>0</v>
      </c>
      <c r="Z232" s="42"/>
      <c r="AA232" s="42"/>
      <c r="AB232" s="42">
        <f t="shared" si="42"/>
        <v>0</v>
      </c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  <c r="AO232" s="11"/>
      <c r="AP232" s="11"/>
      <c r="AQ232" s="11"/>
      <c r="AR232" s="11"/>
      <c r="AS232" s="11"/>
      <c r="AT232" s="11"/>
      <c r="AU232" s="11"/>
      <c r="AV232" s="11"/>
      <c r="AW232" s="11"/>
      <c r="AX232" s="11"/>
      <c r="AY232" s="11"/>
      <c r="AZ232" s="11"/>
      <c r="BA232" s="11"/>
      <c r="BB232" s="11"/>
      <c r="BC232" s="11"/>
      <c r="BD232" s="11"/>
      <c r="BE232" s="11"/>
      <c r="BF232" s="11"/>
      <c r="BG232" s="11"/>
      <c r="BH232" s="11"/>
      <c r="BI232" s="11"/>
      <c r="BJ232" s="11"/>
      <c r="BK232" s="11"/>
      <c r="BL232" s="11"/>
      <c r="BM232" s="11"/>
      <c r="BN232" s="11"/>
      <c r="BO232" s="11"/>
      <c r="BP232" s="11"/>
      <c r="BQ232" s="11"/>
      <c r="BR232" s="11"/>
      <c r="BS232" s="11"/>
      <c r="BT232" s="11"/>
      <c r="BU232" s="11"/>
      <c r="BV232" s="11"/>
      <c r="BW232" s="11"/>
      <c r="BX232" s="11"/>
      <c r="BY232" s="11"/>
      <c r="BZ232" s="11"/>
      <c r="CA232" s="11"/>
      <c r="CB232" s="11"/>
      <c r="CC232" s="11"/>
      <c r="CD232" s="11"/>
      <c r="CE232" s="11"/>
      <c r="CF232" s="11"/>
      <c r="CG232" s="11"/>
      <c r="CH232" s="11"/>
      <c r="CI232" s="11"/>
      <c r="CJ232" s="11"/>
      <c r="CK232" s="11"/>
      <c r="CL232" s="11"/>
      <c r="CM232" s="11"/>
      <c r="CN232" s="11"/>
      <c r="CO232" s="11"/>
      <c r="CP232" s="11"/>
      <c r="CQ232" s="11"/>
      <c r="CR232" s="11"/>
      <c r="CS232" s="11"/>
      <c r="CT232" s="11"/>
      <c r="CU232" s="11"/>
      <c r="CV232" s="11"/>
      <c r="CW232" s="11"/>
      <c r="CX232" s="11"/>
      <c r="CY232" s="11"/>
      <c r="CZ232" s="11"/>
      <c r="DA232" s="11"/>
      <c r="DB232" s="11"/>
      <c r="DC232" s="11"/>
      <c r="DD232" s="11"/>
      <c r="DE232" s="11"/>
      <c r="DF232" s="11"/>
      <c r="DG232" s="11"/>
      <c r="DH232" s="11"/>
      <c r="DI232" s="11"/>
      <c r="DJ232" s="11"/>
      <c r="DK232" s="11"/>
      <c r="DL232" s="11"/>
      <c r="DM232" s="11"/>
      <c r="DN232" s="11"/>
      <c r="DO232" s="11"/>
      <c r="DP232" s="11"/>
      <c r="DQ232" s="11"/>
      <c r="DR232" s="11"/>
      <c r="DS232" s="11"/>
      <c r="DT232" s="11"/>
      <c r="DU232" s="11"/>
      <c r="DV232" s="11"/>
      <c r="DW232" s="11"/>
      <c r="DX232" s="11"/>
      <c r="DY232" s="11"/>
      <c r="DZ232" s="11"/>
      <c r="EA232" s="11"/>
      <c r="EB232" s="11"/>
      <c r="EC232" s="11"/>
      <c r="ED232" s="11"/>
      <c r="EE232" s="11"/>
      <c r="EF232" s="11"/>
      <c r="EG232" s="11"/>
      <c r="EH232" s="11"/>
      <c r="EI232" s="11"/>
      <c r="EJ232" s="11"/>
      <c r="EK232" s="11"/>
      <c r="EL232" s="11"/>
      <c r="EM232" s="11"/>
      <c r="EN232" s="11"/>
      <c r="EO232" s="11"/>
      <c r="EP232" s="11"/>
      <c r="EQ232" s="11"/>
      <c r="ER232" s="11"/>
      <c r="ES232" s="11"/>
      <c r="ET232" s="11"/>
      <c r="EU232" s="11"/>
      <c r="EV232" s="11"/>
      <c r="EW232" s="11"/>
      <c r="EX232" s="11"/>
      <c r="EY232" s="11"/>
      <c r="EZ232" s="11"/>
      <c r="FA232" s="11"/>
      <c r="FB232" s="11"/>
      <c r="FC232" s="11"/>
      <c r="FD232" s="11"/>
      <c r="FE232" s="11"/>
      <c r="FF232" s="11"/>
      <c r="FG232" s="11"/>
      <c r="FH232" s="11"/>
      <c r="FI232" s="11"/>
      <c r="FJ232" s="11"/>
      <c r="FK232" s="11"/>
      <c r="FL232" s="11"/>
      <c r="FM232" s="11"/>
      <c r="FN232" s="11"/>
      <c r="FO232" s="11"/>
      <c r="FP232" s="11"/>
      <c r="FQ232" s="11"/>
      <c r="FR232" s="11"/>
      <c r="FS232" s="11"/>
      <c r="FT232" s="11"/>
      <c r="FU232" s="11"/>
      <c r="FV232" s="11"/>
      <c r="FW232" s="11"/>
      <c r="FX232" s="11"/>
      <c r="FY232" s="11"/>
      <c r="FZ232" s="11"/>
      <c r="GA232" s="11"/>
      <c r="GB232" s="11"/>
      <c r="GC232" s="11"/>
      <c r="GD232" s="11"/>
      <c r="GE232" s="11"/>
    </row>
    <row r="233" spans="1:187" s="28" customFormat="1" ht="31.5">
      <c r="A233" s="38" t="s">
        <v>221</v>
      </c>
      <c r="B233" s="42">
        <f t="shared" si="43"/>
        <v>2400</v>
      </c>
      <c r="C233" s="42">
        <f t="shared" si="43"/>
        <v>2400</v>
      </c>
      <c r="D233" s="42">
        <f t="shared" si="43"/>
        <v>0</v>
      </c>
      <c r="E233" s="42"/>
      <c r="F233" s="42"/>
      <c r="G233" s="42">
        <f t="shared" si="35"/>
        <v>0</v>
      </c>
      <c r="H233" s="42"/>
      <c r="I233" s="42"/>
      <c r="J233" s="42">
        <f t="shared" si="36"/>
        <v>0</v>
      </c>
      <c r="K233" s="42">
        <v>0</v>
      </c>
      <c r="L233" s="42">
        <v>0</v>
      </c>
      <c r="M233" s="42">
        <f t="shared" si="37"/>
        <v>0</v>
      </c>
      <c r="N233" s="42"/>
      <c r="O233" s="42"/>
      <c r="P233" s="42">
        <f t="shared" si="38"/>
        <v>0</v>
      </c>
      <c r="Q233" s="42">
        <v>2400</v>
      </c>
      <c r="R233" s="42">
        <v>2400</v>
      </c>
      <c r="S233" s="42">
        <f t="shared" si="39"/>
        <v>0</v>
      </c>
      <c r="T233" s="42"/>
      <c r="U233" s="42"/>
      <c r="V233" s="42">
        <f t="shared" si="40"/>
        <v>0</v>
      </c>
      <c r="W233" s="42"/>
      <c r="X233" s="42"/>
      <c r="Y233" s="42">
        <f t="shared" si="41"/>
        <v>0</v>
      </c>
      <c r="Z233" s="42"/>
      <c r="AA233" s="42"/>
      <c r="AB233" s="42">
        <f t="shared" si="42"/>
        <v>0</v>
      </c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1"/>
      <c r="AQ233" s="11"/>
      <c r="AR233" s="11"/>
      <c r="AS233" s="11"/>
      <c r="AT233" s="11"/>
      <c r="AU233" s="11"/>
      <c r="AV233" s="11"/>
      <c r="AW233" s="11"/>
      <c r="AX233" s="11"/>
      <c r="AY233" s="11"/>
      <c r="AZ233" s="11"/>
      <c r="BA233" s="11"/>
      <c r="BB233" s="11"/>
      <c r="BC233" s="11"/>
      <c r="BD233" s="11"/>
      <c r="BE233" s="11"/>
      <c r="BF233" s="11"/>
      <c r="BG233" s="11"/>
      <c r="BH233" s="11"/>
      <c r="BI233" s="11"/>
      <c r="BJ233" s="11"/>
      <c r="BK233" s="11"/>
      <c r="BL233" s="11"/>
      <c r="BM233" s="11"/>
      <c r="BN233" s="11"/>
      <c r="BO233" s="11"/>
      <c r="BP233" s="11"/>
      <c r="BQ233" s="11"/>
      <c r="BR233" s="11"/>
      <c r="BS233" s="11"/>
      <c r="BT233" s="11"/>
      <c r="BU233" s="11"/>
      <c r="BV233" s="11"/>
      <c r="BW233" s="11"/>
      <c r="BX233" s="11"/>
      <c r="BY233" s="11"/>
      <c r="BZ233" s="11"/>
      <c r="CA233" s="11"/>
      <c r="CB233" s="11"/>
      <c r="CC233" s="11"/>
      <c r="CD233" s="11"/>
      <c r="CE233" s="11"/>
      <c r="CF233" s="11"/>
      <c r="CG233" s="11"/>
      <c r="CH233" s="11"/>
      <c r="CI233" s="11"/>
      <c r="CJ233" s="11"/>
      <c r="CK233" s="11"/>
      <c r="CL233" s="11"/>
      <c r="CM233" s="11"/>
      <c r="CN233" s="11"/>
      <c r="CO233" s="11"/>
      <c r="CP233" s="11"/>
      <c r="CQ233" s="11"/>
      <c r="CR233" s="11"/>
      <c r="CS233" s="11"/>
      <c r="CT233" s="11"/>
      <c r="CU233" s="11"/>
      <c r="CV233" s="11"/>
      <c r="CW233" s="11"/>
      <c r="CX233" s="11"/>
      <c r="CY233" s="11"/>
      <c r="CZ233" s="11"/>
      <c r="DA233" s="11"/>
      <c r="DB233" s="11"/>
      <c r="DC233" s="11"/>
      <c r="DD233" s="11"/>
      <c r="DE233" s="11"/>
      <c r="DF233" s="11"/>
      <c r="DG233" s="11"/>
      <c r="DH233" s="11"/>
      <c r="DI233" s="11"/>
      <c r="DJ233" s="11"/>
      <c r="DK233" s="11"/>
      <c r="DL233" s="11"/>
      <c r="DM233" s="11"/>
      <c r="DN233" s="11"/>
      <c r="DO233" s="11"/>
      <c r="DP233" s="11"/>
      <c r="DQ233" s="11"/>
      <c r="DR233" s="11"/>
      <c r="DS233" s="11"/>
      <c r="DT233" s="11"/>
      <c r="DU233" s="11"/>
      <c r="DV233" s="11"/>
      <c r="DW233" s="11"/>
      <c r="DX233" s="11"/>
      <c r="DY233" s="11"/>
      <c r="DZ233" s="11"/>
      <c r="EA233" s="11"/>
      <c r="EB233" s="11"/>
      <c r="EC233" s="11"/>
      <c r="ED233" s="11"/>
      <c r="EE233" s="11"/>
      <c r="EF233" s="11"/>
      <c r="EG233" s="11"/>
      <c r="EH233" s="11"/>
      <c r="EI233" s="11"/>
      <c r="EJ233" s="11"/>
      <c r="EK233" s="11"/>
      <c r="EL233" s="11"/>
      <c r="EM233" s="11"/>
      <c r="EN233" s="11"/>
      <c r="EO233" s="11"/>
      <c r="EP233" s="11"/>
      <c r="EQ233" s="11"/>
      <c r="ER233" s="11"/>
      <c r="ES233" s="11"/>
      <c r="ET233" s="11"/>
      <c r="EU233" s="11"/>
      <c r="EV233" s="11"/>
      <c r="EW233" s="11"/>
      <c r="EX233" s="11"/>
      <c r="EY233" s="11"/>
      <c r="EZ233" s="11"/>
      <c r="FA233" s="11"/>
      <c r="FB233" s="11"/>
      <c r="FC233" s="11"/>
      <c r="FD233" s="11"/>
      <c r="FE233" s="11"/>
      <c r="FF233" s="11"/>
      <c r="FG233" s="11"/>
      <c r="FH233" s="11"/>
      <c r="FI233" s="11"/>
      <c r="FJ233" s="11"/>
      <c r="FK233" s="11"/>
      <c r="FL233" s="11"/>
      <c r="FM233" s="11"/>
      <c r="FN233" s="11"/>
      <c r="FO233" s="11"/>
      <c r="FP233" s="11"/>
      <c r="FQ233" s="11"/>
      <c r="FR233" s="11"/>
      <c r="FS233" s="11"/>
      <c r="FT233" s="11"/>
      <c r="FU233" s="11"/>
      <c r="FV233" s="11"/>
      <c r="FW233" s="11"/>
      <c r="FX233" s="11"/>
      <c r="FY233" s="11"/>
      <c r="FZ233" s="11"/>
      <c r="GA233" s="11"/>
      <c r="GB233" s="11"/>
      <c r="GC233" s="11"/>
      <c r="GD233" s="11"/>
      <c r="GE233" s="11"/>
    </row>
    <row r="234" spans="1:187" s="11" customFormat="1" ht="47.25">
      <c r="A234" s="35" t="s">
        <v>222</v>
      </c>
      <c r="B234" s="36">
        <f t="shared" si="43"/>
        <v>7112</v>
      </c>
      <c r="C234" s="36">
        <f t="shared" si="43"/>
        <v>7112</v>
      </c>
      <c r="D234" s="36">
        <f t="shared" si="43"/>
        <v>0</v>
      </c>
      <c r="E234" s="36"/>
      <c r="F234" s="36"/>
      <c r="G234" s="36">
        <f t="shared" si="35"/>
        <v>0</v>
      </c>
      <c r="H234" s="36"/>
      <c r="I234" s="36"/>
      <c r="J234" s="36">
        <f t="shared" si="36"/>
        <v>0</v>
      </c>
      <c r="K234" s="36"/>
      <c r="L234" s="36"/>
      <c r="M234" s="36">
        <f t="shared" si="37"/>
        <v>0</v>
      </c>
      <c r="N234" s="36">
        <v>0</v>
      </c>
      <c r="O234" s="36">
        <v>0</v>
      </c>
      <c r="P234" s="36">
        <f t="shared" si="38"/>
        <v>0</v>
      </c>
      <c r="Q234" s="36">
        <f>6414+699-1</f>
        <v>7112</v>
      </c>
      <c r="R234" s="36">
        <f>6414+699-1</f>
        <v>7112</v>
      </c>
      <c r="S234" s="36">
        <f t="shared" si="39"/>
        <v>0</v>
      </c>
      <c r="T234" s="36"/>
      <c r="U234" s="36"/>
      <c r="V234" s="36">
        <f t="shared" si="40"/>
        <v>0</v>
      </c>
      <c r="W234" s="36"/>
      <c r="X234" s="36"/>
      <c r="Y234" s="36">
        <f t="shared" si="41"/>
        <v>0</v>
      </c>
      <c r="Z234" s="36"/>
      <c r="AA234" s="36"/>
      <c r="AB234" s="36">
        <f t="shared" si="42"/>
        <v>0</v>
      </c>
    </row>
    <row r="235" spans="1:187" s="11" customFormat="1" ht="31.5">
      <c r="A235" s="38" t="s">
        <v>223</v>
      </c>
      <c r="B235" s="33">
        <f t="shared" si="43"/>
        <v>14998</v>
      </c>
      <c r="C235" s="33">
        <f t="shared" si="43"/>
        <v>14998</v>
      </c>
      <c r="D235" s="33">
        <f t="shared" si="43"/>
        <v>0</v>
      </c>
      <c r="E235" s="33"/>
      <c r="F235" s="33"/>
      <c r="G235" s="33">
        <f t="shared" si="35"/>
        <v>0</v>
      </c>
      <c r="H235" s="33"/>
      <c r="I235" s="33"/>
      <c r="J235" s="33">
        <f t="shared" si="36"/>
        <v>0</v>
      </c>
      <c r="K235" s="33">
        <f>14998</f>
        <v>14998</v>
      </c>
      <c r="L235" s="33">
        <f>14998</f>
        <v>14998</v>
      </c>
      <c r="M235" s="33">
        <f t="shared" si="37"/>
        <v>0</v>
      </c>
      <c r="N235" s="33">
        <v>0</v>
      </c>
      <c r="O235" s="33">
        <v>0</v>
      </c>
      <c r="P235" s="33">
        <f t="shared" si="38"/>
        <v>0</v>
      </c>
      <c r="Q235" s="33">
        <f>14998-14998</f>
        <v>0</v>
      </c>
      <c r="R235" s="33">
        <f>14998-14998</f>
        <v>0</v>
      </c>
      <c r="S235" s="33">
        <f t="shared" si="39"/>
        <v>0</v>
      </c>
      <c r="T235" s="33"/>
      <c r="U235" s="33"/>
      <c r="V235" s="33">
        <f t="shared" si="40"/>
        <v>0</v>
      </c>
      <c r="W235" s="33"/>
      <c r="X235" s="33"/>
      <c r="Y235" s="33">
        <f t="shared" si="41"/>
        <v>0</v>
      </c>
      <c r="Z235" s="33"/>
      <c r="AA235" s="33"/>
      <c r="AB235" s="33">
        <f t="shared" si="42"/>
        <v>0</v>
      </c>
    </row>
    <row r="236" spans="1:187" s="11" customFormat="1">
      <c r="A236" s="38" t="s">
        <v>224</v>
      </c>
      <c r="B236" s="33">
        <f t="shared" si="43"/>
        <v>12461</v>
      </c>
      <c r="C236" s="33">
        <f t="shared" si="43"/>
        <v>12461</v>
      </c>
      <c r="D236" s="33">
        <f t="shared" si="43"/>
        <v>0</v>
      </c>
      <c r="E236" s="33"/>
      <c r="F236" s="33"/>
      <c r="G236" s="33">
        <f t="shared" si="35"/>
        <v>0</v>
      </c>
      <c r="H236" s="33"/>
      <c r="I236" s="33"/>
      <c r="J236" s="33">
        <f t="shared" si="36"/>
        <v>0</v>
      </c>
      <c r="K236" s="33">
        <v>12461</v>
      </c>
      <c r="L236" s="33">
        <v>12461</v>
      </c>
      <c r="M236" s="33">
        <f t="shared" si="37"/>
        <v>0</v>
      </c>
      <c r="N236" s="33">
        <v>0</v>
      </c>
      <c r="O236" s="33">
        <v>0</v>
      </c>
      <c r="P236" s="33">
        <f t="shared" si="38"/>
        <v>0</v>
      </c>
      <c r="Q236" s="33">
        <f>12461-12461</f>
        <v>0</v>
      </c>
      <c r="R236" s="33">
        <f>12461-12461</f>
        <v>0</v>
      </c>
      <c r="S236" s="33">
        <f t="shared" si="39"/>
        <v>0</v>
      </c>
      <c r="T236" s="33"/>
      <c r="U236" s="33"/>
      <c r="V236" s="33">
        <f t="shared" si="40"/>
        <v>0</v>
      </c>
      <c r="W236" s="33"/>
      <c r="X236" s="33"/>
      <c r="Y236" s="33">
        <f t="shared" si="41"/>
        <v>0</v>
      </c>
      <c r="Z236" s="33"/>
      <c r="AA236" s="33"/>
      <c r="AB236" s="33">
        <f t="shared" si="42"/>
        <v>0</v>
      </c>
    </row>
    <row r="237" spans="1:187" s="11" customFormat="1" ht="63">
      <c r="A237" s="35" t="s">
        <v>225</v>
      </c>
      <c r="B237" s="36">
        <f t="shared" si="43"/>
        <v>23826</v>
      </c>
      <c r="C237" s="36">
        <f t="shared" si="43"/>
        <v>23826</v>
      </c>
      <c r="D237" s="36">
        <f t="shared" si="43"/>
        <v>0</v>
      </c>
      <c r="E237" s="36">
        <v>0</v>
      </c>
      <c r="F237" s="36">
        <v>0</v>
      </c>
      <c r="G237" s="36">
        <f t="shared" si="35"/>
        <v>0</v>
      </c>
      <c r="H237" s="36"/>
      <c r="I237" s="36"/>
      <c r="J237" s="36">
        <f t="shared" si="36"/>
        <v>0</v>
      </c>
      <c r="K237" s="36">
        <f>20221</f>
        <v>20221</v>
      </c>
      <c r="L237" s="36">
        <f>20221</f>
        <v>20221</v>
      </c>
      <c r="M237" s="36">
        <f t="shared" si="37"/>
        <v>0</v>
      </c>
      <c r="N237" s="36"/>
      <c r="O237" s="36"/>
      <c r="P237" s="36">
        <f t="shared" si="38"/>
        <v>0</v>
      </c>
      <c r="Q237" s="36">
        <f>3605+20221-20221</f>
        <v>3605</v>
      </c>
      <c r="R237" s="36">
        <f>3605+20221-20221</f>
        <v>3605</v>
      </c>
      <c r="S237" s="36">
        <f t="shared" si="39"/>
        <v>0</v>
      </c>
      <c r="T237" s="36"/>
      <c r="U237" s="36"/>
      <c r="V237" s="36">
        <f t="shared" si="40"/>
        <v>0</v>
      </c>
      <c r="W237" s="36"/>
      <c r="X237" s="36"/>
      <c r="Y237" s="36">
        <f t="shared" si="41"/>
        <v>0</v>
      </c>
      <c r="Z237" s="36"/>
      <c r="AA237" s="36"/>
      <c r="AB237" s="36">
        <f t="shared" si="42"/>
        <v>0</v>
      </c>
    </row>
    <row r="238" spans="1:187" s="11" customFormat="1">
      <c r="A238" s="35" t="s">
        <v>226</v>
      </c>
      <c r="B238" s="36">
        <f t="shared" si="43"/>
        <v>11327</v>
      </c>
      <c r="C238" s="36">
        <f t="shared" si="43"/>
        <v>11327</v>
      </c>
      <c r="D238" s="36">
        <f t="shared" si="43"/>
        <v>0</v>
      </c>
      <c r="E238" s="36"/>
      <c r="F238" s="36"/>
      <c r="G238" s="36">
        <f t="shared" si="35"/>
        <v>0</v>
      </c>
      <c r="H238" s="36"/>
      <c r="I238" s="36"/>
      <c r="J238" s="36">
        <f t="shared" si="36"/>
        <v>0</v>
      </c>
      <c r="K238" s="36"/>
      <c r="L238" s="36"/>
      <c r="M238" s="36">
        <f t="shared" si="37"/>
        <v>0</v>
      </c>
      <c r="N238" s="36">
        <v>0</v>
      </c>
      <c r="O238" s="36">
        <v>0</v>
      </c>
      <c r="P238" s="36">
        <f t="shared" si="38"/>
        <v>0</v>
      </c>
      <c r="Q238" s="36">
        <f>11806-479-11327</f>
        <v>0</v>
      </c>
      <c r="R238" s="36">
        <f>11806-479-11327</f>
        <v>0</v>
      </c>
      <c r="S238" s="36">
        <f t="shared" si="39"/>
        <v>0</v>
      </c>
      <c r="T238" s="36"/>
      <c r="U238" s="36"/>
      <c r="V238" s="36">
        <f t="shared" si="40"/>
        <v>0</v>
      </c>
      <c r="W238" s="36"/>
      <c r="X238" s="36"/>
      <c r="Y238" s="36">
        <f t="shared" si="41"/>
        <v>0</v>
      </c>
      <c r="Z238" s="36">
        <f>11327</f>
        <v>11327</v>
      </c>
      <c r="AA238" s="36">
        <f>11327</f>
        <v>11327</v>
      </c>
      <c r="AB238" s="36">
        <f t="shared" si="42"/>
        <v>0</v>
      </c>
    </row>
    <row r="239" spans="1:187" s="11" customFormat="1">
      <c r="A239" s="29" t="s">
        <v>108</v>
      </c>
      <c r="B239" s="30">
        <f t="shared" si="43"/>
        <v>222448</v>
      </c>
      <c r="C239" s="30">
        <f t="shared" si="43"/>
        <v>222448</v>
      </c>
      <c r="D239" s="30">
        <f t="shared" si="43"/>
        <v>0</v>
      </c>
      <c r="E239" s="30">
        <f>SUM(E240:E243)</f>
        <v>0</v>
      </c>
      <c r="F239" s="30">
        <f>SUM(F240:F243)</f>
        <v>0</v>
      </c>
      <c r="G239" s="30">
        <f t="shared" si="35"/>
        <v>0</v>
      </c>
      <c r="H239" s="30">
        <f>SUM(H240:H243)</f>
        <v>0</v>
      </c>
      <c r="I239" s="30">
        <f>SUM(I240:I243)</f>
        <v>0</v>
      </c>
      <c r="J239" s="30">
        <f t="shared" si="36"/>
        <v>0</v>
      </c>
      <c r="K239" s="30">
        <f>SUM(K240:K243)</f>
        <v>8820</v>
      </c>
      <c r="L239" s="30">
        <f>SUM(L240:L243)</f>
        <v>8820</v>
      </c>
      <c r="M239" s="30">
        <f t="shared" si="37"/>
        <v>0</v>
      </c>
      <c r="N239" s="30">
        <f>SUM(N240:N243)</f>
        <v>110068</v>
      </c>
      <c r="O239" s="30">
        <f>SUM(O240:O243)</f>
        <v>110068</v>
      </c>
      <c r="P239" s="30">
        <f t="shared" si="38"/>
        <v>0</v>
      </c>
      <c r="Q239" s="30">
        <f>SUM(Q240:Q243)</f>
        <v>70380</v>
      </c>
      <c r="R239" s="30">
        <f>SUM(R240:R243)</f>
        <v>70380</v>
      </c>
      <c r="S239" s="30">
        <f t="shared" si="39"/>
        <v>0</v>
      </c>
      <c r="T239" s="30">
        <f>SUM(T240:T243)</f>
        <v>0</v>
      </c>
      <c r="U239" s="30">
        <f>SUM(U240:U243)</f>
        <v>0</v>
      </c>
      <c r="V239" s="30">
        <f t="shared" si="40"/>
        <v>0</v>
      </c>
      <c r="W239" s="30">
        <f>SUM(W240:W243)</f>
        <v>0</v>
      </c>
      <c r="X239" s="30">
        <f>SUM(X240:X243)</f>
        <v>0</v>
      </c>
      <c r="Y239" s="30">
        <f t="shared" si="41"/>
        <v>0</v>
      </c>
      <c r="Z239" s="30">
        <f>SUM(Z240:Z243)</f>
        <v>33180</v>
      </c>
      <c r="AA239" s="30">
        <f>SUM(AA240:AA243)</f>
        <v>33180</v>
      </c>
      <c r="AB239" s="30">
        <f t="shared" si="42"/>
        <v>0</v>
      </c>
    </row>
    <row r="240" spans="1:187" s="28" customFormat="1" ht="31.5">
      <c r="A240" s="38" t="s">
        <v>227</v>
      </c>
      <c r="B240" s="42">
        <f t="shared" si="43"/>
        <v>70380</v>
      </c>
      <c r="C240" s="42">
        <f t="shared" si="43"/>
        <v>70380</v>
      </c>
      <c r="D240" s="42">
        <f t="shared" si="43"/>
        <v>0</v>
      </c>
      <c r="E240" s="42"/>
      <c r="F240" s="42"/>
      <c r="G240" s="42">
        <f t="shared" si="35"/>
        <v>0</v>
      </c>
      <c r="H240" s="42"/>
      <c r="I240" s="42"/>
      <c r="J240" s="42">
        <f t="shared" si="36"/>
        <v>0</v>
      </c>
      <c r="K240" s="42">
        <v>0</v>
      </c>
      <c r="L240" s="42">
        <v>0</v>
      </c>
      <c r="M240" s="42">
        <f t="shared" si="37"/>
        <v>0</v>
      </c>
      <c r="N240" s="42"/>
      <c r="O240" s="42"/>
      <c r="P240" s="42">
        <f t="shared" si="38"/>
        <v>0</v>
      </c>
      <c r="Q240" s="42">
        <f>70500-120</f>
        <v>70380</v>
      </c>
      <c r="R240" s="42">
        <f>70500-120</f>
        <v>70380</v>
      </c>
      <c r="S240" s="42">
        <f t="shared" si="39"/>
        <v>0</v>
      </c>
      <c r="T240" s="42"/>
      <c r="U240" s="42"/>
      <c r="V240" s="42">
        <f t="shared" si="40"/>
        <v>0</v>
      </c>
      <c r="W240" s="42"/>
      <c r="X240" s="42"/>
      <c r="Y240" s="42">
        <f t="shared" si="41"/>
        <v>0</v>
      </c>
      <c r="Z240" s="42"/>
      <c r="AA240" s="42"/>
      <c r="AB240" s="42">
        <f t="shared" si="42"/>
        <v>0</v>
      </c>
      <c r="AC240" s="11"/>
      <c r="AD240" s="11"/>
      <c r="AE240" s="11"/>
      <c r="AF240" s="11"/>
      <c r="AG240" s="11"/>
      <c r="AH240" s="11"/>
      <c r="AI240" s="11"/>
      <c r="AJ240" s="11"/>
      <c r="AK240" s="11"/>
      <c r="AL240" s="11"/>
      <c r="AM240" s="11"/>
      <c r="AN240" s="11"/>
      <c r="AO240" s="11"/>
      <c r="AP240" s="11"/>
      <c r="AQ240" s="11"/>
      <c r="AR240" s="11"/>
      <c r="AS240" s="11"/>
      <c r="AT240" s="11"/>
      <c r="AU240" s="11"/>
      <c r="AV240" s="11"/>
      <c r="AW240" s="11"/>
      <c r="AX240" s="11"/>
      <c r="AY240" s="11"/>
      <c r="AZ240" s="11"/>
      <c r="BA240" s="11"/>
      <c r="BB240" s="11"/>
      <c r="BC240" s="11"/>
      <c r="BD240" s="11"/>
      <c r="BE240" s="11"/>
      <c r="BF240" s="11"/>
      <c r="BG240" s="11"/>
      <c r="BH240" s="11"/>
      <c r="BI240" s="11"/>
      <c r="BJ240" s="11"/>
      <c r="BK240" s="11"/>
      <c r="BL240" s="11"/>
      <c r="BM240" s="11"/>
      <c r="BN240" s="11"/>
      <c r="BO240" s="11"/>
      <c r="BP240" s="11"/>
      <c r="BQ240" s="11"/>
      <c r="BR240" s="11"/>
      <c r="BS240" s="11"/>
      <c r="BT240" s="11"/>
      <c r="BU240" s="11"/>
      <c r="BV240" s="11"/>
      <c r="BW240" s="11"/>
      <c r="BX240" s="11"/>
      <c r="BY240" s="11"/>
      <c r="BZ240" s="11"/>
      <c r="CA240" s="11"/>
      <c r="CB240" s="11"/>
      <c r="CC240" s="11"/>
      <c r="CD240" s="11"/>
      <c r="CE240" s="11"/>
      <c r="CF240" s="11"/>
      <c r="CG240" s="11"/>
      <c r="CH240" s="11"/>
      <c r="CI240" s="11"/>
      <c r="CJ240" s="11"/>
      <c r="CK240" s="11"/>
      <c r="CL240" s="11"/>
      <c r="CM240" s="11"/>
      <c r="CN240" s="11"/>
      <c r="CO240" s="11"/>
      <c r="CP240" s="11"/>
      <c r="CQ240" s="11"/>
      <c r="CR240" s="11"/>
      <c r="CS240" s="11"/>
      <c r="CT240" s="11"/>
      <c r="CU240" s="11"/>
      <c r="CV240" s="11"/>
      <c r="CW240" s="11"/>
      <c r="CX240" s="11"/>
      <c r="CY240" s="11"/>
      <c r="CZ240" s="11"/>
      <c r="DA240" s="11"/>
      <c r="DB240" s="11"/>
      <c r="DC240" s="11"/>
      <c r="DD240" s="11"/>
      <c r="DE240" s="11"/>
      <c r="DF240" s="11"/>
      <c r="DG240" s="11"/>
      <c r="DH240" s="11"/>
      <c r="DI240" s="11"/>
      <c r="DJ240" s="11"/>
      <c r="DK240" s="11"/>
      <c r="DL240" s="11"/>
      <c r="DM240" s="11"/>
      <c r="DN240" s="11"/>
      <c r="DO240" s="11"/>
      <c r="DP240" s="11"/>
      <c r="DQ240" s="11"/>
      <c r="DR240" s="11"/>
      <c r="DS240" s="11"/>
      <c r="DT240" s="11"/>
      <c r="DU240" s="11"/>
      <c r="DV240" s="11"/>
      <c r="DW240" s="11"/>
      <c r="DX240" s="11"/>
      <c r="DY240" s="11"/>
      <c r="DZ240" s="11"/>
      <c r="EA240" s="11"/>
      <c r="EB240" s="11"/>
      <c r="EC240" s="11"/>
      <c r="ED240" s="11"/>
      <c r="EE240" s="11"/>
      <c r="EF240" s="11"/>
      <c r="EG240" s="11"/>
      <c r="EH240" s="11"/>
      <c r="EI240" s="11"/>
      <c r="EJ240" s="11"/>
      <c r="EK240" s="11"/>
      <c r="EL240" s="11"/>
      <c r="EM240" s="11"/>
      <c r="EN240" s="11"/>
      <c r="EO240" s="11"/>
      <c r="EP240" s="11"/>
      <c r="EQ240" s="11"/>
      <c r="ER240" s="11"/>
      <c r="ES240" s="11"/>
      <c r="ET240" s="11"/>
      <c r="EU240" s="11"/>
      <c r="EV240" s="11"/>
      <c r="EW240" s="11"/>
      <c r="EX240" s="11"/>
      <c r="EY240" s="11"/>
      <c r="EZ240" s="11"/>
      <c r="FA240" s="11"/>
      <c r="FB240" s="11"/>
      <c r="FC240" s="11"/>
      <c r="FD240" s="11"/>
      <c r="FE240" s="11"/>
      <c r="FF240" s="11"/>
      <c r="FG240" s="11"/>
      <c r="FH240" s="11"/>
      <c r="FI240" s="11"/>
      <c r="FJ240" s="11"/>
      <c r="FK240" s="11"/>
      <c r="FL240" s="11"/>
      <c r="FM240" s="11"/>
      <c r="FN240" s="11"/>
      <c r="FO240" s="11"/>
      <c r="FP240" s="11"/>
      <c r="FQ240" s="11"/>
      <c r="FR240" s="11"/>
      <c r="FS240" s="11"/>
      <c r="FT240" s="11"/>
      <c r="FU240" s="11"/>
      <c r="FV240" s="11"/>
      <c r="FW240" s="11"/>
      <c r="FX240" s="11"/>
      <c r="FY240" s="11"/>
      <c r="FZ240" s="11"/>
      <c r="GA240" s="11"/>
      <c r="GB240" s="11"/>
      <c r="GC240" s="11"/>
      <c r="GD240" s="11"/>
      <c r="GE240" s="11"/>
    </row>
    <row r="241" spans="1:187" s="28" customFormat="1" ht="31.5">
      <c r="A241" s="38" t="s">
        <v>228</v>
      </c>
      <c r="B241" s="42">
        <f t="shared" si="43"/>
        <v>42000</v>
      </c>
      <c r="C241" s="42">
        <f t="shared" si="43"/>
        <v>42000</v>
      </c>
      <c r="D241" s="42">
        <f t="shared" si="43"/>
        <v>0</v>
      </c>
      <c r="E241" s="42"/>
      <c r="F241" s="42"/>
      <c r="G241" s="42">
        <f t="shared" si="35"/>
        <v>0</v>
      </c>
      <c r="H241" s="42"/>
      <c r="I241" s="42"/>
      <c r="J241" s="42">
        <f t="shared" si="36"/>
        <v>0</v>
      </c>
      <c r="K241" s="42">
        <v>8820</v>
      </c>
      <c r="L241" s="42">
        <v>8820</v>
      </c>
      <c r="M241" s="42">
        <f t="shared" si="37"/>
        <v>0</v>
      </c>
      <c r="N241" s="42"/>
      <c r="O241" s="42"/>
      <c r="P241" s="42">
        <f t="shared" si="38"/>
        <v>0</v>
      </c>
      <c r="Q241" s="42"/>
      <c r="R241" s="42"/>
      <c r="S241" s="42">
        <f t="shared" si="39"/>
        <v>0</v>
      </c>
      <c r="T241" s="42"/>
      <c r="U241" s="42"/>
      <c r="V241" s="42">
        <f t="shared" si="40"/>
        <v>0</v>
      </c>
      <c r="W241" s="42"/>
      <c r="X241" s="42"/>
      <c r="Y241" s="42">
        <f t="shared" si="41"/>
        <v>0</v>
      </c>
      <c r="Z241" s="42">
        <v>33180</v>
      </c>
      <c r="AA241" s="42">
        <v>33180</v>
      </c>
      <c r="AB241" s="42">
        <f t="shared" si="42"/>
        <v>0</v>
      </c>
      <c r="AC241" s="11"/>
      <c r="AD241" s="11"/>
      <c r="AE241" s="11"/>
      <c r="AF241" s="11"/>
      <c r="AG241" s="11"/>
      <c r="AH241" s="11"/>
      <c r="AI241" s="11"/>
      <c r="AJ241" s="11"/>
      <c r="AK241" s="11"/>
      <c r="AL241" s="11"/>
      <c r="AM241" s="11"/>
      <c r="AN241" s="11"/>
      <c r="AO241" s="11"/>
      <c r="AP241" s="11"/>
      <c r="AQ241" s="11"/>
      <c r="AR241" s="11"/>
      <c r="AS241" s="11"/>
      <c r="AT241" s="11"/>
      <c r="AU241" s="11"/>
      <c r="AV241" s="11"/>
      <c r="AW241" s="11"/>
      <c r="AX241" s="11"/>
      <c r="AY241" s="11"/>
      <c r="AZ241" s="11"/>
      <c r="BA241" s="11"/>
      <c r="BB241" s="11"/>
      <c r="BC241" s="11"/>
      <c r="BD241" s="11"/>
      <c r="BE241" s="11"/>
      <c r="BF241" s="11"/>
      <c r="BG241" s="11"/>
      <c r="BH241" s="11"/>
      <c r="BI241" s="11"/>
      <c r="BJ241" s="11"/>
      <c r="BK241" s="11"/>
      <c r="BL241" s="11"/>
      <c r="BM241" s="11"/>
      <c r="BN241" s="11"/>
      <c r="BO241" s="11"/>
      <c r="BP241" s="11"/>
      <c r="BQ241" s="11"/>
      <c r="BR241" s="11"/>
      <c r="BS241" s="11"/>
      <c r="BT241" s="11"/>
      <c r="BU241" s="11"/>
      <c r="BV241" s="11"/>
      <c r="BW241" s="11"/>
      <c r="BX241" s="11"/>
      <c r="BY241" s="11"/>
      <c r="BZ241" s="11"/>
      <c r="CA241" s="11"/>
      <c r="CB241" s="11"/>
      <c r="CC241" s="11"/>
      <c r="CD241" s="11"/>
      <c r="CE241" s="11"/>
      <c r="CF241" s="11"/>
      <c r="CG241" s="11"/>
      <c r="CH241" s="11"/>
      <c r="CI241" s="11"/>
      <c r="CJ241" s="11"/>
      <c r="CK241" s="11"/>
      <c r="CL241" s="11"/>
      <c r="CM241" s="11"/>
      <c r="CN241" s="11"/>
      <c r="CO241" s="11"/>
      <c r="CP241" s="11"/>
      <c r="CQ241" s="11"/>
      <c r="CR241" s="11"/>
      <c r="CS241" s="11"/>
      <c r="CT241" s="11"/>
      <c r="CU241" s="11"/>
      <c r="CV241" s="11"/>
      <c r="CW241" s="11"/>
      <c r="CX241" s="11"/>
      <c r="CY241" s="11"/>
      <c r="CZ241" s="11"/>
      <c r="DA241" s="11"/>
      <c r="DB241" s="11"/>
      <c r="DC241" s="11"/>
      <c r="DD241" s="11"/>
      <c r="DE241" s="11"/>
      <c r="DF241" s="11"/>
      <c r="DG241" s="11"/>
      <c r="DH241" s="11"/>
      <c r="DI241" s="11"/>
      <c r="DJ241" s="11"/>
      <c r="DK241" s="11"/>
      <c r="DL241" s="11"/>
      <c r="DM241" s="11"/>
      <c r="DN241" s="11"/>
      <c r="DO241" s="11"/>
      <c r="DP241" s="11"/>
      <c r="DQ241" s="11"/>
      <c r="DR241" s="11"/>
      <c r="DS241" s="11"/>
      <c r="DT241" s="11"/>
      <c r="DU241" s="11"/>
      <c r="DV241" s="11"/>
      <c r="DW241" s="11"/>
      <c r="DX241" s="11"/>
      <c r="DY241" s="11"/>
      <c r="DZ241" s="11"/>
      <c r="EA241" s="11"/>
      <c r="EB241" s="11"/>
      <c r="EC241" s="11"/>
      <c r="ED241" s="11"/>
      <c r="EE241" s="11"/>
      <c r="EF241" s="11"/>
      <c r="EG241" s="11"/>
      <c r="EH241" s="11"/>
      <c r="EI241" s="11"/>
      <c r="EJ241" s="11"/>
      <c r="EK241" s="11"/>
      <c r="EL241" s="11"/>
      <c r="EM241" s="11"/>
      <c r="EN241" s="11"/>
      <c r="EO241" s="11"/>
      <c r="EP241" s="11"/>
      <c r="EQ241" s="11"/>
      <c r="ER241" s="11"/>
      <c r="ES241" s="11"/>
      <c r="ET241" s="11"/>
      <c r="EU241" s="11"/>
      <c r="EV241" s="11"/>
      <c r="EW241" s="11"/>
      <c r="EX241" s="11"/>
      <c r="EY241" s="11"/>
      <c r="EZ241" s="11"/>
      <c r="FA241" s="11"/>
      <c r="FB241" s="11"/>
      <c r="FC241" s="11"/>
      <c r="FD241" s="11"/>
      <c r="FE241" s="11"/>
      <c r="FF241" s="11"/>
      <c r="FG241" s="11"/>
      <c r="FH241" s="11"/>
      <c r="FI241" s="11"/>
      <c r="FJ241" s="11"/>
      <c r="FK241" s="11"/>
      <c r="FL241" s="11"/>
      <c r="FM241" s="11"/>
      <c r="FN241" s="11"/>
      <c r="FO241" s="11"/>
      <c r="FP241" s="11"/>
      <c r="FQ241" s="11"/>
      <c r="FR241" s="11"/>
      <c r="FS241" s="11"/>
      <c r="FT241" s="11"/>
      <c r="FU241" s="11"/>
      <c r="FV241" s="11"/>
      <c r="FW241" s="11"/>
      <c r="FX241" s="11"/>
      <c r="FY241" s="11"/>
      <c r="FZ241" s="11"/>
      <c r="GA241" s="11"/>
      <c r="GB241" s="11"/>
      <c r="GC241" s="11"/>
      <c r="GD241" s="11"/>
      <c r="GE241" s="11"/>
    </row>
    <row r="242" spans="1:187" s="11" customFormat="1" ht="94.5">
      <c r="A242" s="38" t="s">
        <v>229</v>
      </c>
      <c r="B242" s="33">
        <f t="shared" si="43"/>
        <v>77500</v>
      </c>
      <c r="C242" s="33">
        <f t="shared" si="43"/>
        <v>77500</v>
      </c>
      <c r="D242" s="33">
        <f t="shared" si="43"/>
        <v>0</v>
      </c>
      <c r="E242" s="33"/>
      <c r="F242" s="33"/>
      <c r="G242" s="33">
        <f t="shared" si="35"/>
        <v>0</v>
      </c>
      <c r="H242" s="33"/>
      <c r="I242" s="33"/>
      <c r="J242" s="33">
        <f t="shared" si="36"/>
        <v>0</v>
      </c>
      <c r="K242" s="33">
        <v>0</v>
      </c>
      <c r="L242" s="33">
        <v>0</v>
      </c>
      <c r="M242" s="33">
        <f t="shared" si="37"/>
        <v>0</v>
      </c>
      <c r="N242" s="33">
        <v>77500</v>
      </c>
      <c r="O242" s="33">
        <v>77500</v>
      </c>
      <c r="P242" s="33">
        <f t="shared" si="38"/>
        <v>0</v>
      </c>
      <c r="Q242" s="33"/>
      <c r="R242" s="33"/>
      <c r="S242" s="33">
        <f t="shared" si="39"/>
        <v>0</v>
      </c>
      <c r="T242" s="33"/>
      <c r="U242" s="33"/>
      <c r="V242" s="33">
        <f t="shared" si="40"/>
        <v>0</v>
      </c>
      <c r="W242" s="33"/>
      <c r="X242" s="33"/>
      <c r="Y242" s="33">
        <f t="shared" si="41"/>
        <v>0</v>
      </c>
      <c r="Z242" s="33"/>
      <c r="AA242" s="33"/>
      <c r="AB242" s="33">
        <f t="shared" si="42"/>
        <v>0</v>
      </c>
    </row>
    <row r="243" spans="1:187" s="11" customFormat="1" ht="78.75">
      <c r="A243" s="38" t="s">
        <v>230</v>
      </c>
      <c r="B243" s="33">
        <f t="shared" si="43"/>
        <v>32568</v>
      </c>
      <c r="C243" s="33">
        <f t="shared" si="43"/>
        <v>32568</v>
      </c>
      <c r="D243" s="33">
        <f t="shared" si="43"/>
        <v>0</v>
      </c>
      <c r="E243" s="33"/>
      <c r="F243" s="33"/>
      <c r="G243" s="33">
        <f t="shared" si="35"/>
        <v>0</v>
      </c>
      <c r="H243" s="33"/>
      <c r="I243" s="33"/>
      <c r="J243" s="33">
        <f t="shared" si="36"/>
        <v>0</v>
      </c>
      <c r="K243" s="33">
        <v>0</v>
      </c>
      <c r="L243" s="33">
        <v>0</v>
      </c>
      <c r="M243" s="33">
        <f t="shared" si="37"/>
        <v>0</v>
      </c>
      <c r="N243" s="33">
        <f>29988+6000+6000-9420</f>
        <v>32568</v>
      </c>
      <c r="O243" s="33">
        <f>29988+6000+6000-9420</f>
        <v>32568</v>
      </c>
      <c r="P243" s="33">
        <f t="shared" si="38"/>
        <v>0</v>
      </c>
      <c r="Q243" s="33"/>
      <c r="R243" s="33"/>
      <c r="S243" s="33">
        <f t="shared" si="39"/>
        <v>0</v>
      </c>
      <c r="T243" s="33"/>
      <c r="U243" s="33"/>
      <c r="V243" s="33">
        <f t="shared" si="40"/>
        <v>0</v>
      </c>
      <c r="W243" s="33"/>
      <c r="X243" s="33"/>
      <c r="Y243" s="33">
        <f t="shared" si="41"/>
        <v>0</v>
      </c>
      <c r="Z243" s="33"/>
      <c r="AA243" s="33"/>
      <c r="AB243" s="33">
        <f t="shared" si="42"/>
        <v>0</v>
      </c>
    </row>
    <row r="244" spans="1:187" s="11" customFormat="1">
      <c r="A244" s="29" t="s">
        <v>166</v>
      </c>
      <c r="B244" s="30">
        <f t="shared" si="43"/>
        <v>51580</v>
      </c>
      <c r="C244" s="30">
        <f t="shared" si="43"/>
        <v>51580</v>
      </c>
      <c r="D244" s="30">
        <f t="shared" si="43"/>
        <v>0</v>
      </c>
      <c r="E244" s="30">
        <f>SUM(E245:E251)</f>
        <v>0</v>
      </c>
      <c r="F244" s="30">
        <f>SUM(F245:F251)</f>
        <v>0</v>
      </c>
      <c r="G244" s="30">
        <f t="shared" si="35"/>
        <v>0</v>
      </c>
      <c r="H244" s="30">
        <f>SUM(H245:H251)</f>
        <v>0</v>
      </c>
      <c r="I244" s="30">
        <f>SUM(I245:I251)</f>
        <v>0</v>
      </c>
      <c r="J244" s="30">
        <f t="shared" si="36"/>
        <v>0</v>
      </c>
      <c r="K244" s="30">
        <f>SUM(K245:K251)</f>
        <v>27444</v>
      </c>
      <c r="L244" s="30">
        <f>SUM(L245:L251)</f>
        <v>27444</v>
      </c>
      <c r="M244" s="30">
        <f t="shared" si="37"/>
        <v>0</v>
      </c>
      <c r="N244" s="30">
        <f>SUM(N245:N251)</f>
        <v>11310</v>
      </c>
      <c r="O244" s="30">
        <f>SUM(O245:O251)</f>
        <v>11310</v>
      </c>
      <c r="P244" s="30">
        <f t="shared" si="38"/>
        <v>0</v>
      </c>
      <c r="Q244" s="30">
        <f>SUM(Q245:Q251)</f>
        <v>12826</v>
      </c>
      <c r="R244" s="30">
        <f>SUM(R245:R251)</f>
        <v>12826</v>
      </c>
      <c r="S244" s="30">
        <f t="shared" si="39"/>
        <v>0</v>
      </c>
      <c r="T244" s="30">
        <f>SUM(T245:T251)</f>
        <v>0</v>
      </c>
      <c r="U244" s="30">
        <f>SUM(U245:U251)</f>
        <v>0</v>
      </c>
      <c r="V244" s="30">
        <f t="shared" si="40"/>
        <v>0</v>
      </c>
      <c r="W244" s="30">
        <f>SUM(W245:W251)</f>
        <v>0</v>
      </c>
      <c r="X244" s="30">
        <f>SUM(X245:X251)</f>
        <v>0</v>
      </c>
      <c r="Y244" s="30">
        <f t="shared" si="41"/>
        <v>0</v>
      </c>
      <c r="Z244" s="30">
        <f>SUM(Z245:Z251)</f>
        <v>0</v>
      </c>
      <c r="AA244" s="30">
        <f>SUM(AA245:AA251)</f>
        <v>0</v>
      </c>
      <c r="AB244" s="30">
        <f t="shared" si="42"/>
        <v>0</v>
      </c>
      <c r="AC244" s="28"/>
      <c r="AD244" s="28"/>
      <c r="AE244" s="28"/>
      <c r="AF244" s="28"/>
      <c r="AG244" s="28"/>
      <c r="AH244" s="28"/>
      <c r="AI244" s="28"/>
      <c r="AJ244" s="28"/>
      <c r="AK244" s="28"/>
      <c r="AL244" s="28"/>
      <c r="AM244" s="28"/>
      <c r="AN244" s="28"/>
      <c r="AO244" s="28"/>
      <c r="AP244" s="28"/>
      <c r="AQ244" s="28"/>
      <c r="AR244" s="28"/>
      <c r="AS244" s="28"/>
      <c r="AT244" s="28"/>
      <c r="AU244" s="28"/>
      <c r="AV244" s="28"/>
      <c r="AW244" s="28"/>
      <c r="AX244" s="28"/>
      <c r="AY244" s="28"/>
      <c r="AZ244" s="28"/>
      <c r="BA244" s="28"/>
      <c r="BB244" s="28"/>
      <c r="BC244" s="28"/>
      <c r="BD244" s="28"/>
      <c r="BE244" s="28"/>
      <c r="BF244" s="28"/>
      <c r="BG244" s="28"/>
      <c r="BH244" s="28"/>
      <c r="BI244" s="28"/>
      <c r="BJ244" s="28"/>
      <c r="BK244" s="28"/>
      <c r="BL244" s="28"/>
      <c r="BM244" s="28"/>
      <c r="BN244" s="28"/>
      <c r="BO244" s="28"/>
      <c r="BP244" s="28"/>
      <c r="BQ244" s="28"/>
      <c r="BR244" s="28"/>
      <c r="BS244" s="28"/>
      <c r="BT244" s="28"/>
      <c r="BU244" s="28"/>
      <c r="BV244" s="28"/>
      <c r="BW244" s="28"/>
      <c r="BX244" s="28"/>
      <c r="BY244" s="28"/>
      <c r="BZ244" s="28"/>
      <c r="CA244" s="28"/>
      <c r="CB244" s="28"/>
      <c r="CC244" s="28"/>
      <c r="CD244" s="28"/>
      <c r="CE244" s="28"/>
      <c r="CF244" s="28"/>
      <c r="CG244" s="28"/>
      <c r="CH244" s="28"/>
      <c r="CI244" s="28"/>
      <c r="CJ244" s="28"/>
      <c r="CK244" s="28"/>
      <c r="CL244" s="28"/>
      <c r="CM244" s="28"/>
      <c r="CN244" s="28"/>
      <c r="CO244" s="28"/>
      <c r="CP244" s="28"/>
      <c r="CQ244" s="28"/>
      <c r="CR244" s="28"/>
      <c r="CS244" s="28"/>
      <c r="CT244" s="28"/>
      <c r="CU244" s="28"/>
      <c r="CV244" s="28"/>
      <c r="CW244" s="28"/>
      <c r="CX244" s="28"/>
      <c r="CY244" s="28"/>
      <c r="CZ244" s="28"/>
      <c r="DA244" s="28"/>
      <c r="DB244" s="28"/>
      <c r="DC244" s="28"/>
      <c r="DD244" s="28"/>
      <c r="DE244" s="28"/>
      <c r="DF244" s="28"/>
      <c r="DG244" s="28"/>
      <c r="DH244" s="28"/>
      <c r="DI244" s="28"/>
      <c r="DJ244" s="28"/>
      <c r="DK244" s="28"/>
      <c r="DL244" s="28"/>
      <c r="DM244" s="28"/>
      <c r="DN244" s="28"/>
      <c r="DO244" s="28"/>
      <c r="DP244" s="28"/>
      <c r="DQ244" s="28"/>
      <c r="DR244" s="28"/>
      <c r="DS244" s="28"/>
      <c r="DT244" s="28"/>
      <c r="DU244" s="28"/>
      <c r="DV244" s="28"/>
      <c r="DW244" s="28"/>
      <c r="DX244" s="28"/>
      <c r="DY244" s="28"/>
      <c r="DZ244" s="28"/>
      <c r="EA244" s="28"/>
      <c r="EB244" s="28"/>
      <c r="EC244" s="28"/>
      <c r="ED244" s="28"/>
      <c r="EE244" s="28"/>
      <c r="EF244" s="28"/>
      <c r="EG244" s="28"/>
      <c r="EH244" s="28"/>
      <c r="EI244" s="28"/>
      <c r="EJ244" s="28"/>
      <c r="EK244" s="28"/>
      <c r="EL244" s="28"/>
      <c r="EM244" s="28"/>
      <c r="EN244" s="28"/>
      <c r="EO244" s="28"/>
      <c r="EP244" s="28"/>
      <c r="EQ244" s="28"/>
      <c r="ER244" s="28"/>
      <c r="ES244" s="28"/>
      <c r="ET244" s="28"/>
      <c r="EU244" s="28"/>
      <c r="EV244" s="28"/>
      <c r="EW244" s="28"/>
      <c r="EX244" s="28"/>
      <c r="EY244" s="28"/>
      <c r="EZ244" s="28"/>
      <c r="FA244" s="28"/>
      <c r="FB244" s="28"/>
      <c r="FC244" s="28"/>
      <c r="FD244" s="28"/>
      <c r="FE244" s="28"/>
      <c r="FF244" s="28"/>
      <c r="FG244" s="28"/>
      <c r="FH244" s="28"/>
      <c r="FI244" s="28"/>
      <c r="FJ244" s="28"/>
      <c r="FK244" s="28"/>
      <c r="FL244" s="28"/>
      <c r="FM244" s="28"/>
      <c r="FN244" s="28"/>
      <c r="FO244" s="28"/>
      <c r="FP244" s="28"/>
      <c r="FQ244" s="28"/>
      <c r="FR244" s="28"/>
      <c r="FS244" s="28"/>
      <c r="FT244" s="28"/>
      <c r="FU244" s="28"/>
      <c r="FV244" s="28"/>
      <c r="FW244" s="28"/>
      <c r="FX244" s="28"/>
      <c r="FY244" s="28"/>
      <c r="FZ244" s="28"/>
      <c r="GA244" s="28"/>
      <c r="GB244" s="28"/>
      <c r="GC244" s="28"/>
      <c r="GD244" s="28"/>
      <c r="GE244" s="28"/>
    </row>
    <row r="245" spans="1:187" s="11" customFormat="1" ht="47.25">
      <c r="A245" s="37" t="s">
        <v>231</v>
      </c>
      <c r="B245" s="36">
        <f t="shared" si="43"/>
        <v>6802</v>
      </c>
      <c r="C245" s="36">
        <f t="shared" si="43"/>
        <v>6802</v>
      </c>
      <c r="D245" s="36">
        <f t="shared" si="43"/>
        <v>0</v>
      </c>
      <c r="E245" s="36"/>
      <c r="F245" s="36"/>
      <c r="G245" s="36">
        <f t="shared" si="35"/>
        <v>0</v>
      </c>
      <c r="H245" s="36"/>
      <c r="I245" s="36"/>
      <c r="J245" s="36">
        <f t="shared" si="36"/>
        <v>0</v>
      </c>
      <c r="K245" s="36"/>
      <c r="L245" s="36"/>
      <c r="M245" s="36">
        <f t="shared" si="37"/>
        <v>0</v>
      </c>
      <c r="N245" s="36">
        <v>0</v>
      </c>
      <c r="O245" s="36">
        <v>0</v>
      </c>
      <c r="P245" s="36">
        <f t="shared" si="38"/>
        <v>0</v>
      </c>
      <c r="Q245" s="36">
        <f>7405-603</f>
        <v>6802</v>
      </c>
      <c r="R245" s="36">
        <f>7405-603</f>
        <v>6802</v>
      </c>
      <c r="S245" s="36">
        <f t="shared" si="39"/>
        <v>0</v>
      </c>
      <c r="T245" s="36"/>
      <c r="U245" s="36"/>
      <c r="V245" s="36">
        <f t="shared" si="40"/>
        <v>0</v>
      </c>
      <c r="W245" s="36"/>
      <c r="X245" s="36"/>
      <c r="Y245" s="36">
        <f t="shared" si="41"/>
        <v>0</v>
      </c>
      <c r="Z245" s="36"/>
      <c r="AA245" s="36"/>
      <c r="AB245" s="36">
        <f t="shared" si="42"/>
        <v>0</v>
      </c>
    </row>
    <row r="246" spans="1:187" s="11" customFormat="1" ht="31.5">
      <c r="A246" s="38" t="s">
        <v>232</v>
      </c>
      <c r="B246" s="33">
        <f t="shared" si="43"/>
        <v>6024</v>
      </c>
      <c r="C246" s="33">
        <f t="shared" si="43"/>
        <v>6024</v>
      </c>
      <c r="D246" s="33">
        <f t="shared" si="43"/>
        <v>0</v>
      </c>
      <c r="E246" s="33"/>
      <c r="F246" s="33"/>
      <c r="G246" s="33">
        <f t="shared" si="35"/>
        <v>0</v>
      </c>
      <c r="H246" s="33"/>
      <c r="I246" s="33"/>
      <c r="J246" s="33">
        <f t="shared" si="36"/>
        <v>0</v>
      </c>
      <c r="K246" s="33"/>
      <c r="L246" s="33"/>
      <c r="M246" s="33">
        <f t="shared" si="37"/>
        <v>0</v>
      </c>
      <c r="N246" s="33">
        <v>0</v>
      </c>
      <c r="O246" s="33">
        <v>0</v>
      </c>
      <c r="P246" s="33">
        <f t="shared" si="38"/>
        <v>0</v>
      </c>
      <c r="Q246" s="33">
        <v>6024</v>
      </c>
      <c r="R246" s="33">
        <v>6024</v>
      </c>
      <c r="S246" s="33">
        <f t="shared" si="39"/>
        <v>0</v>
      </c>
      <c r="T246" s="33"/>
      <c r="U246" s="33"/>
      <c r="V246" s="33">
        <f t="shared" si="40"/>
        <v>0</v>
      </c>
      <c r="W246" s="33"/>
      <c r="X246" s="33"/>
      <c r="Y246" s="33">
        <f t="shared" si="41"/>
        <v>0</v>
      </c>
      <c r="Z246" s="33"/>
      <c r="AA246" s="33"/>
      <c r="AB246" s="33">
        <f t="shared" si="42"/>
        <v>0</v>
      </c>
    </row>
    <row r="247" spans="1:187" s="11" customFormat="1" ht="47.25">
      <c r="A247" s="38" t="s">
        <v>233</v>
      </c>
      <c r="B247" s="33">
        <f t="shared" si="43"/>
        <v>19988</v>
      </c>
      <c r="C247" s="33">
        <f t="shared" si="43"/>
        <v>19988</v>
      </c>
      <c r="D247" s="33">
        <f t="shared" si="43"/>
        <v>0</v>
      </c>
      <c r="E247" s="33"/>
      <c r="F247" s="33"/>
      <c r="G247" s="33">
        <f t="shared" si="35"/>
        <v>0</v>
      </c>
      <c r="H247" s="33"/>
      <c r="I247" s="33"/>
      <c r="J247" s="33">
        <f t="shared" si="36"/>
        <v>0</v>
      </c>
      <c r="K247" s="33">
        <f>19988</f>
        <v>19988</v>
      </c>
      <c r="L247" s="33">
        <f>19988</f>
        <v>19988</v>
      </c>
      <c r="M247" s="33">
        <f t="shared" si="37"/>
        <v>0</v>
      </c>
      <c r="N247" s="33">
        <v>0</v>
      </c>
      <c r="O247" s="33">
        <v>0</v>
      </c>
      <c r="P247" s="33">
        <f t="shared" si="38"/>
        <v>0</v>
      </c>
      <c r="Q247" s="33">
        <f>19988-19988</f>
        <v>0</v>
      </c>
      <c r="R247" s="33">
        <f>19988-19988</f>
        <v>0</v>
      </c>
      <c r="S247" s="33">
        <f t="shared" si="39"/>
        <v>0</v>
      </c>
      <c r="T247" s="33"/>
      <c r="U247" s="33"/>
      <c r="V247" s="33">
        <f t="shared" si="40"/>
        <v>0</v>
      </c>
      <c r="W247" s="33"/>
      <c r="X247" s="33"/>
      <c r="Y247" s="33">
        <f t="shared" si="41"/>
        <v>0</v>
      </c>
      <c r="Z247" s="33"/>
      <c r="AA247" s="33"/>
      <c r="AB247" s="33">
        <f t="shared" si="42"/>
        <v>0</v>
      </c>
    </row>
    <row r="248" spans="1:187" s="11" customFormat="1" ht="31.5">
      <c r="A248" s="38" t="s">
        <v>234</v>
      </c>
      <c r="B248" s="33">
        <f t="shared" si="43"/>
        <v>7456</v>
      </c>
      <c r="C248" s="33">
        <f t="shared" si="43"/>
        <v>7456</v>
      </c>
      <c r="D248" s="33">
        <f t="shared" si="43"/>
        <v>0</v>
      </c>
      <c r="E248" s="33"/>
      <c r="F248" s="33"/>
      <c r="G248" s="33">
        <f t="shared" si="35"/>
        <v>0</v>
      </c>
      <c r="H248" s="33"/>
      <c r="I248" s="33"/>
      <c r="J248" s="33">
        <f t="shared" si="36"/>
        <v>0</v>
      </c>
      <c r="K248" s="33">
        <f>7456</f>
        <v>7456</v>
      </c>
      <c r="L248" s="33">
        <f>7456</f>
        <v>7456</v>
      </c>
      <c r="M248" s="33">
        <f t="shared" si="37"/>
        <v>0</v>
      </c>
      <c r="N248" s="33">
        <v>0</v>
      </c>
      <c r="O248" s="33">
        <v>0</v>
      </c>
      <c r="P248" s="33">
        <f t="shared" si="38"/>
        <v>0</v>
      </c>
      <c r="Q248" s="33">
        <f>7456-7456</f>
        <v>0</v>
      </c>
      <c r="R248" s="33">
        <f>7456-7456</f>
        <v>0</v>
      </c>
      <c r="S248" s="33">
        <f t="shared" si="39"/>
        <v>0</v>
      </c>
      <c r="T248" s="33"/>
      <c r="U248" s="33"/>
      <c r="V248" s="33">
        <f t="shared" si="40"/>
        <v>0</v>
      </c>
      <c r="W248" s="33"/>
      <c r="X248" s="33"/>
      <c r="Y248" s="33">
        <f t="shared" si="41"/>
        <v>0</v>
      </c>
      <c r="Z248" s="33"/>
      <c r="AA248" s="33"/>
      <c r="AB248" s="33">
        <f t="shared" si="42"/>
        <v>0</v>
      </c>
    </row>
    <row r="249" spans="1:187" s="11" customFormat="1" ht="78.75">
      <c r="A249" s="38" t="s">
        <v>235</v>
      </c>
      <c r="B249" s="33">
        <f t="shared" si="43"/>
        <v>5000</v>
      </c>
      <c r="C249" s="33">
        <f t="shared" si="43"/>
        <v>5000</v>
      </c>
      <c r="D249" s="33">
        <f t="shared" si="43"/>
        <v>0</v>
      </c>
      <c r="E249" s="33"/>
      <c r="F249" s="33"/>
      <c r="G249" s="33">
        <f t="shared" si="35"/>
        <v>0</v>
      </c>
      <c r="H249" s="33"/>
      <c r="I249" s="33"/>
      <c r="J249" s="33">
        <f t="shared" si="36"/>
        <v>0</v>
      </c>
      <c r="K249" s="33">
        <v>0</v>
      </c>
      <c r="L249" s="33">
        <v>0</v>
      </c>
      <c r="M249" s="33">
        <f t="shared" si="37"/>
        <v>0</v>
      </c>
      <c r="N249" s="33">
        <v>5000</v>
      </c>
      <c r="O249" s="33">
        <v>5000</v>
      </c>
      <c r="P249" s="33">
        <f t="shared" si="38"/>
        <v>0</v>
      </c>
      <c r="Q249" s="33">
        <v>0</v>
      </c>
      <c r="R249" s="33">
        <v>0</v>
      </c>
      <c r="S249" s="33">
        <f t="shared" si="39"/>
        <v>0</v>
      </c>
      <c r="T249" s="33"/>
      <c r="U249" s="33"/>
      <c r="V249" s="33">
        <f t="shared" si="40"/>
        <v>0</v>
      </c>
      <c r="W249" s="33"/>
      <c r="X249" s="33"/>
      <c r="Y249" s="33">
        <f t="shared" si="41"/>
        <v>0</v>
      </c>
      <c r="Z249" s="33"/>
      <c r="AA249" s="33"/>
      <c r="AB249" s="33">
        <f t="shared" si="42"/>
        <v>0</v>
      </c>
    </row>
    <row r="250" spans="1:187" s="11" customFormat="1" ht="94.5">
      <c r="A250" s="38" t="s">
        <v>236</v>
      </c>
      <c r="B250" s="33">
        <f t="shared" si="43"/>
        <v>5000</v>
      </c>
      <c r="C250" s="33">
        <f t="shared" si="43"/>
        <v>5000</v>
      </c>
      <c r="D250" s="33">
        <f t="shared" si="43"/>
        <v>0</v>
      </c>
      <c r="E250" s="33"/>
      <c r="F250" s="33"/>
      <c r="G250" s="33">
        <f t="shared" si="35"/>
        <v>0</v>
      </c>
      <c r="H250" s="33"/>
      <c r="I250" s="33"/>
      <c r="J250" s="33">
        <f t="shared" si="36"/>
        <v>0</v>
      </c>
      <c r="K250" s="33">
        <v>0</v>
      </c>
      <c r="L250" s="33">
        <v>0</v>
      </c>
      <c r="M250" s="33">
        <f t="shared" si="37"/>
        <v>0</v>
      </c>
      <c r="N250" s="33">
        <v>5000</v>
      </c>
      <c r="O250" s="33">
        <v>5000</v>
      </c>
      <c r="P250" s="33">
        <f t="shared" si="38"/>
        <v>0</v>
      </c>
      <c r="Q250" s="33"/>
      <c r="R250" s="33"/>
      <c r="S250" s="33">
        <f t="shared" si="39"/>
        <v>0</v>
      </c>
      <c r="T250" s="33"/>
      <c r="U250" s="33"/>
      <c r="V250" s="33">
        <f t="shared" si="40"/>
        <v>0</v>
      </c>
      <c r="W250" s="33"/>
      <c r="X250" s="33"/>
      <c r="Y250" s="33">
        <f t="shared" si="41"/>
        <v>0</v>
      </c>
      <c r="Z250" s="33"/>
      <c r="AA250" s="33"/>
      <c r="AB250" s="33">
        <f t="shared" si="42"/>
        <v>0</v>
      </c>
    </row>
    <row r="251" spans="1:187" s="11" customFormat="1" ht="94.5">
      <c r="A251" s="38" t="s">
        <v>237</v>
      </c>
      <c r="B251" s="33">
        <f t="shared" si="43"/>
        <v>1310</v>
      </c>
      <c r="C251" s="33">
        <f t="shared" si="43"/>
        <v>1310</v>
      </c>
      <c r="D251" s="33">
        <f t="shared" si="43"/>
        <v>0</v>
      </c>
      <c r="E251" s="33"/>
      <c r="F251" s="33"/>
      <c r="G251" s="33">
        <f t="shared" si="35"/>
        <v>0</v>
      </c>
      <c r="H251" s="33"/>
      <c r="I251" s="33"/>
      <c r="J251" s="33">
        <f t="shared" si="36"/>
        <v>0</v>
      </c>
      <c r="K251" s="33"/>
      <c r="L251" s="33"/>
      <c r="M251" s="33">
        <f t="shared" si="37"/>
        <v>0</v>
      </c>
      <c r="N251" s="33">
        <v>1310</v>
      </c>
      <c r="O251" s="33">
        <v>1310</v>
      </c>
      <c r="P251" s="33">
        <f t="shared" si="38"/>
        <v>0</v>
      </c>
      <c r="Q251" s="33">
        <v>0</v>
      </c>
      <c r="R251" s="33">
        <v>0</v>
      </c>
      <c r="S251" s="33">
        <f t="shared" si="39"/>
        <v>0</v>
      </c>
      <c r="T251" s="33"/>
      <c r="U251" s="33"/>
      <c r="V251" s="33">
        <f t="shared" si="40"/>
        <v>0</v>
      </c>
      <c r="W251" s="33"/>
      <c r="X251" s="33"/>
      <c r="Y251" s="33">
        <f t="shared" si="41"/>
        <v>0</v>
      </c>
      <c r="Z251" s="33"/>
      <c r="AA251" s="33"/>
      <c r="AB251" s="33">
        <f t="shared" si="42"/>
        <v>0</v>
      </c>
    </row>
    <row r="252" spans="1:187" s="11" customFormat="1">
      <c r="A252" s="29" t="s">
        <v>116</v>
      </c>
      <c r="B252" s="30">
        <f t="shared" si="43"/>
        <v>60534</v>
      </c>
      <c r="C252" s="30">
        <f t="shared" si="43"/>
        <v>60534</v>
      </c>
      <c r="D252" s="30">
        <f t="shared" si="43"/>
        <v>0</v>
      </c>
      <c r="E252" s="30">
        <f>SUM(E253)</f>
        <v>0</v>
      </c>
      <c r="F252" s="30">
        <f>SUM(F253)</f>
        <v>0</v>
      </c>
      <c r="G252" s="30">
        <f t="shared" si="35"/>
        <v>0</v>
      </c>
      <c r="H252" s="30">
        <f>SUM(H253)</f>
        <v>0</v>
      </c>
      <c r="I252" s="30">
        <f>SUM(I253)</f>
        <v>0</v>
      </c>
      <c r="J252" s="30">
        <f t="shared" si="36"/>
        <v>0</v>
      </c>
      <c r="K252" s="30">
        <f>SUM(K253)</f>
        <v>0</v>
      </c>
      <c r="L252" s="30">
        <f>SUM(L253)</f>
        <v>0</v>
      </c>
      <c r="M252" s="30">
        <f t="shared" si="37"/>
        <v>0</v>
      </c>
      <c r="N252" s="30">
        <f>SUM(N253)</f>
        <v>0</v>
      </c>
      <c r="O252" s="30">
        <f>SUM(O253)</f>
        <v>0</v>
      </c>
      <c r="P252" s="30">
        <f t="shared" si="38"/>
        <v>0</v>
      </c>
      <c r="Q252" s="30">
        <f>SUM(Q253)</f>
        <v>60534</v>
      </c>
      <c r="R252" s="30">
        <f>SUM(R253)</f>
        <v>60534</v>
      </c>
      <c r="S252" s="30">
        <f t="shared" si="39"/>
        <v>0</v>
      </c>
      <c r="T252" s="30">
        <f>SUM(T253)</f>
        <v>0</v>
      </c>
      <c r="U252" s="30">
        <f>SUM(U253)</f>
        <v>0</v>
      </c>
      <c r="V252" s="30">
        <f t="shared" si="40"/>
        <v>0</v>
      </c>
      <c r="W252" s="30">
        <f>SUM(W253)</f>
        <v>0</v>
      </c>
      <c r="X252" s="30">
        <f>SUM(X253)</f>
        <v>0</v>
      </c>
      <c r="Y252" s="30">
        <f t="shared" si="41"/>
        <v>0</v>
      </c>
      <c r="Z252" s="30">
        <f>SUM(Z253)</f>
        <v>0</v>
      </c>
      <c r="AA252" s="30">
        <f>SUM(AA253)</f>
        <v>0</v>
      </c>
      <c r="AB252" s="30">
        <f t="shared" si="42"/>
        <v>0</v>
      </c>
    </row>
    <row r="253" spans="1:187" s="11" customFormat="1" ht="63">
      <c r="A253" s="35" t="s">
        <v>238</v>
      </c>
      <c r="B253" s="36">
        <f t="shared" si="43"/>
        <v>60534</v>
      </c>
      <c r="C253" s="36">
        <f t="shared" si="43"/>
        <v>60534</v>
      </c>
      <c r="D253" s="36">
        <f t="shared" si="43"/>
        <v>0</v>
      </c>
      <c r="E253" s="36"/>
      <c r="F253" s="36"/>
      <c r="G253" s="36">
        <f t="shared" si="35"/>
        <v>0</v>
      </c>
      <c r="H253" s="36"/>
      <c r="I253" s="36"/>
      <c r="J253" s="36">
        <f t="shared" si="36"/>
        <v>0</v>
      </c>
      <c r="K253" s="36">
        <v>0</v>
      </c>
      <c r="L253" s="36">
        <v>0</v>
      </c>
      <c r="M253" s="36">
        <f t="shared" si="37"/>
        <v>0</v>
      </c>
      <c r="N253" s="36"/>
      <c r="O253" s="36"/>
      <c r="P253" s="36">
        <f t="shared" si="38"/>
        <v>0</v>
      </c>
      <c r="Q253" s="36">
        <v>60534</v>
      </c>
      <c r="R253" s="36">
        <v>60534</v>
      </c>
      <c r="S253" s="36">
        <f t="shared" si="39"/>
        <v>0</v>
      </c>
      <c r="T253" s="36"/>
      <c r="U253" s="36"/>
      <c r="V253" s="36">
        <f t="shared" si="40"/>
        <v>0</v>
      </c>
      <c r="W253" s="36">
        <v>0</v>
      </c>
      <c r="X253" s="36">
        <v>0</v>
      </c>
      <c r="Y253" s="36">
        <f t="shared" si="41"/>
        <v>0</v>
      </c>
      <c r="Z253" s="36"/>
      <c r="AA253" s="36"/>
      <c r="AB253" s="36">
        <f t="shared" si="42"/>
        <v>0</v>
      </c>
    </row>
    <row r="254" spans="1:187" s="11" customFormat="1" ht="31.5">
      <c r="A254" s="29" t="s">
        <v>69</v>
      </c>
      <c r="B254" s="30">
        <f t="shared" si="43"/>
        <v>16339000</v>
      </c>
      <c r="C254" s="30">
        <f t="shared" si="43"/>
        <v>16731981</v>
      </c>
      <c r="D254" s="30">
        <f t="shared" si="43"/>
        <v>392981</v>
      </c>
      <c r="E254" s="30">
        <f>SUM(E258,E263,E275,E267,E255,E298)</f>
        <v>139775</v>
      </c>
      <c r="F254" s="30">
        <f>SUM(F258,F263,F275,F267,F255,F298)</f>
        <v>139775</v>
      </c>
      <c r="G254" s="30">
        <f t="shared" si="35"/>
        <v>0</v>
      </c>
      <c r="H254" s="30">
        <f t="shared" ref="H254" si="44">SUM(H258,H263,H275,H267,H255,H298)</f>
        <v>25276</v>
      </c>
      <c r="I254" s="30">
        <f>SUM(I258,I263,I275,I267,I255,I298)</f>
        <v>24275</v>
      </c>
      <c r="J254" s="30">
        <f t="shared" si="36"/>
        <v>-1001</v>
      </c>
      <c r="K254" s="30">
        <f t="shared" ref="K254" si="45">SUM(K258,K263,K275,K267,K255,K298)</f>
        <v>808056</v>
      </c>
      <c r="L254" s="30">
        <f>SUM(L258,L263,L275,L267,L255,L298)</f>
        <v>907202</v>
      </c>
      <c r="M254" s="30">
        <f t="shared" si="37"/>
        <v>99146</v>
      </c>
      <c r="N254" s="30">
        <f t="shared" ref="N254" si="46">SUM(N258,N263,N275,N267,N255,N298)</f>
        <v>7418605</v>
      </c>
      <c r="O254" s="30">
        <f>SUM(O258,O263,O275,O267,O255,O298)</f>
        <v>7419441</v>
      </c>
      <c r="P254" s="30">
        <f t="shared" si="38"/>
        <v>836</v>
      </c>
      <c r="Q254" s="30">
        <f t="shared" ref="Q254" si="47">SUM(Q258,Q263,Q275,Q267,Q255,Q298)</f>
        <v>0</v>
      </c>
      <c r="R254" s="30">
        <f>SUM(R258,R263,R275,R267,R255,R298)</f>
        <v>0</v>
      </c>
      <c r="S254" s="30">
        <f t="shared" si="39"/>
        <v>0</v>
      </c>
      <c r="T254" s="30">
        <f t="shared" ref="T254" si="48">SUM(T258,T263,T275,T267,T255,T298)</f>
        <v>4894568</v>
      </c>
      <c r="U254" s="30">
        <f>SUM(U258,U263,U275,U267,U255,U298)</f>
        <v>4894568</v>
      </c>
      <c r="V254" s="30">
        <f t="shared" si="40"/>
        <v>0</v>
      </c>
      <c r="W254" s="30">
        <f t="shared" ref="W254" si="49">SUM(W258,W263,W275,W267,W255,W298)</f>
        <v>502010</v>
      </c>
      <c r="X254" s="30">
        <f>SUM(X258,X263,X275,X267,X255,X298)</f>
        <v>1212020</v>
      </c>
      <c r="Y254" s="30">
        <f t="shared" si="41"/>
        <v>710010</v>
      </c>
      <c r="Z254" s="30">
        <f t="shared" ref="Z254" si="50">SUM(Z258,Z263,Z275,Z267,Z255,Z298)</f>
        <v>2550710</v>
      </c>
      <c r="AA254" s="30">
        <f>SUM(AA258,AA263,AA275,AA267,AA255,AA298)</f>
        <v>2134700</v>
      </c>
      <c r="AB254" s="30">
        <f t="shared" si="42"/>
        <v>-416010</v>
      </c>
    </row>
    <row r="255" spans="1:187" s="11" customFormat="1">
      <c r="A255" s="29" t="s">
        <v>96</v>
      </c>
      <c r="B255" s="30">
        <f t="shared" si="43"/>
        <v>1031</v>
      </c>
      <c r="C255" s="30">
        <f t="shared" si="43"/>
        <v>1867</v>
      </c>
      <c r="D255" s="30">
        <f t="shared" si="43"/>
        <v>836</v>
      </c>
      <c r="E255" s="30">
        <f>SUM(E256:E257)</f>
        <v>0</v>
      </c>
      <c r="F255" s="30">
        <f>SUM(F256:F257)</f>
        <v>0</v>
      </c>
      <c r="G255" s="30">
        <f t="shared" si="35"/>
        <v>0</v>
      </c>
      <c r="H255" s="30">
        <f t="shared" ref="H255:I255" si="51">SUM(H256:H257)</f>
        <v>0</v>
      </c>
      <c r="I255" s="30">
        <f t="shared" si="51"/>
        <v>0</v>
      </c>
      <c r="J255" s="30">
        <f t="shared" si="36"/>
        <v>0</v>
      </c>
      <c r="K255" s="30">
        <f t="shared" ref="K255:L255" si="52">SUM(K256:K257)</f>
        <v>0</v>
      </c>
      <c r="L255" s="30">
        <f t="shared" si="52"/>
        <v>0</v>
      </c>
      <c r="M255" s="30">
        <f t="shared" si="37"/>
        <v>0</v>
      </c>
      <c r="N255" s="30">
        <f t="shared" ref="N255:O255" si="53">SUM(N256:N257)</f>
        <v>1031</v>
      </c>
      <c r="O255" s="30">
        <f t="shared" si="53"/>
        <v>1867</v>
      </c>
      <c r="P255" s="30">
        <f t="shared" si="38"/>
        <v>836</v>
      </c>
      <c r="Q255" s="30">
        <f t="shared" ref="Q255:R255" si="54">SUM(Q256:Q257)</f>
        <v>0</v>
      </c>
      <c r="R255" s="30">
        <f t="shared" si="54"/>
        <v>0</v>
      </c>
      <c r="S255" s="30">
        <f t="shared" si="39"/>
        <v>0</v>
      </c>
      <c r="T255" s="30">
        <f t="shared" ref="T255:U255" si="55">SUM(T256:T257)</f>
        <v>0</v>
      </c>
      <c r="U255" s="30">
        <f t="shared" si="55"/>
        <v>0</v>
      </c>
      <c r="V255" s="30">
        <f t="shared" si="40"/>
        <v>0</v>
      </c>
      <c r="W255" s="30">
        <f t="shared" ref="W255:X255" si="56">SUM(W256:W257)</f>
        <v>0</v>
      </c>
      <c r="X255" s="30">
        <f t="shared" si="56"/>
        <v>0</v>
      </c>
      <c r="Y255" s="30">
        <f t="shared" si="41"/>
        <v>0</v>
      </c>
      <c r="Z255" s="30">
        <f t="shared" ref="Z255:AA255" si="57">SUM(Z256:Z257)</f>
        <v>0</v>
      </c>
      <c r="AA255" s="30">
        <f t="shared" si="57"/>
        <v>0</v>
      </c>
      <c r="AB255" s="30">
        <f t="shared" si="42"/>
        <v>0</v>
      </c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28"/>
      <c r="BA255" s="28"/>
      <c r="BB255" s="28"/>
      <c r="BC255" s="28"/>
      <c r="BD255" s="28"/>
      <c r="BE255" s="28"/>
      <c r="BF255" s="28"/>
      <c r="BG255" s="28"/>
      <c r="BH255" s="28"/>
      <c r="BI255" s="28"/>
      <c r="BJ255" s="28"/>
      <c r="BK255" s="28"/>
      <c r="BL255" s="28"/>
      <c r="BM255" s="28"/>
      <c r="BN255" s="28"/>
      <c r="BO255" s="28"/>
      <c r="BP255" s="28"/>
      <c r="BQ255" s="28"/>
      <c r="BR255" s="28"/>
      <c r="BS255" s="28"/>
      <c r="BT255" s="28"/>
      <c r="BU255" s="28"/>
      <c r="BV255" s="28"/>
      <c r="BW255" s="28"/>
      <c r="BX255" s="28"/>
      <c r="BY255" s="28"/>
      <c r="BZ255" s="28"/>
      <c r="CA255" s="28"/>
      <c r="CB255" s="28"/>
      <c r="CC255" s="28"/>
      <c r="CD255" s="28"/>
      <c r="CE255" s="28"/>
      <c r="CF255" s="28"/>
      <c r="CG255" s="28"/>
      <c r="CH255" s="28"/>
      <c r="CI255" s="28"/>
      <c r="CJ255" s="28"/>
      <c r="CK255" s="28"/>
      <c r="CL255" s="28"/>
      <c r="CM255" s="28"/>
      <c r="CN255" s="28"/>
      <c r="CO255" s="28"/>
      <c r="CP255" s="28"/>
      <c r="CQ255" s="28"/>
      <c r="CR255" s="28"/>
      <c r="CS255" s="28"/>
      <c r="CT255" s="28"/>
      <c r="CU255" s="28"/>
      <c r="CV255" s="28"/>
      <c r="CW255" s="28"/>
      <c r="CX255" s="28"/>
      <c r="CY255" s="28"/>
      <c r="CZ255" s="28"/>
      <c r="DA255" s="28"/>
      <c r="DB255" s="28"/>
      <c r="DC255" s="28"/>
      <c r="DD255" s="28"/>
      <c r="DE255" s="28"/>
      <c r="DF255" s="28"/>
      <c r="DG255" s="28"/>
      <c r="DH255" s="28"/>
      <c r="DI255" s="28"/>
      <c r="DJ255" s="28"/>
      <c r="DK255" s="28"/>
      <c r="DL255" s="28"/>
      <c r="DM255" s="28"/>
      <c r="DN255" s="28"/>
      <c r="DO255" s="28"/>
      <c r="DP255" s="28"/>
      <c r="DQ255" s="28"/>
      <c r="DR255" s="28"/>
      <c r="DS255" s="28"/>
      <c r="DT255" s="28"/>
      <c r="DU255" s="28"/>
      <c r="DV255" s="28"/>
      <c r="DW255" s="28"/>
      <c r="DX255" s="28"/>
      <c r="DY255" s="28"/>
      <c r="DZ255" s="28"/>
      <c r="EA255" s="28"/>
      <c r="EB255" s="28"/>
      <c r="EC255" s="28"/>
      <c r="ED255" s="28"/>
      <c r="EE255" s="28"/>
      <c r="EF255" s="28"/>
      <c r="EG255" s="28"/>
      <c r="EH255" s="28"/>
      <c r="EI255" s="28"/>
      <c r="EJ255" s="28"/>
      <c r="EK255" s="28"/>
      <c r="EL255" s="28"/>
      <c r="EM255" s="28"/>
      <c r="EN255" s="28"/>
      <c r="EO255" s="28"/>
      <c r="EP255" s="28"/>
      <c r="EQ255" s="28"/>
      <c r="ER255" s="28"/>
      <c r="ES255" s="28"/>
      <c r="ET255" s="28"/>
      <c r="EU255" s="28"/>
      <c r="EV255" s="28"/>
      <c r="EW255" s="28"/>
      <c r="EX255" s="28"/>
      <c r="EY255" s="28"/>
      <c r="EZ255" s="28"/>
      <c r="FA255" s="28"/>
      <c r="FB255" s="28"/>
      <c r="FC255" s="28"/>
      <c r="FD255" s="28"/>
      <c r="FE255" s="28"/>
      <c r="FF255" s="28"/>
      <c r="FG255" s="28"/>
      <c r="FH255" s="28"/>
      <c r="FI255" s="28"/>
      <c r="FJ255" s="28"/>
      <c r="FK255" s="28"/>
      <c r="FL255" s="28"/>
      <c r="FM255" s="28"/>
      <c r="FN255" s="28"/>
      <c r="FO255" s="28"/>
      <c r="FP255" s="28"/>
      <c r="FQ255" s="28"/>
      <c r="FR255" s="28"/>
      <c r="FS255" s="28"/>
      <c r="FT255" s="28"/>
      <c r="FU255" s="28"/>
      <c r="FV255" s="28"/>
      <c r="FW255" s="28"/>
      <c r="FX255" s="28"/>
      <c r="FY255" s="28"/>
      <c r="FZ255" s="28"/>
      <c r="GA255" s="28"/>
      <c r="GB255" s="28"/>
      <c r="GC255" s="28"/>
      <c r="GD255" s="28"/>
      <c r="GE255" s="28"/>
    </row>
    <row r="256" spans="1:187" s="11" customFormat="1" ht="78.75">
      <c r="A256" s="37" t="s">
        <v>239</v>
      </c>
      <c r="B256" s="36">
        <f t="shared" si="43"/>
        <v>1031</v>
      </c>
      <c r="C256" s="36">
        <f t="shared" si="43"/>
        <v>1031</v>
      </c>
      <c r="D256" s="36">
        <f t="shared" si="43"/>
        <v>0</v>
      </c>
      <c r="E256" s="36"/>
      <c r="F256" s="36"/>
      <c r="G256" s="36">
        <f t="shared" si="35"/>
        <v>0</v>
      </c>
      <c r="H256" s="36"/>
      <c r="I256" s="36"/>
      <c r="J256" s="36">
        <f t="shared" si="36"/>
        <v>0</v>
      </c>
      <c r="K256" s="36">
        <v>0</v>
      </c>
      <c r="L256" s="36">
        <v>0</v>
      </c>
      <c r="M256" s="36">
        <f t="shared" si="37"/>
        <v>0</v>
      </c>
      <c r="N256" s="36">
        <v>1031</v>
      </c>
      <c r="O256" s="36">
        <v>1031</v>
      </c>
      <c r="P256" s="36">
        <f t="shared" si="38"/>
        <v>0</v>
      </c>
      <c r="Q256" s="36"/>
      <c r="R256" s="36"/>
      <c r="S256" s="36">
        <f t="shared" si="39"/>
        <v>0</v>
      </c>
      <c r="T256" s="36"/>
      <c r="U256" s="36"/>
      <c r="V256" s="36">
        <f t="shared" si="40"/>
        <v>0</v>
      </c>
      <c r="W256" s="36"/>
      <c r="X256" s="36"/>
      <c r="Y256" s="36">
        <f t="shared" si="41"/>
        <v>0</v>
      </c>
      <c r="Z256" s="36"/>
      <c r="AA256" s="36"/>
      <c r="AB256" s="36">
        <f t="shared" si="42"/>
        <v>0</v>
      </c>
    </row>
    <row r="257" spans="1:187" s="11" customFormat="1" ht="126">
      <c r="A257" s="38" t="s">
        <v>240</v>
      </c>
      <c r="B257" s="36">
        <f t="shared" si="43"/>
        <v>0</v>
      </c>
      <c r="C257" s="36">
        <f t="shared" si="43"/>
        <v>836</v>
      </c>
      <c r="D257" s="36">
        <f t="shared" si="43"/>
        <v>836</v>
      </c>
      <c r="E257" s="36">
        <v>0</v>
      </c>
      <c r="F257" s="36">
        <v>0</v>
      </c>
      <c r="G257" s="36">
        <f t="shared" si="35"/>
        <v>0</v>
      </c>
      <c r="H257" s="36"/>
      <c r="I257" s="36"/>
      <c r="J257" s="36">
        <f t="shared" si="36"/>
        <v>0</v>
      </c>
      <c r="K257" s="36">
        <v>0</v>
      </c>
      <c r="L257" s="36">
        <v>0</v>
      </c>
      <c r="M257" s="36">
        <f t="shared" si="37"/>
        <v>0</v>
      </c>
      <c r="N257" s="36"/>
      <c r="O257" s="36">
        <v>836</v>
      </c>
      <c r="P257" s="36">
        <f t="shared" si="38"/>
        <v>836</v>
      </c>
      <c r="Q257" s="36"/>
      <c r="R257" s="36"/>
      <c r="S257" s="36">
        <f t="shared" si="39"/>
        <v>0</v>
      </c>
      <c r="T257" s="36"/>
      <c r="U257" s="36"/>
      <c r="V257" s="36">
        <f t="shared" si="40"/>
        <v>0</v>
      </c>
      <c r="W257" s="36"/>
      <c r="X257" s="36"/>
      <c r="Y257" s="36">
        <f t="shared" si="41"/>
        <v>0</v>
      </c>
      <c r="Z257" s="36"/>
      <c r="AA257" s="36"/>
      <c r="AB257" s="36">
        <f t="shared" si="42"/>
        <v>0</v>
      </c>
    </row>
    <row r="258" spans="1:187" s="28" customFormat="1" ht="31.5">
      <c r="A258" s="29" t="s">
        <v>103</v>
      </c>
      <c r="B258" s="30">
        <f t="shared" si="43"/>
        <v>1219058</v>
      </c>
      <c r="C258" s="30">
        <f t="shared" si="43"/>
        <v>1219058</v>
      </c>
      <c r="D258" s="30">
        <f t="shared" si="43"/>
        <v>0</v>
      </c>
      <c r="E258" s="30">
        <f>SUM(E259:E262)</f>
        <v>0</v>
      </c>
      <c r="F258" s="30">
        <f>SUM(F259:F262)</f>
        <v>0</v>
      </c>
      <c r="G258" s="30">
        <f t="shared" si="35"/>
        <v>0</v>
      </c>
      <c r="H258" s="30">
        <f>SUM(H259:H262)</f>
        <v>0</v>
      </c>
      <c r="I258" s="30">
        <f>SUM(I259:I262)</f>
        <v>0</v>
      </c>
      <c r="J258" s="30">
        <f t="shared" si="36"/>
        <v>0</v>
      </c>
      <c r="K258" s="30">
        <f>SUM(K259:K262)</f>
        <v>17858</v>
      </c>
      <c r="L258" s="30">
        <f>SUM(L259:L262)</f>
        <v>17858</v>
      </c>
      <c r="M258" s="30">
        <f t="shared" si="37"/>
        <v>0</v>
      </c>
      <c r="N258" s="30">
        <f>SUM(N259:N262)</f>
        <v>1201200</v>
      </c>
      <c r="O258" s="30">
        <f>SUM(O259:O262)</f>
        <v>1201200</v>
      </c>
      <c r="P258" s="30">
        <f t="shared" si="38"/>
        <v>0</v>
      </c>
      <c r="Q258" s="30">
        <f>SUM(Q259:Q262)</f>
        <v>0</v>
      </c>
      <c r="R258" s="30">
        <f>SUM(R259:R262)</f>
        <v>0</v>
      </c>
      <c r="S258" s="30">
        <f t="shared" si="39"/>
        <v>0</v>
      </c>
      <c r="T258" s="30">
        <f>SUM(T259:T262)</f>
        <v>0</v>
      </c>
      <c r="U258" s="30">
        <f>SUM(U259:U262)</f>
        <v>0</v>
      </c>
      <c r="V258" s="30">
        <f t="shared" si="40"/>
        <v>0</v>
      </c>
      <c r="W258" s="30">
        <f>SUM(W259:W262)</f>
        <v>0</v>
      </c>
      <c r="X258" s="30">
        <f>SUM(X259:X262)</f>
        <v>0</v>
      </c>
      <c r="Y258" s="30">
        <f t="shared" si="41"/>
        <v>0</v>
      </c>
      <c r="Z258" s="30">
        <f>SUM(Z259:Z262)</f>
        <v>0</v>
      </c>
      <c r="AA258" s="30">
        <f>SUM(AA259:AA262)</f>
        <v>0</v>
      </c>
      <c r="AB258" s="30">
        <f t="shared" si="42"/>
        <v>0</v>
      </c>
      <c r="AC258" s="11"/>
      <c r="AD258" s="11"/>
      <c r="AE258" s="11"/>
      <c r="AF258" s="11"/>
      <c r="AG258" s="11"/>
      <c r="AH258" s="11"/>
      <c r="AI258" s="11"/>
      <c r="AJ258" s="11"/>
      <c r="AK258" s="11"/>
      <c r="AL258" s="11"/>
      <c r="AM258" s="11"/>
      <c r="AN258" s="11"/>
      <c r="AO258" s="11"/>
      <c r="AP258" s="11"/>
      <c r="AQ258" s="11"/>
      <c r="AR258" s="11"/>
      <c r="AS258" s="11"/>
      <c r="AT258" s="11"/>
      <c r="AU258" s="11"/>
      <c r="AV258" s="11"/>
      <c r="AW258" s="11"/>
      <c r="AX258" s="11"/>
      <c r="AY258" s="11"/>
      <c r="AZ258" s="11"/>
      <c r="BA258" s="11"/>
      <c r="BB258" s="11"/>
      <c r="BC258" s="11"/>
      <c r="BD258" s="11"/>
      <c r="BE258" s="11"/>
      <c r="BF258" s="11"/>
      <c r="BG258" s="11"/>
      <c r="BH258" s="11"/>
      <c r="BI258" s="11"/>
      <c r="BJ258" s="11"/>
      <c r="BK258" s="11"/>
      <c r="BL258" s="11"/>
      <c r="BM258" s="11"/>
      <c r="BN258" s="11"/>
      <c r="BO258" s="11"/>
      <c r="BP258" s="11"/>
      <c r="BQ258" s="11"/>
      <c r="BR258" s="11"/>
      <c r="BS258" s="11"/>
      <c r="BT258" s="11"/>
      <c r="BU258" s="11"/>
      <c r="BV258" s="11"/>
      <c r="BW258" s="11"/>
      <c r="BX258" s="11"/>
      <c r="BY258" s="11"/>
      <c r="BZ258" s="11"/>
      <c r="CA258" s="11"/>
      <c r="CB258" s="11"/>
      <c r="CC258" s="11"/>
      <c r="CD258" s="11"/>
      <c r="CE258" s="11"/>
      <c r="CF258" s="11"/>
      <c r="CG258" s="11"/>
      <c r="CH258" s="11"/>
      <c r="CI258" s="11"/>
      <c r="CJ258" s="11"/>
      <c r="CK258" s="11"/>
      <c r="CL258" s="11"/>
      <c r="CM258" s="11"/>
      <c r="CN258" s="11"/>
      <c r="CO258" s="11"/>
      <c r="CP258" s="11"/>
      <c r="CQ258" s="11"/>
      <c r="CR258" s="11"/>
      <c r="CS258" s="11"/>
      <c r="CT258" s="11"/>
      <c r="CU258" s="11"/>
      <c r="CV258" s="11"/>
      <c r="CW258" s="11"/>
      <c r="CX258" s="11"/>
      <c r="CY258" s="11"/>
      <c r="CZ258" s="11"/>
      <c r="DA258" s="11"/>
      <c r="DB258" s="11"/>
      <c r="DC258" s="11"/>
      <c r="DD258" s="11"/>
      <c r="DE258" s="11"/>
      <c r="DF258" s="11"/>
      <c r="DG258" s="11"/>
      <c r="DH258" s="11"/>
      <c r="DI258" s="11"/>
      <c r="DJ258" s="11"/>
      <c r="DK258" s="11"/>
      <c r="DL258" s="11"/>
      <c r="DM258" s="11"/>
      <c r="DN258" s="11"/>
      <c r="DO258" s="11"/>
      <c r="DP258" s="11"/>
      <c r="DQ258" s="11"/>
      <c r="DR258" s="11"/>
      <c r="DS258" s="11"/>
      <c r="DT258" s="11"/>
      <c r="DU258" s="11"/>
      <c r="DV258" s="11"/>
      <c r="DW258" s="11"/>
      <c r="DX258" s="11"/>
      <c r="DY258" s="11"/>
      <c r="DZ258" s="11"/>
      <c r="EA258" s="11"/>
      <c r="EB258" s="11"/>
      <c r="EC258" s="11"/>
      <c r="ED258" s="11"/>
      <c r="EE258" s="11"/>
      <c r="EF258" s="11"/>
      <c r="EG258" s="11"/>
      <c r="EH258" s="11"/>
      <c r="EI258" s="11"/>
      <c r="EJ258" s="11"/>
      <c r="EK258" s="11"/>
      <c r="EL258" s="11"/>
      <c r="EM258" s="11"/>
      <c r="EN258" s="11"/>
      <c r="EO258" s="11"/>
      <c r="EP258" s="11"/>
      <c r="EQ258" s="11"/>
      <c r="ER258" s="11"/>
      <c r="ES258" s="11"/>
      <c r="ET258" s="11"/>
      <c r="EU258" s="11"/>
      <c r="EV258" s="11"/>
      <c r="EW258" s="11"/>
      <c r="EX258" s="11"/>
      <c r="EY258" s="11"/>
      <c r="EZ258" s="11"/>
      <c r="FA258" s="11"/>
      <c r="FB258" s="11"/>
      <c r="FC258" s="11"/>
      <c r="FD258" s="11"/>
      <c r="FE258" s="11"/>
      <c r="FF258" s="11"/>
      <c r="FG258" s="11"/>
      <c r="FH258" s="11"/>
      <c r="FI258" s="11"/>
      <c r="FJ258" s="11"/>
      <c r="FK258" s="11"/>
      <c r="FL258" s="11"/>
      <c r="FM258" s="11"/>
      <c r="FN258" s="11"/>
      <c r="FO258" s="11"/>
      <c r="FP258" s="11"/>
      <c r="FQ258" s="11"/>
      <c r="FR258" s="11"/>
      <c r="FS258" s="11"/>
      <c r="FT258" s="11"/>
      <c r="FU258" s="11"/>
      <c r="FV258" s="11"/>
      <c r="FW258" s="11"/>
      <c r="FX258" s="11"/>
      <c r="FY258" s="11"/>
      <c r="FZ258" s="11"/>
      <c r="GA258" s="11"/>
      <c r="GB258" s="11"/>
      <c r="GC258" s="11"/>
      <c r="GD258" s="11"/>
      <c r="GE258" s="11"/>
    </row>
    <row r="259" spans="1:187" s="11" customFormat="1" ht="63">
      <c r="A259" s="38" t="s">
        <v>241</v>
      </c>
      <c r="B259" s="36">
        <f t="shared" si="43"/>
        <v>1200</v>
      </c>
      <c r="C259" s="36">
        <f t="shared" si="43"/>
        <v>1200</v>
      </c>
      <c r="D259" s="36">
        <f t="shared" si="43"/>
        <v>0</v>
      </c>
      <c r="E259" s="36">
        <v>0</v>
      </c>
      <c r="F259" s="36">
        <v>0</v>
      </c>
      <c r="G259" s="36">
        <f t="shared" si="35"/>
        <v>0</v>
      </c>
      <c r="H259" s="36"/>
      <c r="I259" s="36"/>
      <c r="J259" s="36">
        <f t="shared" si="36"/>
        <v>0</v>
      </c>
      <c r="K259" s="36">
        <v>0</v>
      </c>
      <c r="L259" s="36">
        <v>0</v>
      </c>
      <c r="M259" s="36">
        <f t="shared" si="37"/>
        <v>0</v>
      </c>
      <c r="N259" s="36">
        <v>1200</v>
      </c>
      <c r="O259" s="36">
        <v>1200</v>
      </c>
      <c r="P259" s="36">
        <f t="shared" si="38"/>
        <v>0</v>
      </c>
      <c r="Q259" s="36"/>
      <c r="R259" s="36"/>
      <c r="S259" s="36">
        <f t="shared" si="39"/>
        <v>0</v>
      </c>
      <c r="T259" s="36"/>
      <c r="U259" s="36"/>
      <c r="V259" s="36">
        <f t="shared" si="40"/>
        <v>0</v>
      </c>
      <c r="W259" s="36"/>
      <c r="X259" s="36"/>
      <c r="Y259" s="36">
        <f t="shared" si="41"/>
        <v>0</v>
      </c>
      <c r="Z259" s="36"/>
      <c r="AA259" s="36"/>
      <c r="AB259" s="36">
        <f t="shared" si="42"/>
        <v>0</v>
      </c>
    </row>
    <row r="260" spans="1:187" s="11" customFormat="1">
      <c r="A260" s="37" t="s">
        <v>242</v>
      </c>
      <c r="B260" s="36">
        <f t="shared" si="43"/>
        <v>4513</v>
      </c>
      <c r="C260" s="36">
        <f t="shared" si="43"/>
        <v>4513</v>
      </c>
      <c r="D260" s="36">
        <f t="shared" si="43"/>
        <v>0</v>
      </c>
      <c r="E260" s="36"/>
      <c r="F260" s="36"/>
      <c r="G260" s="36">
        <f t="shared" si="35"/>
        <v>0</v>
      </c>
      <c r="H260" s="36"/>
      <c r="I260" s="36"/>
      <c r="J260" s="36">
        <f t="shared" si="36"/>
        <v>0</v>
      </c>
      <c r="K260" s="36">
        <v>4513</v>
      </c>
      <c r="L260" s="36">
        <v>4513</v>
      </c>
      <c r="M260" s="36">
        <f t="shared" si="37"/>
        <v>0</v>
      </c>
      <c r="N260" s="36"/>
      <c r="O260" s="36"/>
      <c r="P260" s="36">
        <f t="shared" si="38"/>
        <v>0</v>
      </c>
      <c r="Q260" s="36"/>
      <c r="R260" s="36"/>
      <c r="S260" s="36">
        <f t="shared" si="39"/>
        <v>0</v>
      </c>
      <c r="T260" s="36"/>
      <c r="U260" s="36"/>
      <c r="V260" s="36">
        <f t="shared" si="40"/>
        <v>0</v>
      </c>
      <c r="W260" s="36"/>
      <c r="X260" s="36"/>
      <c r="Y260" s="36">
        <f t="shared" si="41"/>
        <v>0</v>
      </c>
      <c r="Z260" s="36"/>
      <c r="AA260" s="36"/>
      <c r="AB260" s="36">
        <f t="shared" si="42"/>
        <v>0</v>
      </c>
    </row>
    <row r="261" spans="1:187" s="11" customFormat="1" ht="31.5">
      <c r="A261" s="38" t="s">
        <v>243</v>
      </c>
      <c r="B261" s="36">
        <f t="shared" si="43"/>
        <v>13345</v>
      </c>
      <c r="C261" s="36">
        <f t="shared" si="43"/>
        <v>13345</v>
      </c>
      <c r="D261" s="36">
        <f t="shared" si="43"/>
        <v>0</v>
      </c>
      <c r="E261" s="36">
        <v>0</v>
      </c>
      <c r="F261" s="36">
        <v>0</v>
      </c>
      <c r="G261" s="36">
        <f t="shared" si="35"/>
        <v>0</v>
      </c>
      <c r="H261" s="36"/>
      <c r="I261" s="36"/>
      <c r="J261" s="36">
        <f t="shared" si="36"/>
        <v>0</v>
      </c>
      <c r="K261" s="36">
        <v>13345</v>
      </c>
      <c r="L261" s="36">
        <v>13345</v>
      </c>
      <c r="M261" s="36">
        <f t="shared" si="37"/>
        <v>0</v>
      </c>
      <c r="N261" s="36"/>
      <c r="O261" s="36"/>
      <c r="P261" s="36">
        <f t="shared" si="38"/>
        <v>0</v>
      </c>
      <c r="Q261" s="36"/>
      <c r="R261" s="36"/>
      <c r="S261" s="36">
        <f t="shared" si="39"/>
        <v>0</v>
      </c>
      <c r="T261" s="36"/>
      <c r="U261" s="36"/>
      <c r="V261" s="36">
        <f t="shared" si="40"/>
        <v>0</v>
      </c>
      <c r="W261" s="36"/>
      <c r="X261" s="36"/>
      <c r="Y261" s="36">
        <f t="shared" si="41"/>
        <v>0</v>
      </c>
      <c r="Z261" s="36"/>
      <c r="AA261" s="36"/>
      <c r="AB261" s="36">
        <f t="shared" si="42"/>
        <v>0</v>
      </c>
    </row>
    <row r="262" spans="1:187" s="11" customFormat="1" ht="78.75">
      <c r="A262" s="37" t="s">
        <v>244</v>
      </c>
      <c r="B262" s="36">
        <f t="shared" si="43"/>
        <v>1200000</v>
      </c>
      <c r="C262" s="36">
        <f t="shared" si="43"/>
        <v>1200000</v>
      </c>
      <c r="D262" s="36">
        <f t="shared" si="43"/>
        <v>0</v>
      </c>
      <c r="E262" s="36"/>
      <c r="F262" s="36"/>
      <c r="G262" s="36">
        <f t="shared" si="35"/>
        <v>0</v>
      </c>
      <c r="H262" s="36"/>
      <c r="I262" s="36"/>
      <c r="J262" s="36">
        <f t="shared" si="36"/>
        <v>0</v>
      </c>
      <c r="K262" s="36">
        <v>0</v>
      </c>
      <c r="L262" s="36">
        <v>0</v>
      </c>
      <c r="M262" s="36">
        <f t="shared" si="37"/>
        <v>0</v>
      </c>
      <c r="N262" s="36">
        <v>1200000</v>
      </c>
      <c r="O262" s="36">
        <v>1200000</v>
      </c>
      <c r="P262" s="36">
        <f t="shared" si="38"/>
        <v>0</v>
      </c>
      <c r="Q262" s="36"/>
      <c r="R262" s="36"/>
      <c r="S262" s="36">
        <f t="shared" si="39"/>
        <v>0</v>
      </c>
      <c r="T262" s="36"/>
      <c r="U262" s="36"/>
      <c r="V262" s="36">
        <f t="shared" si="40"/>
        <v>0</v>
      </c>
      <c r="W262" s="36"/>
      <c r="X262" s="36"/>
      <c r="Y262" s="36">
        <f t="shared" si="41"/>
        <v>0</v>
      </c>
      <c r="Z262" s="36"/>
      <c r="AA262" s="36"/>
      <c r="AB262" s="36">
        <f t="shared" si="42"/>
        <v>0</v>
      </c>
    </row>
    <row r="263" spans="1:187" s="11" customFormat="1">
      <c r="A263" s="29" t="s">
        <v>108</v>
      </c>
      <c r="B263" s="30">
        <f t="shared" si="43"/>
        <v>468000</v>
      </c>
      <c r="C263" s="30">
        <f t="shared" si="43"/>
        <v>468000</v>
      </c>
      <c r="D263" s="30">
        <f t="shared" si="43"/>
        <v>0</v>
      </c>
      <c r="E263" s="30">
        <f>SUM(E264:E266)</f>
        <v>0</v>
      </c>
      <c r="F263" s="30">
        <f>SUM(F264:F266)</f>
        <v>0</v>
      </c>
      <c r="G263" s="30">
        <f t="shared" si="35"/>
        <v>0</v>
      </c>
      <c r="H263" s="30">
        <f>SUM(H264:H266)</f>
        <v>0</v>
      </c>
      <c r="I263" s="30">
        <f>SUM(I264:I266)</f>
        <v>0</v>
      </c>
      <c r="J263" s="30">
        <f t="shared" si="36"/>
        <v>0</v>
      </c>
      <c r="K263" s="30">
        <f>SUM(K264:K266)</f>
        <v>468000</v>
      </c>
      <c r="L263" s="30">
        <f>SUM(L264:L266)</f>
        <v>468000</v>
      </c>
      <c r="M263" s="30">
        <f t="shared" si="37"/>
        <v>0</v>
      </c>
      <c r="N263" s="30">
        <f>SUM(N264:N266)</f>
        <v>0</v>
      </c>
      <c r="O263" s="30">
        <f>SUM(O264:O266)</f>
        <v>0</v>
      </c>
      <c r="P263" s="30">
        <f t="shared" si="38"/>
        <v>0</v>
      </c>
      <c r="Q263" s="30">
        <f>SUM(Q264:Q266)</f>
        <v>0</v>
      </c>
      <c r="R263" s="30">
        <f>SUM(R264:R266)</f>
        <v>0</v>
      </c>
      <c r="S263" s="30">
        <f t="shared" si="39"/>
        <v>0</v>
      </c>
      <c r="T263" s="30">
        <f>SUM(T264:T266)</f>
        <v>0</v>
      </c>
      <c r="U263" s="30">
        <f>SUM(U264:U266)</f>
        <v>0</v>
      </c>
      <c r="V263" s="30">
        <f t="shared" si="40"/>
        <v>0</v>
      </c>
      <c r="W263" s="30">
        <f>SUM(W264:W266)</f>
        <v>0</v>
      </c>
      <c r="X263" s="30">
        <f>SUM(X264:X266)</f>
        <v>0</v>
      </c>
      <c r="Y263" s="30">
        <f t="shared" si="41"/>
        <v>0</v>
      </c>
      <c r="Z263" s="30">
        <f>SUM(Z264:Z266)</f>
        <v>0</v>
      </c>
      <c r="AA263" s="30">
        <f>SUM(AA264:AA266)</f>
        <v>0</v>
      </c>
      <c r="AB263" s="30">
        <f t="shared" si="42"/>
        <v>0</v>
      </c>
    </row>
    <row r="264" spans="1:187" s="11" customFormat="1">
      <c r="A264" s="37" t="s">
        <v>245</v>
      </c>
      <c r="B264" s="36">
        <f t="shared" si="43"/>
        <v>186000</v>
      </c>
      <c r="C264" s="36">
        <f t="shared" si="43"/>
        <v>186000</v>
      </c>
      <c r="D264" s="36">
        <f t="shared" si="43"/>
        <v>0</v>
      </c>
      <c r="E264" s="36"/>
      <c r="F264" s="36"/>
      <c r="G264" s="36">
        <f t="shared" si="35"/>
        <v>0</v>
      </c>
      <c r="H264" s="36"/>
      <c r="I264" s="36"/>
      <c r="J264" s="36">
        <f t="shared" si="36"/>
        <v>0</v>
      </c>
      <c r="K264" s="36">
        <v>186000</v>
      </c>
      <c r="L264" s="36">
        <v>186000</v>
      </c>
      <c r="M264" s="36">
        <f t="shared" si="37"/>
        <v>0</v>
      </c>
      <c r="N264" s="36"/>
      <c r="O264" s="36"/>
      <c r="P264" s="36">
        <f t="shared" si="38"/>
        <v>0</v>
      </c>
      <c r="Q264" s="36"/>
      <c r="R264" s="36"/>
      <c r="S264" s="36">
        <f t="shared" si="39"/>
        <v>0</v>
      </c>
      <c r="T264" s="36"/>
      <c r="U264" s="36"/>
      <c r="V264" s="36">
        <f t="shared" si="40"/>
        <v>0</v>
      </c>
      <c r="W264" s="36"/>
      <c r="X264" s="36"/>
      <c r="Y264" s="36">
        <f t="shared" si="41"/>
        <v>0</v>
      </c>
      <c r="Z264" s="36"/>
      <c r="AA264" s="36"/>
      <c r="AB264" s="36">
        <f t="shared" si="42"/>
        <v>0</v>
      </c>
    </row>
    <row r="265" spans="1:187" s="11" customFormat="1" ht="31.5">
      <c r="A265" s="37" t="s">
        <v>246</v>
      </c>
      <c r="B265" s="36">
        <f t="shared" si="43"/>
        <v>222000</v>
      </c>
      <c r="C265" s="36">
        <f t="shared" si="43"/>
        <v>222000</v>
      </c>
      <c r="D265" s="36">
        <f t="shared" si="43"/>
        <v>0</v>
      </c>
      <c r="E265" s="36"/>
      <c r="F265" s="36"/>
      <c r="G265" s="36">
        <f t="shared" si="35"/>
        <v>0</v>
      </c>
      <c r="H265" s="36"/>
      <c r="I265" s="36"/>
      <c r="J265" s="36">
        <f t="shared" si="36"/>
        <v>0</v>
      </c>
      <c r="K265" s="36">
        <v>222000</v>
      </c>
      <c r="L265" s="36">
        <v>222000</v>
      </c>
      <c r="M265" s="36">
        <f t="shared" si="37"/>
        <v>0</v>
      </c>
      <c r="N265" s="36"/>
      <c r="O265" s="36"/>
      <c r="P265" s="36">
        <f t="shared" si="38"/>
        <v>0</v>
      </c>
      <c r="Q265" s="36"/>
      <c r="R265" s="36"/>
      <c r="S265" s="36">
        <f t="shared" si="39"/>
        <v>0</v>
      </c>
      <c r="T265" s="36"/>
      <c r="U265" s="36"/>
      <c r="V265" s="36">
        <f t="shared" si="40"/>
        <v>0</v>
      </c>
      <c r="W265" s="36"/>
      <c r="X265" s="36"/>
      <c r="Y265" s="36">
        <f t="shared" si="41"/>
        <v>0</v>
      </c>
      <c r="Z265" s="36"/>
      <c r="AA265" s="36"/>
      <c r="AB265" s="36">
        <f t="shared" si="42"/>
        <v>0</v>
      </c>
    </row>
    <row r="266" spans="1:187" s="11" customFormat="1">
      <c r="A266" s="37" t="s">
        <v>247</v>
      </c>
      <c r="B266" s="36">
        <f t="shared" si="43"/>
        <v>60000</v>
      </c>
      <c r="C266" s="36">
        <f t="shared" si="43"/>
        <v>60000</v>
      </c>
      <c r="D266" s="36">
        <f t="shared" si="43"/>
        <v>0</v>
      </c>
      <c r="E266" s="36"/>
      <c r="F266" s="36"/>
      <c r="G266" s="36">
        <f t="shared" si="35"/>
        <v>0</v>
      </c>
      <c r="H266" s="36"/>
      <c r="I266" s="36"/>
      <c r="J266" s="36">
        <f t="shared" si="36"/>
        <v>0</v>
      </c>
      <c r="K266" s="36">
        <v>60000</v>
      </c>
      <c r="L266" s="36">
        <v>60000</v>
      </c>
      <c r="M266" s="36">
        <f t="shared" si="37"/>
        <v>0</v>
      </c>
      <c r="N266" s="36"/>
      <c r="O266" s="36"/>
      <c r="P266" s="36">
        <f t="shared" si="38"/>
        <v>0</v>
      </c>
      <c r="Q266" s="36"/>
      <c r="R266" s="36"/>
      <c r="S266" s="36">
        <f t="shared" si="39"/>
        <v>0</v>
      </c>
      <c r="T266" s="36"/>
      <c r="U266" s="36"/>
      <c r="V266" s="36">
        <f t="shared" si="40"/>
        <v>0</v>
      </c>
      <c r="W266" s="36"/>
      <c r="X266" s="36"/>
      <c r="Y266" s="36">
        <f t="shared" si="41"/>
        <v>0</v>
      </c>
      <c r="Z266" s="36"/>
      <c r="AA266" s="36"/>
      <c r="AB266" s="36">
        <f t="shared" si="42"/>
        <v>0</v>
      </c>
    </row>
    <row r="267" spans="1:187" s="11" customFormat="1">
      <c r="A267" s="29" t="s">
        <v>166</v>
      </c>
      <c r="B267" s="30">
        <f t="shared" si="43"/>
        <v>76426</v>
      </c>
      <c r="C267" s="30">
        <f t="shared" si="43"/>
        <v>76426</v>
      </c>
      <c r="D267" s="30">
        <f t="shared" si="43"/>
        <v>0</v>
      </c>
      <c r="E267" s="30">
        <f>SUM(E268:E274)</f>
        <v>0</v>
      </c>
      <c r="F267" s="30">
        <f>SUM(F268:F274)</f>
        <v>0</v>
      </c>
      <c r="G267" s="30">
        <f t="shared" si="35"/>
        <v>0</v>
      </c>
      <c r="H267" s="30">
        <f>SUM(H268:H274)</f>
        <v>0</v>
      </c>
      <c r="I267" s="30">
        <f>SUM(I268:I274)</f>
        <v>0</v>
      </c>
      <c r="J267" s="30">
        <f t="shared" si="36"/>
        <v>0</v>
      </c>
      <c r="K267" s="30">
        <f>SUM(K268:K274)</f>
        <v>76426</v>
      </c>
      <c r="L267" s="30">
        <f>SUM(L268:L274)</f>
        <v>76426</v>
      </c>
      <c r="M267" s="30">
        <f t="shared" si="37"/>
        <v>0</v>
      </c>
      <c r="N267" s="30">
        <f>SUM(N268:N274)</f>
        <v>0</v>
      </c>
      <c r="O267" s="30">
        <f>SUM(O268:O274)</f>
        <v>0</v>
      </c>
      <c r="P267" s="30">
        <f t="shared" si="38"/>
        <v>0</v>
      </c>
      <c r="Q267" s="30">
        <f>SUM(Q268:Q274)</f>
        <v>0</v>
      </c>
      <c r="R267" s="30">
        <f>SUM(R268:R274)</f>
        <v>0</v>
      </c>
      <c r="S267" s="30">
        <f t="shared" si="39"/>
        <v>0</v>
      </c>
      <c r="T267" s="30">
        <f>SUM(T268:T274)</f>
        <v>0</v>
      </c>
      <c r="U267" s="30">
        <f>SUM(U268:U274)</f>
        <v>0</v>
      </c>
      <c r="V267" s="30">
        <f t="shared" si="40"/>
        <v>0</v>
      </c>
      <c r="W267" s="30">
        <f>SUM(W268:W274)</f>
        <v>0</v>
      </c>
      <c r="X267" s="30">
        <f>SUM(X268:X274)</f>
        <v>0</v>
      </c>
      <c r="Y267" s="30">
        <f t="shared" si="41"/>
        <v>0</v>
      </c>
      <c r="Z267" s="30">
        <f>SUM(Z268:Z274)</f>
        <v>0</v>
      </c>
      <c r="AA267" s="30">
        <f>SUM(AA268:AA274)</f>
        <v>0</v>
      </c>
      <c r="AB267" s="30">
        <f t="shared" si="42"/>
        <v>0</v>
      </c>
    </row>
    <row r="268" spans="1:187" s="11" customFormat="1" ht="31.5">
      <c r="A268" s="37" t="s">
        <v>248</v>
      </c>
      <c r="B268" s="36">
        <f t="shared" si="43"/>
        <v>6833</v>
      </c>
      <c r="C268" s="36">
        <f t="shared" si="43"/>
        <v>6833</v>
      </c>
      <c r="D268" s="36">
        <f t="shared" si="43"/>
        <v>0</v>
      </c>
      <c r="E268" s="36"/>
      <c r="F268" s="36"/>
      <c r="G268" s="36">
        <f t="shared" si="35"/>
        <v>0</v>
      </c>
      <c r="H268" s="36"/>
      <c r="I268" s="36"/>
      <c r="J268" s="36">
        <f t="shared" si="36"/>
        <v>0</v>
      </c>
      <c r="K268" s="36">
        <f>8719-639-1247</f>
        <v>6833</v>
      </c>
      <c r="L268" s="36">
        <f>8719-639-1247</f>
        <v>6833</v>
      </c>
      <c r="M268" s="36">
        <f t="shared" si="37"/>
        <v>0</v>
      </c>
      <c r="N268" s="36"/>
      <c r="O268" s="36"/>
      <c r="P268" s="36">
        <f t="shared" si="38"/>
        <v>0</v>
      </c>
      <c r="Q268" s="36"/>
      <c r="R268" s="36"/>
      <c r="S268" s="36">
        <f t="shared" si="39"/>
        <v>0</v>
      </c>
      <c r="T268" s="36"/>
      <c r="U268" s="36"/>
      <c r="V268" s="36">
        <f t="shared" si="40"/>
        <v>0</v>
      </c>
      <c r="W268" s="36"/>
      <c r="X268" s="36"/>
      <c r="Y268" s="36">
        <f t="shared" si="41"/>
        <v>0</v>
      </c>
      <c r="Z268" s="36"/>
      <c r="AA268" s="36"/>
      <c r="AB268" s="36">
        <f t="shared" si="42"/>
        <v>0</v>
      </c>
    </row>
    <row r="269" spans="1:187" s="11" customFormat="1">
      <c r="A269" s="37" t="s">
        <v>249</v>
      </c>
      <c r="B269" s="36">
        <f t="shared" si="43"/>
        <v>1247</v>
      </c>
      <c r="C269" s="36">
        <f t="shared" si="43"/>
        <v>1247</v>
      </c>
      <c r="D269" s="36">
        <f t="shared" si="43"/>
        <v>0</v>
      </c>
      <c r="E269" s="36"/>
      <c r="F269" s="36"/>
      <c r="G269" s="36">
        <f t="shared" ref="G269:G335" si="58">F269-E269</f>
        <v>0</v>
      </c>
      <c r="H269" s="36"/>
      <c r="I269" s="36"/>
      <c r="J269" s="36">
        <f t="shared" ref="J269:J335" si="59">I269-H269</f>
        <v>0</v>
      </c>
      <c r="K269" s="36">
        <f>1247</f>
        <v>1247</v>
      </c>
      <c r="L269" s="36">
        <f>1247</f>
        <v>1247</v>
      </c>
      <c r="M269" s="36">
        <f t="shared" ref="M269:M335" si="60">L269-K269</f>
        <v>0</v>
      </c>
      <c r="N269" s="36"/>
      <c r="O269" s="36"/>
      <c r="P269" s="36">
        <f t="shared" ref="P269:P335" si="61">O269-N269</f>
        <v>0</v>
      </c>
      <c r="Q269" s="36"/>
      <c r="R269" s="36"/>
      <c r="S269" s="36">
        <f t="shared" ref="S269:S335" si="62">R269-Q269</f>
        <v>0</v>
      </c>
      <c r="T269" s="36"/>
      <c r="U269" s="36"/>
      <c r="V269" s="36">
        <f t="shared" ref="V269:V335" si="63">U269-T269</f>
        <v>0</v>
      </c>
      <c r="W269" s="36"/>
      <c r="X269" s="36"/>
      <c r="Y269" s="36">
        <f t="shared" ref="Y269:Y335" si="64">X269-W269</f>
        <v>0</v>
      </c>
      <c r="Z269" s="36"/>
      <c r="AA269" s="36"/>
      <c r="AB269" s="36">
        <f t="shared" ref="AB269:AB335" si="65">AA269-Z269</f>
        <v>0</v>
      </c>
    </row>
    <row r="270" spans="1:187" s="11" customFormat="1">
      <c r="A270" s="37" t="s">
        <v>250</v>
      </c>
      <c r="B270" s="36">
        <f t="shared" si="43"/>
        <v>1800</v>
      </c>
      <c r="C270" s="36">
        <f t="shared" si="43"/>
        <v>1800</v>
      </c>
      <c r="D270" s="36">
        <f t="shared" si="43"/>
        <v>0</v>
      </c>
      <c r="E270" s="36"/>
      <c r="F270" s="36"/>
      <c r="G270" s="36">
        <f t="shared" si="58"/>
        <v>0</v>
      </c>
      <c r="H270" s="36"/>
      <c r="I270" s="36"/>
      <c r="J270" s="36">
        <f t="shared" si="59"/>
        <v>0</v>
      </c>
      <c r="K270" s="36">
        <v>1800</v>
      </c>
      <c r="L270" s="36">
        <v>1800</v>
      </c>
      <c r="M270" s="36">
        <f t="shared" si="60"/>
        <v>0</v>
      </c>
      <c r="N270" s="36"/>
      <c r="O270" s="36"/>
      <c r="P270" s="36">
        <f t="shared" si="61"/>
        <v>0</v>
      </c>
      <c r="Q270" s="36"/>
      <c r="R270" s="36"/>
      <c r="S270" s="36">
        <f t="shared" si="62"/>
        <v>0</v>
      </c>
      <c r="T270" s="36"/>
      <c r="U270" s="36"/>
      <c r="V270" s="36">
        <f t="shared" si="63"/>
        <v>0</v>
      </c>
      <c r="W270" s="36"/>
      <c r="X270" s="36"/>
      <c r="Y270" s="36">
        <f t="shared" si="64"/>
        <v>0</v>
      </c>
      <c r="Z270" s="36"/>
      <c r="AA270" s="36"/>
      <c r="AB270" s="36">
        <f t="shared" si="65"/>
        <v>0</v>
      </c>
    </row>
    <row r="271" spans="1:187" s="11" customFormat="1" ht="47.25">
      <c r="A271" s="37" t="s">
        <v>251</v>
      </c>
      <c r="B271" s="36">
        <f t="shared" si="43"/>
        <v>19124</v>
      </c>
      <c r="C271" s="36">
        <f t="shared" si="43"/>
        <v>19124</v>
      </c>
      <c r="D271" s="36">
        <f t="shared" si="43"/>
        <v>0</v>
      </c>
      <c r="E271" s="36"/>
      <c r="F271" s="36"/>
      <c r="G271" s="36">
        <f t="shared" si="58"/>
        <v>0</v>
      </c>
      <c r="H271" s="36"/>
      <c r="I271" s="36"/>
      <c r="J271" s="36">
        <f t="shared" si="59"/>
        <v>0</v>
      </c>
      <c r="K271" s="36">
        <v>19124</v>
      </c>
      <c r="L271" s="36">
        <v>19124</v>
      </c>
      <c r="M271" s="36">
        <f t="shared" si="60"/>
        <v>0</v>
      </c>
      <c r="N271" s="36"/>
      <c r="O271" s="36"/>
      <c r="P271" s="36">
        <f t="shared" si="61"/>
        <v>0</v>
      </c>
      <c r="Q271" s="36"/>
      <c r="R271" s="36"/>
      <c r="S271" s="36">
        <f t="shared" si="62"/>
        <v>0</v>
      </c>
      <c r="T271" s="36"/>
      <c r="U271" s="36"/>
      <c r="V271" s="36">
        <f t="shared" si="63"/>
        <v>0</v>
      </c>
      <c r="W271" s="36"/>
      <c r="X271" s="36"/>
      <c r="Y271" s="36">
        <f t="shared" si="64"/>
        <v>0</v>
      </c>
      <c r="Z271" s="36"/>
      <c r="AA271" s="36"/>
      <c r="AB271" s="36">
        <f t="shared" si="65"/>
        <v>0</v>
      </c>
    </row>
    <row r="272" spans="1:187" s="11" customFormat="1" ht="47.25">
      <c r="A272" s="37" t="s">
        <v>252</v>
      </c>
      <c r="B272" s="36">
        <f t="shared" si="43"/>
        <v>44390</v>
      </c>
      <c r="C272" s="36">
        <f t="shared" si="43"/>
        <v>44390</v>
      </c>
      <c r="D272" s="36">
        <f t="shared" si="43"/>
        <v>0</v>
      </c>
      <c r="E272" s="36"/>
      <c r="F272" s="36"/>
      <c r="G272" s="36">
        <f t="shared" si="58"/>
        <v>0</v>
      </c>
      <c r="H272" s="36"/>
      <c r="I272" s="36"/>
      <c r="J272" s="36">
        <f t="shared" si="59"/>
        <v>0</v>
      </c>
      <c r="K272" s="36">
        <v>44390</v>
      </c>
      <c r="L272" s="36">
        <v>44390</v>
      </c>
      <c r="M272" s="36">
        <f t="shared" si="60"/>
        <v>0</v>
      </c>
      <c r="N272" s="36"/>
      <c r="O272" s="36"/>
      <c r="P272" s="36">
        <f t="shared" si="61"/>
        <v>0</v>
      </c>
      <c r="Q272" s="36"/>
      <c r="R272" s="36"/>
      <c r="S272" s="36">
        <f t="shared" si="62"/>
        <v>0</v>
      </c>
      <c r="T272" s="36"/>
      <c r="U272" s="36"/>
      <c r="V272" s="36">
        <f t="shared" si="63"/>
        <v>0</v>
      </c>
      <c r="W272" s="36"/>
      <c r="X272" s="36"/>
      <c r="Y272" s="36">
        <f t="shared" si="64"/>
        <v>0</v>
      </c>
      <c r="Z272" s="36"/>
      <c r="AA272" s="36"/>
      <c r="AB272" s="36">
        <f t="shared" si="65"/>
        <v>0</v>
      </c>
    </row>
    <row r="273" spans="1:28" s="11" customFormat="1">
      <c r="A273" s="37" t="s">
        <v>253</v>
      </c>
      <c r="B273" s="36">
        <f t="shared" si="43"/>
        <v>1367</v>
      </c>
      <c r="C273" s="36">
        <f t="shared" si="43"/>
        <v>1367</v>
      </c>
      <c r="D273" s="36">
        <f t="shared" si="43"/>
        <v>0</v>
      </c>
      <c r="E273" s="36"/>
      <c r="F273" s="36"/>
      <c r="G273" s="36">
        <f t="shared" si="58"/>
        <v>0</v>
      </c>
      <c r="H273" s="36"/>
      <c r="I273" s="36"/>
      <c r="J273" s="36">
        <f t="shared" si="59"/>
        <v>0</v>
      </c>
      <c r="K273" s="36">
        <v>1367</v>
      </c>
      <c r="L273" s="36">
        <v>1367</v>
      </c>
      <c r="M273" s="36">
        <f t="shared" si="60"/>
        <v>0</v>
      </c>
      <c r="N273" s="36"/>
      <c r="O273" s="36"/>
      <c r="P273" s="36">
        <f t="shared" si="61"/>
        <v>0</v>
      </c>
      <c r="Q273" s="36"/>
      <c r="R273" s="36"/>
      <c r="S273" s="36">
        <f t="shared" si="62"/>
        <v>0</v>
      </c>
      <c r="T273" s="36"/>
      <c r="U273" s="36"/>
      <c r="V273" s="36">
        <f t="shared" si="63"/>
        <v>0</v>
      </c>
      <c r="W273" s="36"/>
      <c r="X273" s="36"/>
      <c r="Y273" s="36">
        <f t="shared" si="64"/>
        <v>0</v>
      </c>
      <c r="Z273" s="36"/>
      <c r="AA273" s="36"/>
      <c r="AB273" s="36">
        <f t="shared" si="65"/>
        <v>0</v>
      </c>
    </row>
    <row r="274" spans="1:28" s="11" customFormat="1">
      <c r="A274" s="37" t="s">
        <v>254</v>
      </c>
      <c r="B274" s="36">
        <f t="shared" si="43"/>
        <v>1665</v>
      </c>
      <c r="C274" s="36">
        <f t="shared" si="43"/>
        <v>1665</v>
      </c>
      <c r="D274" s="36">
        <f t="shared" si="43"/>
        <v>0</v>
      </c>
      <c r="E274" s="36"/>
      <c r="F274" s="36"/>
      <c r="G274" s="36">
        <f t="shared" si="58"/>
        <v>0</v>
      </c>
      <c r="H274" s="36"/>
      <c r="I274" s="36"/>
      <c r="J274" s="36">
        <f t="shared" si="59"/>
        <v>0</v>
      </c>
      <c r="K274" s="36">
        <v>1665</v>
      </c>
      <c r="L274" s="36">
        <v>1665</v>
      </c>
      <c r="M274" s="36">
        <f t="shared" si="60"/>
        <v>0</v>
      </c>
      <c r="N274" s="36"/>
      <c r="O274" s="36"/>
      <c r="P274" s="36">
        <f t="shared" si="61"/>
        <v>0</v>
      </c>
      <c r="Q274" s="36"/>
      <c r="R274" s="36"/>
      <c r="S274" s="36">
        <f t="shared" si="62"/>
        <v>0</v>
      </c>
      <c r="T274" s="36"/>
      <c r="U274" s="36"/>
      <c r="V274" s="36">
        <f t="shared" si="63"/>
        <v>0</v>
      </c>
      <c r="W274" s="36"/>
      <c r="X274" s="36"/>
      <c r="Y274" s="36">
        <f t="shared" si="64"/>
        <v>0</v>
      </c>
      <c r="Z274" s="36"/>
      <c r="AA274" s="36"/>
      <c r="AB274" s="36">
        <f t="shared" si="65"/>
        <v>0</v>
      </c>
    </row>
    <row r="275" spans="1:28" s="11" customFormat="1">
      <c r="A275" s="29" t="s">
        <v>116</v>
      </c>
      <c r="B275" s="30">
        <f t="shared" si="43"/>
        <v>14530039</v>
      </c>
      <c r="C275" s="30">
        <f t="shared" si="43"/>
        <v>14915088</v>
      </c>
      <c r="D275" s="30">
        <f t="shared" si="43"/>
        <v>385049</v>
      </c>
      <c r="E275" s="30">
        <f>SUM(E276:E297)</f>
        <v>139775</v>
      </c>
      <c r="F275" s="30">
        <f>SUM(F276:F297)</f>
        <v>139775</v>
      </c>
      <c r="G275" s="30">
        <f t="shared" si="58"/>
        <v>0</v>
      </c>
      <c r="H275" s="30">
        <f>SUM(H276:H297)</f>
        <v>25276</v>
      </c>
      <c r="I275" s="30">
        <f>SUM(I276:I297)</f>
        <v>24275</v>
      </c>
      <c r="J275" s="30">
        <f t="shared" si="59"/>
        <v>-1001</v>
      </c>
      <c r="K275" s="30">
        <f>SUM(K276:K297)</f>
        <v>201326</v>
      </c>
      <c r="L275" s="30">
        <f>SUM(L276:L297)</f>
        <v>293376</v>
      </c>
      <c r="M275" s="30">
        <f t="shared" si="60"/>
        <v>92050</v>
      </c>
      <c r="N275" s="30">
        <f>SUM(N276:N297)</f>
        <v>6216374</v>
      </c>
      <c r="O275" s="30">
        <f>SUM(O276:O297)</f>
        <v>6216374</v>
      </c>
      <c r="P275" s="30">
        <f t="shared" si="61"/>
        <v>0</v>
      </c>
      <c r="Q275" s="30">
        <f>SUM(Q276:Q297)</f>
        <v>0</v>
      </c>
      <c r="R275" s="30">
        <f>SUM(R276:R297)</f>
        <v>0</v>
      </c>
      <c r="S275" s="30">
        <f t="shared" si="62"/>
        <v>0</v>
      </c>
      <c r="T275" s="30">
        <f>SUM(T276:T297)</f>
        <v>4894568</v>
      </c>
      <c r="U275" s="30">
        <f>SUM(U276:U297)</f>
        <v>4894568</v>
      </c>
      <c r="V275" s="30">
        <f t="shared" si="63"/>
        <v>0</v>
      </c>
      <c r="W275" s="30">
        <f>SUM(W276:W297)</f>
        <v>502010</v>
      </c>
      <c r="X275" s="30">
        <f>SUM(X276:X297)</f>
        <v>1212020</v>
      </c>
      <c r="Y275" s="30">
        <f t="shared" si="64"/>
        <v>710010</v>
      </c>
      <c r="Z275" s="30">
        <f>SUM(Z276:Z297)</f>
        <v>2550710</v>
      </c>
      <c r="AA275" s="30">
        <f>SUM(AA276:AA297)</f>
        <v>2134700</v>
      </c>
      <c r="AB275" s="30">
        <f t="shared" si="65"/>
        <v>-416010</v>
      </c>
    </row>
    <row r="276" spans="1:28" s="11" customFormat="1">
      <c r="A276" s="35" t="s">
        <v>255</v>
      </c>
      <c r="B276" s="36">
        <f t="shared" si="43"/>
        <v>4053</v>
      </c>
      <c r="C276" s="36">
        <f t="shared" si="43"/>
        <v>3052</v>
      </c>
      <c r="D276" s="36">
        <f t="shared" si="43"/>
        <v>-1001</v>
      </c>
      <c r="E276" s="36"/>
      <c r="F276" s="36"/>
      <c r="G276" s="36">
        <f t="shared" si="58"/>
        <v>0</v>
      </c>
      <c r="H276" s="36">
        <v>4053</v>
      </c>
      <c r="I276" s="36">
        <f>4053-1001</f>
        <v>3052</v>
      </c>
      <c r="J276" s="36">
        <f t="shared" si="59"/>
        <v>-1001</v>
      </c>
      <c r="K276" s="36">
        <v>0</v>
      </c>
      <c r="L276" s="36">
        <v>0</v>
      </c>
      <c r="M276" s="36">
        <f t="shared" si="60"/>
        <v>0</v>
      </c>
      <c r="N276" s="36"/>
      <c r="O276" s="36"/>
      <c r="P276" s="36">
        <f t="shared" si="61"/>
        <v>0</v>
      </c>
      <c r="Q276" s="36"/>
      <c r="R276" s="36"/>
      <c r="S276" s="36">
        <f t="shared" si="62"/>
        <v>0</v>
      </c>
      <c r="T276" s="36"/>
      <c r="U276" s="36"/>
      <c r="V276" s="36">
        <f t="shared" si="63"/>
        <v>0</v>
      </c>
      <c r="W276" s="36">
        <v>0</v>
      </c>
      <c r="X276" s="36">
        <v>0</v>
      </c>
      <c r="Y276" s="36">
        <f t="shared" si="64"/>
        <v>0</v>
      </c>
      <c r="Z276" s="36"/>
      <c r="AA276" s="36"/>
      <c r="AB276" s="36">
        <f t="shared" si="65"/>
        <v>0</v>
      </c>
    </row>
    <row r="277" spans="1:28" s="11" customFormat="1" ht="31.5">
      <c r="A277" s="35" t="s">
        <v>256</v>
      </c>
      <c r="B277" s="36">
        <f t="shared" si="43"/>
        <v>4086</v>
      </c>
      <c r="C277" s="36">
        <f t="shared" si="43"/>
        <v>4086</v>
      </c>
      <c r="D277" s="36">
        <f t="shared" si="43"/>
        <v>0</v>
      </c>
      <c r="E277" s="36"/>
      <c r="F277" s="36"/>
      <c r="G277" s="36">
        <f t="shared" si="58"/>
        <v>0</v>
      </c>
      <c r="H277" s="36"/>
      <c r="I277" s="36"/>
      <c r="J277" s="36">
        <f t="shared" si="59"/>
        <v>0</v>
      </c>
      <c r="K277" s="36">
        <v>4086</v>
      </c>
      <c r="L277" s="36">
        <v>4086</v>
      </c>
      <c r="M277" s="36">
        <f t="shared" si="60"/>
        <v>0</v>
      </c>
      <c r="N277" s="36"/>
      <c r="O277" s="36"/>
      <c r="P277" s="36">
        <f t="shared" si="61"/>
        <v>0</v>
      </c>
      <c r="Q277" s="36"/>
      <c r="R277" s="36"/>
      <c r="S277" s="36">
        <f t="shared" si="62"/>
        <v>0</v>
      </c>
      <c r="T277" s="36"/>
      <c r="U277" s="36"/>
      <c r="V277" s="36">
        <f t="shared" si="63"/>
        <v>0</v>
      </c>
      <c r="W277" s="36">
        <v>0</v>
      </c>
      <c r="X277" s="36">
        <v>0</v>
      </c>
      <c r="Y277" s="36">
        <f t="shared" si="64"/>
        <v>0</v>
      </c>
      <c r="Z277" s="36"/>
      <c r="AA277" s="36"/>
      <c r="AB277" s="36">
        <f t="shared" si="65"/>
        <v>0</v>
      </c>
    </row>
    <row r="278" spans="1:28" s="11" customFormat="1" ht="31.5">
      <c r="A278" s="35" t="s">
        <v>257</v>
      </c>
      <c r="B278" s="36">
        <f t="shared" si="43"/>
        <v>12150</v>
      </c>
      <c r="C278" s="36">
        <f t="shared" si="43"/>
        <v>12150</v>
      </c>
      <c r="D278" s="36">
        <f t="shared" si="43"/>
        <v>0</v>
      </c>
      <c r="E278" s="36"/>
      <c r="F278" s="36"/>
      <c r="G278" s="36">
        <f t="shared" si="58"/>
        <v>0</v>
      </c>
      <c r="H278" s="36"/>
      <c r="I278" s="36"/>
      <c r="J278" s="36">
        <f t="shared" si="59"/>
        <v>0</v>
      </c>
      <c r="K278" s="36">
        <v>12150</v>
      </c>
      <c r="L278" s="36">
        <v>12150</v>
      </c>
      <c r="M278" s="36">
        <f t="shared" si="60"/>
        <v>0</v>
      </c>
      <c r="N278" s="36"/>
      <c r="O278" s="36"/>
      <c r="P278" s="36">
        <f t="shared" si="61"/>
        <v>0</v>
      </c>
      <c r="Q278" s="36"/>
      <c r="R278" s="36"/>
      <c r="S278" s="36">
        <f t="shared" si="62"/>
        <v>0</v>
      </c>
      <c r="T278" s="36"/>
      <c r="U278" s="36"/>
      <c r="V278" s="36">
        <f t="shared" si="63"/>
        <v>0</v>
      </c>
      <c r="W278" s="36">
        <v>0</v>
      </c>
      <c r="X278" s="36">
        <v>0</v>
      </c>
      <c r="Y278" s="36">
        <f t="shared" si="64"/>
        <v>0</v>
      </c>
      <c r="Z278" s="36"/>
      <c r="AA278" s="36"/>
      <c r="AB278" s="36">
        <f t="shared" si="65"/>
        <v>0</v>
      </c>
    </row>
    <row r="279" spans="1:28" s="11" customFormat="1" ht="31.5">
      <c r="A279" s="35" t="s">
        <v>258</v>
      </c>
      <c r="B279" s="36">
        <f t="shared" si="43"/>
        <v>37768</v>
      </c>
      <c r="C279" s="36">
        <f t="shared" si="43"/>
        <v>37765</v>
      </c>
      <c r="D279" s="36">
        <f t="shared" si="43"/>
        <v>-3</v>
      </c>
      <c r="E279" s="36"/>
      <c r="F279" s="36"/>
      <c r="G279" s="36">
        <f t="shared" si="58"/>
        <v>0</v>
      </c>
      <c r="H279" s="36"/>
      <c r="I279" s="36"/>
      <c r="J279" s="36">
        <f t="shared" si="59"/>
        <v>0</v>
      </c>
      <c r="K279" s="36">
        <v>37768</v>
      </c>
      <c r="L279" s="36">
        <f>37768-3</f>
        <v>37765</v>
      </c>
      <c r="M279" s="36">
        <f t="shared" si="60"/>
        <v>-3</v>
      </c>
      <c r="N279" s="36"/>
      <c r="O279" s="36"/>
      <c r="P279" s="36">
        <f t="shared" si="61"/>
        <v>0</v>
      </c>
      <c r="Q279" s="36"/>
      <c r="R279" s="36"/>
      <c r="S279" s="36">
        <f t="shared" si="62"/>
        <v>0</v>
      </c>
      <c r="T279" s="36"/>
      <c r="U279" s="36"/>
      <c r="V279" s="36">
        <f t="shared" si="63"/>
        <v>0</v>
      </c>
      <c r="W279" s="36">
        <v>0</v>
      </c>
      <c r="X279" s="36">
        <v>0</v>
      </c>
      <c r="Y279" s="36">
        <f t="shared" si="64"/>
        <v>0</v>
      </c>
      <c r="Z279" s="36"/>
      <c r="AA279" s="36"/>
      <c r="AB279" s="36">
        <f t="shared" si="65"/>
        <v>0</v>
      </c>
    </row>
    <row r="280" spans="1:28" s="11" customFormat="1" ht="31.5">
      <c r="A280" s="35" t="s">
        <v>259</v>
      </c>
      <c r="B280" s="36">
        <f t="shared" si="43"/>
        <v>25000</v>
      </c>
      <c r="C280" s="36">
        <f t="shared" si="43"/>
        <v>25000</v>
      </c>
      <c r="D280" s="36">
        <f t="shared" si="43"/>
        <v>0</v>
      </c>
      <c r="E280" s="36"/>
      <c r="F280" s="36"/>
      <c r="G280" s="36">
        <f t="shared" si="58"/>
        <v>0</v>
      </c>
      <c r="H280" s="36"/>
      <c r="I280" s="36"/>
      <c r="J280" s="36">
        <f t="shared" si="59"/>
        <v>0</v>
      </c>
      <c r="K280" s="36">
        <v>25000</v>
      </c>
      <c r="L280" s="36">
        <v>25000</v>
      </c>
      <c r="M280" s="36">
        <f t="shared" si="60"/>
        <v>0</v>
      </c>
      <c r="N280" s="36"/>
      <c r="O280" s="36"/>
      <c r="P280" s="36">
        <f t="shared" si="61"/>
        <v>0</v>
      </c>
      <c r="Q280" s="36"/>
      <c r="R280" s="36"/>
      <c r="S280" s="36">
        <f t="shared" si="62"/>
        <v>0</v>
      </c>
      <c r="T280" s="36"/>
      <c r="U280" s="36"/>
      <c r="V280" s="36">
        <f t="shared" si="63"/>
        <v>0</v>
      </c>
      <c r="W280" s="36">
        <v>0</v>
      </c>
      <c r="X280" s="36">
        <v>0</v>
      </c>
      <c r="Y280" s="36">
        <f t="shared" si="64"/>
        <v>0</v>
      </c>
      <c r="Z280" s="36"/>
      <c r="AA280" s="36"/>
      <c r="AB280" s="36">
        <f t="shared" si="65"/>
        <v>0</v>
      </c>
    </row>
    <row r="281" spans="1:28" s="11" customFormat="1">
      <c r="A281" s="37" t="s">
        <v>260</v>
      </c>
      <c r="B281" s="36">
        <f t="shared" si="43"/>
        <v>46876</v>
      </c>
      <c r="C281" s="36">
        <f t="shared" si="43"/>
        <v>46876</v>
      </c>
      <c r="D281" s="36">
        <f t="shared" si="43"/>
        <v>0</v>
      </c>
      <c r="E281" s="36">
        <f>130942-130942</f>
        <v>0</v>
      </c>
      <c r="F281" s="36">
        <f>130942-130942</f>
        <v>0</v>
      </c>
      <c r="G281" s="36">
        <f t="shared" si="58"/>
        <v>0</v>
      </c>
      <c r="H281" s="36"/>
      <c r="I281" s="36"/>
      <c r="J281" s="36">
        <f t="shared" si="59"/>
        <v>0</v>
      </c>
      <c r="K281" s="36">
        <v>0</v>
      </c>
      <c r="L281" s="36">
        <v>0</v>
      </c>
      <c r="M281" s="36">
        <f t="shared" si="60"/>
        <v>0</v>
      </c>
      <c r="N281" s="36"/>
      <c r="O281" s="36"/>
      <c r="P281" s="36">
        <f t="shared" si="61"/>
        <v>0</v>
      </c>
      <c r="Q281" s="36"/>
      <c r="R281" s="36"/>
      <c r="S281" s="36">
        <f t="shared" si="62"/>
        <v>0</v>
      </c>
      <c r="T281" s="36">
        <f>4196+34328+8352</f>
        <v>46876</v>
      </c>
      <c r="U281" s="36">
        <f>4196+34328+8352</f>
        <v>46876</v>
      </c>
      <c r="V281" s="36">
        <f t="shared" si="63"/>
        <v>0</v>
      </c>
      <c r="W281" s="36"/>
      <c r="X281" s="36"/>
      <c r="Y281" s="36">
        <f t="shared" si="64"/>
        <v>0</v>
      </c>
      <c r="Z281" s="36"/>
      <c r="AA281" s="36"/>
      <c r="AB281" s="36">
        <f t="shared" si="65"/>
        <v>0</v>
      </c>
    </row>
    <row r="282" spans="1:28" s="11" customFormat="1" ht="94.5">
      <c r="A282" s="32" t="s">
        <v>261</v>
      </c>
      <c r="B282" s="36">
        <f t="shared" si="43"/>
        <v>2452720</v>
      </c>
      <c r="C282" s="36">
        <f t="shared" si="43"/>
        <v>2452720</v>
      </c>
      <c r="D282" s="36">
        <f t="shared" si="43"/>
        <v>0</v>
      </c>
      <c r="E282" s="36">
        <v>0</v>
      </c>
      <c r="F282" s="36">
        <v>0</v>
      </c>
      <c r="G282" s="36">
        <f t="shared" si="58"/>
        <v>0</v>
      </c>
      <c r="H282" s="36"/>
      <c r="I282" s="36"/>
      <c r="J282" s="36">
        <f t="shared" si="59"/>
        <v>0</v>
      </c>
      <c r="K282" s="36"/>
      <c r="L282" s="36"/>
      <c r="M282" s="36">
        <f t="shared" si="60"/>
        <v>0</v>
      </c>
      <c r="N282" s="36"/>
      <c r="O282" s="36"/>
      <c r="P282" s="36">
        <f t="shared" si="61"/>
        <v>0</v>
      </c>
      <c r="Q282" s="36"/>
      <c r="R282" s="36"/>
      <c r="S282" s="36">
        <f t="shared" si="62"/>
        <v>0</v>
      </c>
      <c r="T282" s="36">
        <f t="shared" ref="T282:U285" si="66">2534-2534</f>
        <v>0</v>
      </c>
      <c r="U282" s="36">
        <f t="shared" si="66"/>
        <v>0</v>
      </c>
      <c r="V282" s="36">
        <f t="shared" si="63"/>
        <v>0</v>
      </c>
      <c r="W282" s="36">
        <v>502010</v>
      </c>
      <c r="X282" s="36">
        <f>502010+502010</f>
        <v>1004020</v>
      </c>
      <c r="Y282" s="36">
        <f t="shared" si="64"/>
        <v>502010</v>
      </c>
      <c r="Z282" s="36">
        <v>1950710</v>
      </c>
      <c r="AA282" s="36">
        <f>1950710-502010</f>
        <v>1448700</v>
      </c>
      <c r="AB282" s="36">
        <f t="shared" si="65"/>
        <v>-502010</v>
      </c>
    </row>
    <row r="283" spans="1:28" s="11" customFormat="1" ht="94.5">
      <c r="A283" s="32" t="s">
        <v>262</v>
      </c>
      <c r="B283" s="36">
        <f t="shared" si="43"/>
        <v>0</v>
      </c>
      <c r="C283" s="36">
        <f t="shared" si="43"/>
        <v>96000</v>
      </c>
      <c r="D283" s="36">
        <f t="shared" si="43"/>
        <v>96000</v>
      </c>
      <c r="E283" s="36">
        <v>0</v>
      </c>
      <c r="F283" s="36">
        <v>0</v>
      </c>
      <c r="G283" s="36">
        <f t="shared" si="58"/>
        <v>0</v>
      </c>
      <c r="H283" s="36"/>
      <c r="I283" s="36"/>
      <c r="J283" s="36">
        <f t="shared" si="59"/>
        <v>0</v>
      </c>
      <c r="K283" s="36"/>
      <c r="L283" s="36"/>
      <c r="M283" s="36">
        <f t="shared" si="60"/>
        <v>0</v>
      </c>
      <c r="N283" s="36"/>
      <c r="O283" s="36"/>
      <c r="P283" s="36">
        <f t="shared" si="61"/>
        <v>0</v>
      </c>
      <c r="Q283" s="36"/>
      <c r="R283" s="36"/>
      <c r="S283" s="36">
        <f t="shared" si="62"/>
        <v>0</v>
      </c>
      <c r="T283" s="36">
        <f t="shared" si="66"/>
        <v>0</v>
      </c>
      <c r="U283" s="36">
        <f t="shared" si="66"/>
        <v>0</v>
      </c>
      <c r="V283" s="36">
        <f t="shared" si="63"/>
        <v>0</v>
      </c>
      <c r="W283" s="36"/>
      <c r="X283" s="36">
        <v>68000</v>
      </c>
      <c r="Y283" s="36">
        <f t="shared" si="64"/>
        <v>68000</v>
      </c>
      <c r="Z283" s="36"/>
      <c r="AA283" s="36">
        <v>28000</v>
      </c>
      <c r="AB283" s="36">
        <f t="shared" si="65"/>
        <v>28000</v>
      </c>
    </row>
    <row r="284" spans="1:28" s="11" customFormat="1" ht="63">
      <c r="A284" s="32" t="s">
        <v>263</v>
      </c>
      <c r="B284" s="36">
        <f t="shared" si="43"/>
        <v>0</v>
      </c>
      <c r="C284" s="36">
        <f t="shared" si="43"/>
        <v>96000</v>
      </c>
      <c r="D284" s="36">
        <f t="shared" si="43"/>
        <v>96000</v>
      </c>
      <c r="E284" s="36">
        <v>0</v>
      </c>
      <c r="F284" s="36">
        <v>0</v>
      </c>
      <c r="G284" s="36">
        <f t="shared" si="58"/>
        <v>0</v>
      </c>
      <c r="H284" s="36"/>
      <c r="I284" s="36"/>
      <c r="J284" s="36">
        <f t="shared" si="59"/>
        <v>0</v>
      </c>
      <c r="K284" s="36"/>
      <c r="L284" s="36"/>
      <c r="M284" s="36">
        <f t="shared" si="60"/>
        <v>0</v>
      </c>
      <c r="N284" s="36"/>
      <c r="O284" s="36"/>
      <c r="P284" s="36">
        <f t="shared" si="61"/>
        <v>0</v>
      </c>
      <c r="Q284" s="36"/>
      <c r="R284" s="36"/>
      <c r="S284" s="36">
        <f t="shared" si="62"/>
        <v>0</v>
      </c>
      <c r="T284" s="36">
        <f t="shared" si="66"/>
        <v>0</v>
      </c>
      <c r="U284" s="36">
        <f t="shared" si="66"/>
        <v>0</v>
      </c>
      <c r="V284" s="36">
        <f t="shared" si="63"/>
        <v>0</v>
      </c>
      <c r="W284" s="36"/>
      <c r="X284" s="36">
        <v>68000</v>
      </c>
      <c r="Y284" s="36">
        <f t="shared" si="64"/>
        <v>68000</v>
      </c>
      <c r="Z284" s="36"/>
      <c r="AA284" s="36">
        <v>28000</v>
      </c>
      <c r="AB284" s="36">
        <f t="shared" si="65"/>
        <v>28000</v>
      </c>
    </row>
    <row r="285" spans="1:28" s="11" customFormat="1" ht="63">
      <c r="A285" s="32" t="s">
        <v>264</v>
      </c>
      <c r="B285" s="36">
        <f t="shared" si="43"/>
        <v>0</v>
      </c>
      <c r="C285" s="36">
        <f t="shared" si="43"/>
        <v>102000</v>
      </c>
      <c r="D285" s="36">
        <f t="shared" si="43"/>
        <v>102000</v>
      </c>
      <c r="E285" s="36">
        <v>0</v>
      </c>
      <c r="F285" s="36">
        <v>0</v>
      </c>
      <c r="G285" s="36">
        <f t="shared" si="58"/>
        <v>0</v>
      </c>
      <c r="H285" s="36"/>
      <c r="I285" s="36"/>
      <c r="J285" s="36">
        <f t="shared" si="59"/>
        <v>0</v>
      </c>
      <c r="K285" s="36"/>
      <c r="L285" s="36"/>
      <c r="M285" s="36">
        <f t="shared" si="60"/>
        <v>0</v>
      </c>
      <c r="N285" s="36"/>
      <c r="O285" s="36"/>
      <c r="P285" s="36">
        <f t="shared" si="61"/>
        <v>0</v>
      </c>
      <c r="Q285" s="36"/>
      <c r="R285" s="36"/>
      <c r="S285" s="36">
        <f t="shared" si="62"/>
        <v>0</v>
      </c>
      <c r="T285" s="36">
        <f t="shared" si="66"/>
        <v>0</v>
      </c>
      <c r="U285" s="36">
        <f t="shared" si="66"/>
        <v>0</v>
      </c>
      <c r="V285" s="36">
        <f t="shared" si="63"/>
        <v>0</v>
      </c>
      <c r="W285" s="36"/>
      <c r="X285" s="36">
        <v>72000</v>
      </c>
      <c r="Y285" s="36">
        <f t="shared" si="64"/>
        <v>72000</v>
      </c>
      <c r="Z285" s="36"/>
      <c r="AA285" s="36">
        <v>30000</v>
      </c>
      <c r="AB285" s="36">
        <f t="shared" si="65"/>
        <v>30000</v>
      </c>
    </row>
    <row r="286" spans="1:28" s="11" customFormat="1" ht="94.5">
      <c r="A286" s="35" t="s">
        <v>265</v>
      </c>
      <c r="B286" s="36">
        <f t="shared" si="43"/>
        <v>1850000</v>
      </c>
      <c r="C286" s="36">
        <f t="shared" si="43"/>
        <v>1850000</v>
      </c>
      <c r="D286" s="36">
        <f t="shared" si="43"/>
        <v>0</v>
      </c>
      <c r="E286" s="36"/>
      <c r="F286" s="36"/>
      <c r="G286" s="36">
        <f t="shared" si="58"/>
        <v>0</v>
      </c>
      <c r="H286" s="36"/>
      <c r="I286" s="36"/>
      <c r="J286" s="36">
        <f t="shared" si="59"/>
        <v>0</v>
      </c>
      <c r="K286" s="36">
        <v>0</v>
      </c>
      <c r="L286" s="36">
        <v>0</v>
      </c>
      <c r="M286" s="36">
        <f t="shared" si="60"/>
        <v>0</v>
      </c>
      <c r="N286" s="36"/>
      <c r="O286" s="36"/>
      <c r="P286" s="36">
        <f t="shared" si="61"/>
        <v>0</v>
      </c>
      <c r="Q286" s="36"/>
      <c r="R286" s="36"/>
      <c r="S286" s="36">
        <f t="shared" si="62"/>
        <v>0</v>
      </c>
      <c r="T286" s="36">
        <f>1290000</f>
        <v>1290000</v>
      </c>
      <c r="U286" s="36">
        <f>1290000</f>
        <v>1290000</v>
      </c>
      <c r="V286" s="36">
        <f t="shared" si="63"/>
        <v>0</v>
      </c>
      <c r="W286" s="36">
        <f>1290000-1290000</f>
        <v>0</v>
      </c>
      <c r="X286" s="36">
        <f>1290000-1290000</f>
        <v>0</v>
      </c>
      <c r="Y286" s="36">
        <f t="shared" si="64"/>
        <v>0</v>
      </c>
      <c r="Z286" s="36">
        <v>560000</v>
      </c>
      <c r="AA286" s="36">
        <v>560000</v>
      </c>
      <c r="AB286" s="36">
        <f t="shared" si="65"/>
        <v>0</v>
      </c>
    </row>
    <row r="287" spans="1:28" s="11" customFormat="1" ht="110.25">
      <c r="A287" s="32" t="s">
        <v>266</v>
      </c>
      <c r="B287" s="36">
        <f t="shared" si="43"/>
        <v>33634</v>
      </c>
      <c r="C287" s="36">
        <f t="shared" si="43"/>
        <v>33634</v>
      </c>
      <c r="D287" s="36">
        <f t="shared" si="43"/>
        <v>0</v>
      </c>
      <c r="E287" s="36"/>
      <c r="F287" s="36"/>
      <c r="G287" s="36">
        <f t="shared" si="58"/>
        <v>0</v>
      </c>
      <c r="H287" s="36"/>
      <c r="I287" s="36"/>
      <c r="J287" s="36">
        <f t="shared" si="59"/>
        <v>0</v>
      </c>
      <c r="K287" s="36">
        <v>0</v>
      </c>
      <c r="L287" s="36">
        <v>0</v>
      </c>
      <c r="M287" s="36">
        <f t="shared" si="60"/>
        <v>0</v>
      </c>
      <c r="N287" s="36"/>
      <c r="O287" s="36"/>
      <c r="P287" s="36">
        <f t="shared" si="61"/>
        <v>0</v>
      </c>
      <c r="Q287" s="36"/>
      <c r="R287" s="36"/>
      <c r="S287" s="36">
        <f t="shared" si="62"/>
        <v>0</v>
      </c>
      <c r="T287" s="36">
        <v>33634</v>
      </c>
      <c r="U287" s="36">
        <v>33634</v>
      </c>
      <c r="V287" s="36">
        <f t="shared" si="63"/>
        <v>0</v>
      </c>
      <c r="W287" s="36">
        <v>0</v>
      </c>
      <c r="X287" s="36">
        <v>0</v>
      </c>
      <c r="Y287" s="36">
        <f t="shared" si="64"/>
        <v>0</v>
      </c>
      <c r="Z287" s="36"/>
      <c r="AA287" s="36"/>
      <c r="AB287" s="36">
        <f t="shared" si="65"/>
        <v>0</v>
      </c>
    </row>
    <row r="288" spans="1:28" s="11" customFormat="1" ht="47.25">
      <c r="A288" s="32" t="s">
        <v>267</v>
      </c>
      <c r="B288" s="36">
        <f t="shared" si="43"/>
        <v>18646</v>
      </c>
      <c r="C288" s="36">
        <f t="shared" si="43"/>
        <v>18646</v>
      </c>
      <c r="D288" s="36">
        <f t="shared" si="43"/>
        <v>0</v>
      </c>
      <c r="E288" s="36">
        <f>15000-15000</f>
        <v>0</v>
      </c>
      <c r="F288" s="36">
        <f>15000-15000</f>
        <v>0</v>
      </c>
      <c r="G288" s="36">
        <f t="shared" si="58"/>
        <v>0</v>
      </c>
      <c r="H288" s="36"/>
      <c r="I288" s="36"/>
      <c r="J288" s="36">
        <f t="shared" si="59"/>
        <v>0</v>
      </c>
      <c r="K288" s="36">
        <v>0</v>
      </c>
      <c r="L288" s="36">
        <v>0</v>
      </c>
      <c r="M288" s="36">
        <f t="shared" si="60"/>
        <v>0</v>
      </c>
      <c r="N288" s="36"/>
      <c r="O288" s="36"/>
      <c r="P288" s="36">
        <f t="shared" si="61"/>
        <v>0</v>
      </c>
      <c r="Q288" s="36"/>
      <c r="R288" s="36"/>
      <c r="S288" s="36">
        <f t="shared" si="62"/>
        <v>0</v>
      </c>
      <c r="T288" s="36">
        <f>3646+15000</f>
        <v>18646</v>
      </c>
      <c r="U288" s="36">
        <f>3646+15000</f>
        <v>18646</v>
      </c>
      <c r="V288" s="36">
        <f t="shared" si="63"/>
        <v>0</v>
      </c>
      <c r="W288" s="36">
        <v>0</v>
      </c>
      <c r="X288" s="36">
        <v>0</v>
      </c>
      <c r="Y288" s="36">
        <f t="shared" si="64"/>
        <v>0</v>
      </c>
      <c r="Z288" s="36"/>
      <c r="AA288" s="36"/>
      <c r="AB288" s="36">
        <f t="shared" si="65"/>
        <v>0</v>
      </c>
    </row>
    <row r="289" spans="1:187" s="11" customFormat="1" ht="110.25">
      <c r="A289" s="32" t="s">
        <v>268</v>
      </c>
      <c r="B289" s="36">
        <f t="shared" si="43"/>
        <v>3412885</v>
      </c>
      <c r="C289" s="36">
        <f t="shared" si="43"/>
        <v>3504938</v>
      </c>
      <c r="D289" s="36">
        <f t="shared" si="43"/>
        <v>92053</v>
      </c>
      <c r="E289" s="36"/>
      <c r="F289" s="36"/>
      <c r="G289" s="36">
        <f t="shared" si="58"/>
        <v>0</v>
      </c>
      <c r="H289" s="36"/>
      <c r="I289" s="36"/>
      <c r="J289" s="36">
        <f t="shared" si="59"/>
        <v>0</v>
      </c>
      <c r="K289" s="36">
        <v>0</v>
      </c>
      <c r="L289" s="36">
        <v>92053</v>
      </c>
      <c r="M289" s="36">
        <f t="shared" si="60"/>
        <v>92053</v>
      </c>
      <c r="N289" s="36"/>
      <c r="O289" s="36"/>
      <c r="P289" s="36">
        <f t="shared" si="61"/>
        <v>0</v>
      </c>
      <c r="Q289" s="36"/>
      <c r="R289" s="36"/>
      <c r="S289" s="36">
        <f t="shared" si="62"/>
        <v>0</v>
      </c>
      <c r="T289" s="36">
        <v>3412885</v>
      </c>
      <c r="U289" s="36">
        <v>3412885</v>
      </c>
      <c r="V289" s="36">
        <f t="shared" si="63"/>
        <v>0</v>
      </c>
      <c r="W289" s="36">
        <v>0</v>
      </c>
      <c r="X289" s="36">
        <v>0</v>
      </c>
      <c r="Y289" s="36">
        <f t="shared" si="64"/>
        <v>0</v>
      </c>
      <c r="Z289" s="36"/>
      <c r="AA289" s="36"/>
      <c r="AB289" s="36">
        <f t="shared" si="65"/>
        <v>0</v>
      </c>
    </row>
    <row r="290" spans="1:187" s="11" customFormat="1" ht="110.25">
      <c r="A290" s="32" t="s">
        <v>269</v>
      </c>
      <c r="B290" s="36">
        <f t="shared" si="43"/>
        <v>100017</v>
      </c>
      <c r="C290" s="36">
        <f t="shared" si="43"/>
        <v>100017</v>
      </c>
      <c r="D290" s="36">
        <f t="shared" si="43"/>
        <v>0</v>
      </c>
      <c r="E290" s="36"/>
      <c r="F290" s="36"/>
      <c r="G290" s="36">
        <f t="shared" si="58"/>
        <v>0</v>
      </c>
      <c r="H290" s="36">
        <f>21223</f>
        <v>21223</v>
      </c>
      <c r="I290" s="36">
        <f>21223</f>
        <v>21223</v>
      </c>
      <c r="J290" s="36">
        <f t="shared" si="59"/>
        <v>0</v>
      </c>
      <c r="K290" s="36">
        <f>60017-21223</f>
        <v>38794</v>
      </c>
      <c r="L290" s="36">
        <f>60017-21223</f>
        <v>38794</v>
      </c>
      <c r="M290" s="36">
        <f t="shared" si="60"/>
        <v>0</v>
      </c>
      <c r="N290" s="36"/>
      <c r="O290" s="36"/>
      <c r="P290" s="36">
        <f t="shared" si="61"/>
        <v>0</v>
      </c>
      <c r="Q290" s="36"/>
      <c r="R290" s="36"/>
      <c r="S290" s="36">
        <f t="shared" si="62"/>
        <v>0</v>
      </c>
      <c r="T290" s="36">
        <v>0</v>
      </c>
      <c r="U290" s="36">
        <v>0</v>
      </c>
      <c r="V290" s="36">
        <f t="shared" si="63"/>
        <v>0</v>
      </c>
      <c r="W290" s="36">
        <v>0</v>
      </c>
      <c r="X290" s="36">
        <v>0</v>
      </c>
      <c r="Y290" s="36">
        <f t="shared" si="64"/>
        <v>0</v>
      </c>
      <c r="Z290" s="36">
        <v>40000</v>
      </c>
      <c r="AA290" s="36">
        <v>40000</v>
      </c>
      <c r="AB290" s="36">
        <f t="shared" si="65"/>
        <v>0</v>
      </c>
    </row>
    <row r="291" spans="1:187" s="11" customFormat="1" ht="31.5">
      <c r="A291" s="32" t="s">
        <v>270</v>
      </c>
      <c r="B291" s="36">
        <f t="shared" ref="B291:D368" si="67">E291+H291+K291+N291+Q291+T291+W291+Z291</f>
        <v>6839</v>
      </c>
      <c r="C291" s="36">
        <f t="shared" si="67"/>
        <v>6839</v>
      </c>
      <c r="D291" s="36">
        <f t="shared" si="67"/>
        <v>0</v>
      </c>
      <c r="E291" s="36"/>
      <c r="F291" s="36"/>
      <c r="G291" s="36">
        <f t="shared" si="58"/>
        <v>0</v>
      </c>
      <c r="H291" s="36">
        <v>0</v>
      </c>
      <c r="I291" s="36">
        <v>0</v>
      </c>
      <c r="J291" s="36">
        <f t="shared" si="59"/>
        <v>0</v>
      </c>
      <c r="K291" s="36">
        <v>6839</v>
      </c>
      <c r="L291" s="36">
        <v>6839</v>
      </c>
      <c r="M291" s="36">
        <f t="shared" si="60"/>
        <v>0</v>
      </c>
      <c r="N291" s="36"/>
      <c r="O291" s="36"/>
      <c r="P291" s="36">
        <f t="shared" si="61"/>
        <v>0</v>
      </c>
      <c r="Q291" s="36"/>
      <c r="R291" s="36"/>
      <c r="S291" s="36">
        <f t="shared" si="62"/>
        <v>0</v>
      </c>
      <c r="T291" s="36">
        <v>0</v>
      </c>
      <c r="U291" s="36">
        <v>0</v>
      </c>
      <c r="V291" s="36">
        <f t="shared" si="63"/>
        <v>0</v>
      </c>
      <c r="W291" s="36">
        <v>0</v>
      </c>
      <c r="X291" s="36">
        <v>0</v>
      </c>
      <c r="Y291" s="36">
        <f t="shared" si="64"/>
        <v>0</v>
      </c>
      <c r="Z291" s="36"/>
      <c r="AA291" s="36"/>
      <c r="AB291" s="36">
        <f t="shared" si="65"/>
        <v>0</v>
      </c>
    </row>
    <row r="292" spans="1:187" s="11" customFormat="1" ht="31.5">
      <c r="A292" s="32" t="s">
        <v>271</v>
      </c>
      <c r="B292" s="36">
        <f t="shared" si="67"/>
        <v>142441</v>
      </c>
      <c r="C292" s="36">
        <f t="shared" si="67"/>
        <v>142441</v>
      </c>
      <c r="D292" s="36">
        <f t="shared" si="67"/>
        <v>0</v>
      </c>
      <c r="E292" s="36">
        <v>49914</v>
      </c>
      <c r="F292" s="36">
        <v>49914</v>
      </c>
      <c r="G292" s="36">
        <f t="shared" si="58"/>
        <v>0</v>
      </c>
      <c r="H292" s="36"/>
      <c r="I292" s="36"/>
      <c r="J292" s="36">
        <f t="shared" si="59"/>
        <v>0</v>
      </c>
      <c r="K292" s="36">
        <v>0</v>
      </c>
      <c r="L292" s="36">
        <v>0</v>
      </c>
      <c r="M292" s="36">
        <f t="shared" si="60"/>
        <v>0</v>
      </c>
      <c r="N292" s="36"/>
      <c r="O292" s="36"/>
      <c r="P292" s="36">
        <f t="shared" si="61"/>
        <v>0</v>
      </c>
      <c r="Q292" s="36"/>
      <c r="R292" s="36"/>
      <c r="S292" s="36">
        <f t="shared" si="62"/>
        <v>0</v>
      </c>
      <c r="T292" s="36">
        <f>72177+20350</f>
        <v>92527</v>
      </c>
      <c r="U292" s="36">
        <f>72177+20350</f>
        <v>92527</v>
      </c>
      <c r="V292" s="36">
        <f t="shared" si="63"/>
        <v>0</v>
      </c>
      <c r="W292" s="36">
        <v>0</v>
      </c>
      <c r="X292" s="36">
        <v>0</v>
      </c>
      <c r="Y292" s="36">
        <f t="shared" si="64"/>
        <v>0</v>
      </c>
      <c r="Z292" s="36"/>
      <c r="AA292" s="36"/>
      <c r="AB292" s="36">
        <f t="shared" si="65"/>
        <v>0</v>
      </c>
    </row>
    <row r="293" spans="1:187" s="11" customFormat="1" ht="94.5">
      <c r="A293" s="32" t="s">
        <v>272</v>
      </c>
      <c r="B293" s="36">
        <f t="shared" si="67"/>
        <v>6216374</v>
      </c>
      <c r="C293" s="36">
        <f t="shared" si="67"/>
        <v>6216374</v>
      </c>
      <c r="D293" s="36">
        <f t="shared" si="67"/>
        <v>0</v>
      </c>
      <c r="E293" s="36"/>
      <c r="F293" s="36"/>
      <c r="G293" s="36">
        <f t="shared" si="58"/>
        <v>0</v>
      </c>
      <c r="H293" s="36">
        <v>0</v>
      </c>
      <c r="I293" s="36">
        <v>0</v>
      </c>
      <c r="J293" s="36">
        <f t="shared" si="59"/>
        <v>0</v>
      </c>
      <c r="K293" s="36">
        <v>0</v>
      </c>
      <c r="L293" s="36">
        <v>0</v>
      </c>
      <c r="M293" s="36">
        <f t="shared" si="60"/>
        <v>0</v>
      </c>
      <c r="N293" s="36">
        <v>6216374</v>
      </c>
      <c r="O293" s="36">
        <v>6216374</v>
      </c>
      <c r="P293" s="36">
        <f t="shared" si="61"/>
        <v>0</v>
      </c>
      <c r="Q293" s="36"/>
      <c r="R293" s="36"/>
      <c r="S293" s="36">
        <f t="shared" si="62"/>
        <v>0</v>
      </c>
      <c r="T293" s="36">
        <v>0</v>
      </c>
      <c r="U293" s="36">
        <v>0</v>
      </c>
      <c r="V293" s="36">
        <f t="shared" si="63"/>
        <v>0</v>
      </c>
      <c r="W293" s="36">
        <v>0</v>
      </c>
      <c r="X293" s="36">
        <v>0</v>
      </c>
      <c r="Y293" s="36">
        <f t="shared" si="64"/>
        <v>0</v>
      </c>
      <c r="Z293" s="36"/>
      <c r="AA293" s="36"/>
      <c r="AB293" s="36">
        <f t="shared" si="65"/>
        <v>0</v>
      </c>
    </row>
    <row r="294" spans="1:187" s="11" customFormat="1" ht="63">
      <c r="A294" s="35" t="s">
        <v>273</v>
      </c>
      <c r="B294" s="36">
        <f t="shared" si="67"/>
        <v>42365</v>
      </c>
      <c r="C294" s="36">
        <f t="shared" si="67"/>
        <v>42365</v>
      </c>
      <c r="D294" s="36">
        <f t="shared" si="67"/>
        <v>0</v>
      </c>
      <c r="E294" s="36">
        <f>55085-12720</f>
        <v>42365</v>
      </c>
      <c r="F294" s="36">
        <f>55085-12720</f>
        <v>42365</v>
      </c>
      <c r="G294" s="36">
        <f t="shared" si="58"/>
        <v>0</v>
      </c>
      <c r="H294" s="36"/>
      <c r="I294" s="36"/>
      <c r="J294" s="36">
        <f t="shared" si="59"/>
        <v>0</v>
      </c>
      <c r="K294" s="36"/>
      <c r="L294" s="36"/>
      <c r="M294" s="36">
        <f t="shared" si="60"/>
        <v>0</v>
      </c>
      <c r="N294" s="36"/>
      <c r="O294" s="36"/>
      <c r="P294" s="36">
        <f t="shared" si="61"/>
        <v>0</v>
      </c>
      <c r="Q294" s="36"/>
      <c r="R294" s="36"/>
      <c r="S294" s="36">
        <f t="shared" si="62"/>
        <v>0</v>
      </c>
      <c r="T294" s="36">
        <v>0</v>
      </c>
      <c r="U294" s="36">
        <v>0</v>
      </c>
      <c r="V294" s="36">
        <f t="shared" si="63"/>
        <v>0</v>
      </c>
      <c r="W294" s="36">
        <v>0</v>
      </c>
      <c r="X294" s="36">
        <v>0</v>
      </c>
      <c r="Y294" s="36">
        <f t="shared" si="64"/>
        <v>0</v>
      </c>
      <c r="Z294" s="36">
        <f>37665-37665</f>
        <v>0</v>
      </c>
      <c r="AA294" s="36">
        <f>37665-37665</f>
        <v>0</v>
      </c>
      <c r="AB294" s="36">
        <f t="shared" si="65"/>
        <v>0</v>
      </c>
    </row>
    <row r="295" spans="1:187" s="11" customFormat="1" ht="31.5">
      <c r="A295" s="35" t="s">
        <v>274</v>
      </c>
      <c r="B295" s="36">
        <f t="shared" si="67"/>
        <v>63574</v>
      </c>
      <c r="C295" s="36">
        <f t="shared" si="67"/>
        <v>63574</v>
      </c>
      <c r="D295" s="36">
        <f t="shared" si="67"/>
        <v>0</v>
      </c>
      <c r="E295" s="36">
        <f>63574-16078</f>
        <v>47496</v>
      </c>
      <c r="F295" s="36">
        <f>63574-16078</f>
        <v>47496</v>
      </c>
      <c r="G295" s="36">
        <f t="shared" si="58"/>
        <v>0</v>
      </c>
      <c r="H295" s="36"/>
      <c r="I295" s="36"/>
      <c r="J295" s="36">
        <f t="shared" si="59"/>
        <v>0</v>
      </c>
      <c r="K295" s="36">
        <v>16078</v>
      </c>
      <c r="L295" s="36">
        <v>16078</v>
      </c>
      <c r="M295" s="36">
        <f t="shared" si="60"/>
        <v>0</v>
      </c>
      <c r="N295" s="36"/>
      <c r="O295" s="36"/>
      <c r="P295" s="36">
        <f t="shared" si="61"/>
        <v>0</v>
      </c>
      <c r="Q295" s="36"/>
      <c r="R295" s="36"/>
      <c r="S295" s="36">
        <f t="shared" si="62"/>
        <v>0</v>
      </c>
      <c r="T295" s="36">
        <v>0</v>
      </c>
      <c r="U295" s="36">
        <v>0</v>
      </c>
      <c r="V295" s="36">
        <f t="shared" si="63"/>
        <v>0</v>
      </c>
      <c r="W295" s="36">
        <v>0</v>
      </c>
      <c r="X295" s="36">
        <v>0</v>
      </c>
      <c r="Y295" s="36">
        <f t="shared" si="64"/>
        <v>0</v>
      </c>
      <c r="Z295" s="36"/>
      <c r="AA295" s="36"/>
      <c r="AB295" s="36">
        <f t="shared" si="65"/>
        <v>0</v>
      </c>
    </row>
    <row r="296" spans="1:187" s="11" customFormat="1" ht="31.5">
      <c r="A296" s="35" t="s">
        <v>275</v>
      </c>
      <c r="B296" s="36">
        <f t="shared" si="67"/>
        <v>42285</v>
      </c>
      <c r="C296" s="36">
        <f t="shared" si="67"/>
        <v>42285</v>
      </c>
      <c r="D296" s="36">
        <f t="shared" si="67"/>
        <v>0</v>
      </c>
      <c r="E296" s="36">
        <v>0</v>
      </c>
      <c r="F296" s="36">
        <v>0</v>
      </c>
      <c r="G296" s="36">
        <f t="shared" si="58"/>
        <v>0</v>
      </c>
      <c r="H296" s="36"/>
      <c r="I296" s="36"/>
      <c r="J296" s="36">
        <f t="shared" si="59"/>
        <v>0</v>
      </c>
      <c r="K296" s="36">
        <v>42285</v>
      </c>
      <c r="L296" s="36">
        <v>42285</v>
      </c>
      <c r="M296" s="36">
        <f t="shared" si="60"/>
        <v>0</v>
      </c>
      <c r="N296" s="36"/>
      <c r="O296" s="36"/>
      <c r="P296" s="36">
        <f t="shared" si="61"/>
        <v>0</v>
      </c>
      <c r="Q296" s="36"/>
      <c r="R296" s="36"/>
      <c r="S296" s="36">
        <f t="shared" si="62"/>
        <v>0</v>
      </c>
      <c r="T296" s="36">
        <v>0</v>
      </c>
      <c r="U296" s="36">
        <v>0</v>
      </c>
      <c r="V296" s="36">
        <f t="shared" si="63"/>
        <v>0</v>
      </c>
      <c r="W296" s="36">
        <v>0</v>
      </c>
      <c r="X296" s="36">
        <v>0</v>
      </c>
      <c r="Y296" s="36">
        <f t="shared" si="64"/>
        <v>0</v>
      </c>
      <c r="Z296" s="36"/>
      <c r="AA296" s="36"/>
      <c r="AB296" s="36">
        <f t="shared" si="65"/>
        <v>0</v>
      </c>
    </row>
    <row r="297" spans="1:187" s="11" customFormat="1" ht="31.5">
      <c r="A297" s="35" t="s">
        <v>276</v>
      </c>
      <c r="B297" s="36">
        <f t="shared" si="67"/>
        <v>18326</v>
      </c>
      <c r="C297" s="36">
        <f t="shared" si="67"/>
        <v>18326</v>
      </c>
      <c r="D297" s="36">
        <f t="shared" si="67"/>
        <v>0</v>
      </c>
      <c r="E297" s="36">
        <v>0</v>
      </c>
      <c r="F297" s="36">
        <v>0</v>
      </c>
      <c r="G297" s="36">
        <f t="shared" si="58"/>
        <v>0</v>
      </c>
      <c r="H297" s="36"/>
      <c r="I297" s="36"/>
      <c r="J297" s="36">
        <f t="shared" si="59"/>
        <v>0</v>
      </c>
      <c r="K297" s="36">
        <v>18326</v>
      </c>
      <c r="L297" s="36">
        <v>18326</v>
      </c>
      <c r="M297" s="36">
        <f t="shared" si="60"/>
        <v>0</v>
      </c>
      <c r="N297" s="36"/>
      <c r="O297" s="36"/>
      <c r="P297" s="36">
        <f t="shared" si="61"/>
        <v>0</v>
      </c>
      <c r="Q297" s="36"/>
      <c r="R297" s="36"/>
      <c r="S297" s="36">
        <f t="shared" si="62"/>
        <v>0</v>
      </c>
      <c r="T297" s="36">
        <v>0</v>
      </c>
      <c r="U297" s="36">
        <v>0</v>
      </c>
      <c r="V297" s="36">
        <f t="shared" si="63"/>
        <v>0</v>
      </c>
      <c r="W297" s="36">
        <v>0</v>
      </c>
      <c r="X297" s="36">
        <v>0</v>
      </c>
      <c r="Y297" s="36">
        <f t="shared" si="64"/>
        <v>0</v>
      </c>
      <c r="Z297" s="36"/>
      <c r="AA297" s="36"/>
      <c r="AB297" s="36">
        <f t="shared" si="65"/>
        <v>0</v>
      </c>
    </row>
    <row r="298" spans="1:187" s="11" customFormat="1">
      <c r="A298" s="29" t="s">
        <v>179</v>
      </c>
      <c r="B298" s="30">
        <f t="shared" si="67"/>
        <v>44446</v>
      </c>
      <c r="C298" s="30">
        <f t="shared" si="67"/>
        <v>51542</v>
      </c>
      <c r="D298" s="30">
        <f t="shared" si="67"/>
        <v>7096</v>
      </c>
      <c r="E298" s="30">
        <f>SUM(E299:E300)</f>
        <v>0</v>
      </c>
      <c r="F298" s="30">
        <f>SUM(F299:F300)</f>
        <v>0</v>
      </c>
      <c r="G298" s="30">
        <f t="shared" si="58"/>
        <v>0</v>
      </c>
      <c r="H298" s="30">
        <f t="shared" ref="H298:I298" si="68">SUM(H299:H300)</f>
        <v>0</v>
      </c>
      <c r="I298" s="30">
        <f t="shared" si="68"/>
        <v>0</v>
      </c>
      <c r="J298" s="30">
        <f t="shared" si="59"/>
        <v>0</v>
      </c>
      <c r="K298" s="30">
        <f t="shared" ref="K298:L298" si="69">SUM(K299:K300)</f>
        <v>44446</v>
      </c>
      <c r="L298" s="30">
        <f t="shared" si="69"/>
        <v>51542</v>
      </c>
      <c r="M298" s="30">
        <f t="shared" si="60"/>
        <v>7096</v>
      </c>
      <c r="N298" s="30">
        <f t="shared" ref="N298:O298" si="70">SUM(N299:N300)</f>
        <v>0</v>
      </c>
      <c r="O298" s="30">
        <f t="shared" si="70"/>
        <v>0</v>
      </c>
      <c r="P298" s="30">
        <f t="shared" si="61"/>
        <v>0</v>
      </c>
      <c r="Q298" s="30">
        <f t="shared" ref="Q298:R298" si="71">SUM(Q299:Q300)</f>
        <v>0</v>
      </c>
      <c r="R298" s="30">
        <f t="shared" si="71"/>
        <v>0</v>
      </c>
      <c r="S298" s="30">
        <f t="shared" si="62"/>
        <v>0</v>
      </c>
      <c r="T298" s="30">
        <f t="shared" ref="T298:U298" si="72">SUM(T299:T300)</f>
        <v>0</v>
      </c>
      <c r="U298" s="30">
        <f t="shared" si="72"/>
        <v>0</v>
      </c>
      <c r="V298" s="30">
        <f t="shared" si="63"/>
        <v>0</v>
      </c>
      <c r="W298" s="30">
        <f t="shared" ref="W298:X298" si="73">SUM(W299:W300)</f>
        <v>0</v>
      </c>
      <c r="X298" s="30">
        <f t="shared" si="73"/>
        <v>0</v>
      </c>
      <c r="Y298" s="30">
        <f t="shared" si="64"/>
        <v>0</v>
      </c>
      <c r="Z298" s="30">
        <f t="shared" ref="Z298:AA298" si="74">SUM(Z299:Z300)</f>
        <v>0</v>
      </c>
      <c r="AA298" s="30">
        <f t="shared" si="74"/>
        <v>0</v>
      </c>
      <c r="AB298" s="30">
        <f t="shared" si="65"/>
        <v>0</v>
      </c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28"/>
      <c r="BA298" s="28"/>
      <c r="BB298" s="28"/>
      <c r="BC298" s="28"/>
      <c r="BD298" s="28"/>
      <c r="BE298" s="28"/>
      <c r="BF298" s="28"/>
      <c r="BG298" s="28"/>
      <c r="BH298" s="28"/>
      <c r="BI298" s="28"/>
      <c r="BJ298" s="28"/>
      <c r="BK298" s="28"/>
      <c r="BL298" s="28"/>
      <c r="BM298" s="28"/>
      <c r="BN298" s="28"/>
      <c r="BO298" s="28"/>
      <c r="BP298" s="28"/>
      <c r="BQ298" s="28"/>
      <c r="BR298" s="28"/>
      <c r="BS298" s="28"/>
      <c r="BT298" s="28"/>
      <c r="BU298" s="28"/>
      <c r="BV298" s="28"/>
      <c r="BW298" s="28"/>
      <c r="BX298" s="28"/>
      <c r="BY298" s="28"/>
      <c r="BZ298" s="28"/>
      <c r="CA298" s="28"/>
      <c r="CB298" s="28"/>
      <c r="CC298" s="28"/>
      <c r="CD298" s="28"/>
      <c r="CE298" s="28"/>
      <c r="CF298" s="28"/>
      <c r="CG298" s="28"/>
      <c r="CH298" s="28"/>
      <c r="CI298" s="28"/>
      <c r="CJ298" s="28"/>
      <c r="CK298" s="28"/>
      <c r="CL298" s="28"/>
      <c r="CM298" s="28"/>
      <c r="CN298" s="28"/>
      <c r="CO298" s="28"/>
      <c r="CP298" s="28"/>
      <c r="CQ298" s="28"/>
      <c r="CR298" s="28"/>
      <c r="CS298" s="28"/>
      <c r="CT298" s="28"/>
      <c r="CU298" s="28"/>
      <c r="CV298" s="28"/>
      <c r="CW298" s="28"/>
      <c r="CX298" s="28"/>
      <c r="CY298" s="28"/>
      <c r="CZ298" s="28"/>
      <c r="DA298" s="28"/>
      <c r="DB298" s="28"/>
      <c r="DC298" s="28"/>
      <c r="DD298" s="28"/>
      <c r="DE298" s="28"/>
      <c r="DF298" s="28"/>
      <c r="DG298" s="28"/>
      <c r="DH298" s="28"/>
      <c r="DI298" s="28"/>
      <c r="DJ298" s="28"/>
      <c r="DK298" s="28"/>
      <c r="DL298" s="28"/>
      <c r="DM298" s="28"/>
      <c r="DN298" s="28"/>
      <c r="DO298" s="28"/>
      <c r="DP298" s="28"/>
      <c r="DQ298" s="28"/>
      <c r="DR298" s="28"/>
      <c r="DS298" s="28"/>
      <c r="DT298" s="28"/>
      <c r="DU298" s="28"/>
      <c r="DV298" s="28"/>
      <c r="DW298" s="28"/>
      <c r="DX298" s="28"/>
      <c r="DY298" s="28"/>
      <c r="DZ298" s="28"/>
      <c r="EA298" s="28"/>
      <c r="EB298" s="28"/>
      <c r="EC298" s="28"/>
      <c r="ED298" s="28"/>
      <c r="EE298" s="28"/>
      <c r="EF298" s="28"/>
      <c r="EG298" s="28"/>
      <c r="EH298" s="28"/>
      <c r="EI298" s="28"/>
      <c r="EJ298" s="28"/>
      <c r="EK298" s="28"/>
      <c r="EL298" s="28"/>
      <c r="EM298" s="28"/>
      <c r="EN298" s="28"/>
      <c r="EO298" s="28"/>
      <c r="EP298" s="28"/>
      <c r="EQ298" s="28"/>
      <c r="ER298" s="28"/>
      <c r="ES298" s="28"/>
      <c r="ET298" s="28"/>
      <c r="EU298" s="28"/>
      <c r="EV298" s="28"/>
      <c r="EW298" s="28"/>
      <c r="EX298" s="28"/>
      <c r="EY298" s="28"/>
      <c r="EZ298" s="28"/>
      <c r="FA298" s="28"/>
      <c r="FB298" s="28"/>
      <c r="FC298" s="28"/>
      <c r="FD298" s="28"/>
      <c r="FE298" s="28"/>
      <c r="FF298" s="28"/>
      <c r="FG298" s="28"/>
      <c r="FH298" s="28"/>
      <c r="FI298" s="28"/>
      <c r="FJ298" s="28"/>
      <c r="FK298" s="28"/>
      <c r="FL298" s="28"/>
      <c r="FM298" s="28"/>
      <c r="FN298" s="28"/>
      <c r="FO298" s="28"/>
      <c r="FP298" s="28"/>
      <c r="FQ298" s="28"/>
      <c r="FR298" s="28"/>
      <c r="FS298" s="28"/>
      <c r="FT298" s="28"/>
      <c r="FU298" s="28"/>
      <c r="FV298" s="28"/>
      <c r="FW298" s="28"/>
      <c r="FX298" s="28"/>
      <c r="FY298" s="28"/>
      <c r="FZ298" s="28"/>
      <c r="GA298" s="28"/>
      <c r="GB298" s="28"/>
      <c r="GC298" s="28"/>
      <c r="GD298" s="28"/>
      <c r="GE298" s="28"/>
    </row>
    <row r="299" spans="1:187" s="11" customFormat="1" ht="31.5">
      <c r="A299" s="35" t="s">
        <v>277</v>
      </c>
      <c r="B299" s="36">
        <f t="shared" si="67"/>
        <v>26698</v>
      </c>
      <c r="C299" s="36">
        <f t="shared" si="67"/>
        <v>26698</v>
      </c>
      <c r="D299" s="36">
        <f t="shared" si="67"/>
        <v>0</v>
      </c>
      <c r="E299" s="36"/>
      <c r="F299" s="36"/>
      <c r="G299" s="36">
        <f t="shared" si="58"/>
        <v>0</v>
      </c>
      <c r="H299" s="36"/>
      <c r="I299" s="36"/>
      <c r="J299" s="36">
        <f t="shared" si="59"/>
        <v>0</v>
      </c>
      <c r="K299" s="36">
        <v>26698</v>
      </c>
      <c r="L299" s="36">
        <v>26698</v>
      </c>
      <c r="M299" s="36">
        <f t="shared" si="60"/>
        <v>0</v>
      </c>
      <c r="N299" s="36"/>
      <c r="O299" s="36"/>
      <c r="P299" s="36">
        <f t="shared" si="61"/>
        <v>0</v>
      </c>
      <c r="Q299" s="36"/>
      <c r="R299" s="36"/>
      <c r="S299" s="36">
        <f t="shared" si="62"/>
        <v>0</v>
      </c>
      <c r="T299" s="36"/>
      <c r="U299" s="36"/>
      <c r="V299" s="36">
        <f t="shared" si="63"/>
        <v>0</v>
      </c>
      <c r="W299" s="36"/>
      <c r="X299" s="36"/>
      <c r="Y299" s="36">
        <f t="shared" si="64"/>
        <v>0</v>
      </c>
      <c r="Z299" s="36"/>
      <c r="AA299" s="36"/>
      <c r="AB299" s="36">
        <f t="shared" si="65"/>
        <v>0</v>
      </c>
      <c r="FL299" s="28"/>
      <c r="FM299" s="28"/>
      <c r="FN299" s="28"/>
      <c r="FO299" s="28"/>
      <c r="FP299" s="28"/>
      <c r="FQ299" s="28"/>
      <c r="FR299" s="28"/>
      <c r="FS299" s="28"/>
      <c r="FT299" s="28"/>
      <c r="FU299" s="28"/>
      <c r="FV299" s="28"/>
      <c r="FW299" s="28"/>
      <c r="FX299" s="28"/>
      <c r="FY299" s="28"/>
      <c r="FZ299" s="28"/>
      <c r="GA299" s="28"/>
      <c r="GB299" s="28"/>
      <c r="GC299" s="28"/>
      <c r="GD299" s="28"/>
      <c r="GE299" s="28"/>
    </row>
    <row r="300" spans="1:187" s="11" customFormat="1" ht="47.25">
      <c r="A300" s="35" t="s">
        <v>278</v>
      </c>
      <c r="B300" s="36">
        <f t="shared" si="67"/>
        <v>17748</v>
      </c>
      <c r="C300" s="36">
        <f t="shared" si="67"/>
        <v>24844</v>
      </c>
      <c r="D300" s="36">
        <f t="shared" si="67"/>
        <v>7096</v>
      </c>
      <c r="E300" s="36"/>
      <c r="F300" s="36"/>
      <c r="G300" s="36">
        <f t="shared" si="58"/>
        <v>0</v>
      </c>
      <c r="H300" s="36"/>
      <c r="I300" s="36"/>
      <c r="J300" s="36">
        <f t="shared" si="59"/>
        <v>0</v>
      </c>
      <c r="K300" s="36">
        <v>17748</v>
      </c>
      <c r="L300" s="36">
        <f>17748+7096</f>
        <v>24844</v>
      </c>
      <c r="M300" s="36">
        <f t="shared" si="60"/>
        <v>7096</v>
      </c>
      <c r="N300" s="36"/>
      <c r="O300" s="36"/>
      <c r="P300" s="36">
        <f t="shared" si="61"/>
        <v>0</v>
      </c>
      <c r="Q300" s="36"/>
      <c r="R300" s="36"/>
      <c r="S300" s="36">
        <f t="shared" si="62"/>
        <v>0</v>
      </c>
      <c r="T300" s="36"/>
      <c r="U300" s="36"/>
      <c r="V300" s="36">
        <f t="shared" si="63"/>
        <v>0</v>
      </c>
      <c r="W300" s="36"/>
      <c r="X300" s="36"/>
      <c r="Y300" s="36">
        <f t="shared" si="64"/>
        <v>0</v>
      </c>
      <c r="Z300" s="36"/>
      <c r="AA300" s="36"/>
      <c r="AB300" s="36">
        <f t="shared" si="65"/>
        <v>0</v>
      </c>
      <c r="FL300" s="28"/>
      <c r="FM300" s="28"/>
      <c r="FN300" s="28"/>
      <c r="FO300" s="28"/>
      <c r="FP300" s="28"/>
      <c r="FQ300" s="28"/>
      <c r="FR300" s="28"/>
      <c r="FS300" s="28"/>
      <c r="FT300" s="28"/>
      <c r="FU300" s="28"/>
      <c r="FV300" s="28"/>
      <c r="FW300" s="28"/>
      <c r="FX300" s="28"/>
      <c r="FY300" s="28"/>
      <c r="FZ300" s="28"/>
      <c r="GA300" s="28"/>
      <c r="GB300" s="28"/>
      <c r="GC300" s="28"/>
      <c r="GD300" s="28"/>
      <c r="GE300" s="28"/>
    </row>
    <row r="301" spans="1:187" s="11" customFormat="1" ht="31.5">
      <c r="A301" s="29" t="s">
        <v>82</v>
      </c>
      <c r="B301" s="30">
        <f t="shared" si="67"/>
        <v>1205472</v>
      </c>
      <c r="C301" s="30">
        <f t="shared" si="67"/>
        <v>1227838</v>
      </c>
      <c r="D301" s="30">
        <f t="shared" si="67"/>
        <v>22366</v>
      </c>
      <c r="E301" s="30">
        <f>SUM(E307,E324,E320,E302,E327)</f>
        <v>217159</v>
      </c>
      <c r="F301" s="30">
        <f>SUM(F307,F324,F320,F302,F327)</f>
        <v>217159</v>
      </c>
      <c r="G301" s="30">
        <f t="shared" si="58"/>
        <v>0</v>
      </c>
      <c r="H301" s="30">
        <f>SUM(H307,H324,H320,H302,H327)</f>
        <v>0</v>
      </c>
      <c r="I301" s="30">
        <f>SUM(I307,I324,I320,I302,I327)</f>
        <v>0</v>
      </c>
      <c r="J301" s="30">
        <f t="shared" si="59"/>
        <v>0</v>
      </c>
      <c r="K301" s="30">
        <f>SUM(K307,K324,K320,K302,K327)</f>
        <v>233663</v>
      </c>
      <c r="L301" s="30">
        <f>SUM(L307,L324,L320,L302,L327)</f>
        <v>268529</v>
      </c>
      <c r="M301" s="30">
        <f t="shared" si="60"/>
        <v>34866</v>
      </c>
      <c r="N301" s="30">
        <f>SUM(N307,N324,N320,N302,N327)</f>
        <v>550090</v>
      </c>
      <c r="O301" s="30">
        <f>SUM(O307,O324,O320,O302,O327)</f>
        <v>550090</v>
      </c>
      <c r="P301" s="30">
        <f t="shared" si="61"/>
        <v>0</v>
      </c>
      <c r="Q301" s="30">
        <f>SUM(Q307,Q324,Q320,Q302,Q327)</f>
        <v>27560</v>
      </c>
      <c r="R301" s="30">
        <f>SUM(R307,R324,R320,R302,R327)</f>
        <v>15060</v>
      </c>
      <c r="S301" s="30">
        <f t="shared" si="62"/>
        <v>-12500</v>
      </c>
      <c r="T301" s="30">
        <f>SUM(T307,T324,T320,T302,T327)</f>
        <v>177000</v>
      </c>
      <c r="U301" s="30">
        <f>SUM(U307,U324,U320,U302,U327)</f>
        <v>177000</v>
      </c>
      <c r="V301" s="30">
        <f t="shared" si="63"/>
        <v>0</v>
      </c>
      <c r="W301" s="30">
        <f>SUM(W307,W324,W320,W302,W327)</f>
        <v>0</v>
      </c>
      <c r="X301" s="30">
        <f>SUM(X307,X324,X320,X302,X327)</f>
        <v>0</v>
      </c>
      <c r="Y301" s="30">
        <f t="shared" si="64"/>
        <v>0</v>
      </c>
      <c r="Z301" s="30">
        <f>SUM(Z307,Z324,Z320,Z302,Z327)</f>
        <v>0</v>
      </c>
      <c r="AA301" s="30">
        <f>SUM(AA307,AA324,AA320,AA302,AA327)</f>
        <v>0</v>
      </c>
      <c r="AB301" s="30">
        <f t="shared" si="65"/>
        <v>0</v>
      </c>
      <c r="AC301" s="28"/>
      <c r="AD301" s="28"/>
      <c r="AE301" s="28"/>
      <c r="AF301" s="28"/>
      <c r="AG301" s="28"/>
      <c r="AH301" s="28"/>
      <c r="AI301" s="28"/>
      <c r="AJ301" s="28"/>
      <c r="AK301" s="28"/>
      <c r="AL301" s="28"/>
      <c r="AM301" s="28"/>
      <c r="AN301" s="28"/>
      <c r="AO301" s="28"/>
      <c r="AP301" s="28"/>
      <c r="AQ301" s="28"/>
      <c r="AR301" s="28"/>
      <c r="AS301" s="28"/>
      <c r="AT301" s="28"/>
      <c r="AU301" s="28"/>
      <c r="AV301" s="28"/>
      <c r="AW301" s="28"/>
      <c r="AX301" s="28"/>
      <c r="AY301" s="28"/>
      <c r="AZ301" s="28"/>
      <c r="BA301" s="28"/>
      <c r="BB301" s="28"/>
      <c r="BC301" s="28"/>
      <c r="BD301" s="28"/>
      <c r="BE301" s="28"/>
      <c r="BF301" s="28"/>
      <c r="BG301" s="28"/>
      <c r="BH301" s="28"/>
      <c r="BI301" s="28"/>
      <c r="BJ301" s="28"/>
      <c r="BK301" s="28"/>
      <c r="BL301" s="28"/>
      <c r="BM301" s="28"/>
      <c r="BN301" s="28"/>
      <c r="BO301" s="28"/>
      <c r="BP301" s="28"/>
      <c r="BQ301" s="28"/>
      <c r="BR301" s="28"/>
      <c r="BS301" s="28"/>
      <c r="BT301" s="28"/>
      <c r="BU301" s="28"/>
      <c r="BV301" s="28"/>
      <c r="BW301" s="28"/>
      <c r="BX301" s="28"/>
      <c r="BY301" s="28"/>
      <c r="BZ301" s="28"/>
      <c r="CA301" s="28"/>
      <c r="CB301" s="28"/>
      <c r="CC301" s="28"/>
      <c r="CD301" s="28"/>
      <c r="CE301" s="28"/>
      <c r="CF301" s="28"/>
      <c r="CG301" s="28"/>
      <c r="CH301" s="28"/>
      <c r="CI301" s="28"/>
      <c r="CJ301" s="28"/>
      <c r="CK301" s="28"/>
      <c r="CL301" s="28"/>
      <c r="CM301" s="28"/>
      <c r="CN301" s="28"/>
      <c r="CO301" s="28"/>
      <c r="CP301" s="28"/>
      <c r="CQ301" s="28"/>
      <c r="CR301" s="28"/>
      <c r="CS301" s="28"/>
      <c r="CT301" s="28"/>
      <c r="CU301" s="28"/>
      <c r="CV301" s="28"/>
      <c r="CW301" s="28"/>
      <c r="CX301" s="28"/>
      <c r="CY301" s="28"/>
      <c r="CZ301" s="28"/>
      <c r="DA301" s="28"/>
      <c r="DB301" s="28"/>
      <c r="DC301" s="28"/>
      <c r="DD301" s="28"/>
      <c r="DE301" s="28"/>
      <c r="DF301" s="28"/>
      <c r="DG301" s="28"/>
      <c r="DH301" s="28"/>
      <c r="DI301" s="28"/>
      <c r="DJ301" s="28"/>
      <c r="DK301" s="28"/>
      <c r="DL301" s="28"/>
      <c r="DM301" s="28"/>
      <c r="DN301" s="28"/>
      <c r="DO301" s="28"/>
      <c r="DP301" s="28"/>
      <c r="DQ301" s="28"/>
      <c r="DR301" s="28"/>
      <c r="DS301" s="28"/>
      <c r="DT301" s="28"/>
      <c r="DU301" s="28"/>
      <c r="DV301" s="28"/>
      <c r="DW301" s="28"/>
      <c r="DX301" s="28"/>
      <c r="DY301" s="28"/>
      <c r="DZ301" s="28"/>
      <c r="EA301" s="28"/>
      <c r="EB301" s="28"/>
      <c r="EC301" s="28"/>
      <c r="ED301" s="28"/>
      <c r="EE301" s="28"/>
      <c r="EF301" s="28"/>
      <c r="EG301" s="28"/>
      <c r="EH301" s="28"/>
      <c r="EI301" s="28"/>
      <c r="EJ301" s="28"/>
      <c r="EK301" s="28"/>
      <c r="EL301" s="28"/>
      <c r="EM301" s="28"/>
      <c r="EN301" s="28"/>
      <c r="EO301" s="28"/>
      <c r="EP301" s="28"/>
      <c r="EQ301" s="28"/>
      <c r="ER301" s="28"/>
      <c r="ES301" s="28"/>
      <c r="ET301" s="28"/>
      <c r="EU301" s="28"/>
      <c r="EV301" s="28"/>
      <c r="EW301" s="28"/>
      <c r="EX301" s="28"/>
      <c r="EY301" s="28"/>
      <c r="EZ301" s="28"/>
      <c r="FA301" s="28"/>
      <c r="FB301" s="28"/>
      <c r="FC301" s="28"/>
      <c r="FD301" s="28"/>
      <c r="FE301" s="28"/>
      <c r="FF301" s="28"/>
      <c r="FG301" s="28"/>
      <c r="FH301" s="28"/>
      <c r="FI301" s="28"/>
      <c r="FJ301" s="28"/>
      <c r="FK301" s="28"/>
      <c r="FL301" s="28"/>
      <c r="FM301" s="28"/>
      <c r="FN301" s="28"/>
      <c r="FO301" s="28"/>
      <c r="FP301" s="28"/>
      <c r="FQ301" s="28"/>
      <c r="FR301" s="28"/>
      <c r="FS301" s="28"/>
      <c r="FT301" s="28"/>
      <c r="FU301" s="28"/>
      <c r="FV301" s="28"/>
      <c r="FW301" s="28"/>
      <c r="FX301" s="28"/>
      <c r="FY301" s="28"/>
      <c r="FZ301" s="28"/>
      <c r="GA301" s="28"/>
      <c r="GB301" s="28"/>
      <c r="GC301" s="28"/>
      <c r="GD301" s="28"/>
      <c r="GE301" s="28"/>
    </row>
    <row r="302" spans="1:187" s="11" customFormat="1">
      <c r="A302" s="29" t="s">
        <v>96</v>
      </c>
      <c r="B302" s="30">
        <f t="shared" si="67"/>
        <v>36835</v>
      </c>
      <c r="C302" s="30">
        <f t="shared" si="67"/>
        <v>32194</v>
      </c>
      <c r="D302" s="30">
        <f t="shared" si="67"/>
        <v>-4641</v>
      </c>
      <c r="E302" s="30">
        <f>SUM(E303:E306)</f>
        <v>3238</v>
      </c>
      <c r="F302" s="30">
        <f>SUM(F303:F306)</f>
        <v>3238</v>
      </c>
      <c r="G302" s="30">
        <f t="shared" si="58"/>
        <v>0</v>
      </c>
      <c r="H302" s="30">
        <f>SUM(H303:H306)</f>
        <v>0</v>
      </c>
      <c r="I302" s="30">
        <f>SUM(I303:I306)</f>
        <v>0</v>
      </c>
      <c r="J302" s="30">
        <f t="shared" si="59"/>
        <v>0</v>
      </c>
      <c r="K302" s="30">
        <f>SUM(K303:K306)</f>
        <v>5932</v>
      </c>
      <c r="L302" s="30">
        <f>SUM(L303:L306)</f>
        <v>11791</v>
      </c>
      <c r="M302" s="30">
        <f t="shared" si="60"/>
        <v>5859</v>
      </c>
      <c r="N302" s="30">
        <f>SUM(N303:N306)</f>
        <v>2105</v>
      </c>
      <c r="O302" s="30">
        <f>SUM(O303:O306)</f>
        <v>2105</v>
      </c>
      <c r="P302" s="30">
        <f t="shared" si="61"/>
        <v>0</v>
      </c>
      <c r="Q302" s="30">
        <f>SUM(Q303:Q306)</f>
        <v>25560</v>
      </c>
      <c r="R302" s="30">
        <f>SUM(R303:R306)</f>
        <v>15060</v>
      </c>
      <c r="S302" s="30">
        <f t="shared" si="62"/>
        <v>-10500</v>
      </c>
      <c r="T302" s="30">
        <f>SUM(T303:T306)</f>
        <v>0</v>
      </c>
      <c r="U302" s="30">
        <f>SUM(U303:U306)</f>
        <v>0</v>
      </c>
      <c r="V302" s="30">
        <f t="shared" si="63"/>
        <v>0</v>
      </c>
      <c r="W302" s="30">
        <f>SUM(W303:W306)</f>
        <v>0</v>
      </c>
      <c r="X302" s="30">
        <f>SUM(X303:X306)</f>
        <v>0</v>
      </c>
      <c r="Y302" s="30">
        <f t="shared" si="64"/>
        <v>0</v>
      </c>
      <c r="Z302" s="30">
        <f>SUM(Z303:Z306)</f>
        <v>0</v>
      </c>
      <c r="AA302" s="30">
        <f>SUM(AA303:AA306)</f>
        <v>0</v>
      </c>
      <c r="AB302" s="30">
        <f t="shared" si="65"/>
        <v>0</v>
      </c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  <c r="AV302" s="28"/>
      <c r="AW302" s="28"/>
      <c r="AX302" s="28"/>
      <c r="AY302" s="28"/>
      <c r="AZ302" s="28"/>
      <c r="BA302" s="28"/>
      <c r="BB302" s="28"/>
      <c r="BC302" s="28"/>
      <c r="BD302" s="28"/>
      <c r="BE302" s="28"/>
      <c r="BF302" s="28"/>
      <c r="BG302" s="28"/>
      <c r="BH302" s="28"/>
      <c r="BI302" s="28"/>
      <c r="BJ302" s="28"/>
      <c r="BK302" s="28"/>
      <c r="BL302" s="28"/>
      <c r="BM302" s="28"/>
      <c r="BN302" s="28"/>
      <c r="BO302" s="28"/>
      <c r="BP302" s="28"/>
      <c r="BQ302" s="28"/>
      <c r="BR302" s="28"/>
      <c r="BS302" s="28"/>
      <c r="BT302" s="28"/>
      <c r="BU302" s="28"/>
      <c r="BV302" s="28"/>
      <c r="BW302" s="28"/>
      <c r="BX302" s="28"/>
      <c r="BY302" s="28"/>
      <c r="BZ302" s="28"/>
      <c r="CA302" s="28"/>
      <c r="CB302" s="28"/>
      <c r="CC302" s="28"/>
      <c r="CD302" s="28"/>
      <c r="CE302" s="28"/>
      <c r="CF302" s="28"/>
      <c r="CG302" s="28"/>
      <c r="CH302" s="28"/>
      <c r="CI302" s="28"/>
      <c r="CJ302" s="28"/>
      <c r="CK302" s="28"/>
      <c r="CL302" s="28"/>
      <c r="CM302" s="28"/>
      <c r="CN302" s="28"/>
      <c r="CO302" s="28"/>
      <c r="CP302" s="28"/>
      <c r="CQ302" s="28"/>
      <c r="CR302" s="28"/>
      <c r="CS302" s="28"/>
      <c r="CT302" s="28"/>
      <c r="CU302" s="28"/>
      <c r="CV302" s="28"/>
      <c r="CW302" s="28"/>
      <c r="CX302" s="28"/>
      <c r="CY302" s="28"/>
      <c r="CZ302" s="28"/>
      <c r="DA302" s="28"/>
      <c r="DB302" s="28"/>
      <c r="DC302" s="28"/>
      <c r="DD302" s="28"/>
      <c r="DE302" s="28"/>
      <c r="DF302" s="28"/>
      <c r="DG302" s="28"/>
      <c r="DH302" s="28"/>
      <c r="DI302" s="28"/>
      <c r="DJ302" s="28"/>
      <c r="DK302" s="28"/>
      <c r="DL302" s="28"/>
      <c r="DM302" s="28"/>
      <c r="DN302" s="28"/>
      <c r="DO302" s="28"/>
      <c r="DP302" s="28"/>
      <c r="DQ302" s="28"/>
      <c r="DR302" s="28"/>
      <c r="DS302" s="28"/>
      <c r="DT302" s="28"/>
      <c r="DU302" s="28"/>
      <c r="DV302" s="28"/>
      <c r="DW302" s="28"/>
      <c r="DX302" s="28"/>
      <c r="DY302" s="28"/>
      <c r="DZ302" s="28"/>
      <c r="EA302" s="28"/>
      <c r="EB302" s="28"/>
      <c r="EC302" s="28"/>
      <c r="ED302" s="28"/>
      <c r="EE302" s="28"/>
      <c r="EF302" s="28"/>
      <c r="EG302" s="28"/>
      <c r="EH302" s="28"/>
      <c r="EI302" s="28"/>
      <c r="EJ302" s="28"/>
      <c r="EK302" s="28"/>
      <c r="EL302" s="28"/>
      <c r="EM302" s="28"/>
      <c r="EN302" s="28"/>
      <c r="EO302" s="28"/>
      <c r="EP302" s="28"/>
      <c r="EQ302" s="28"/>
      <c r="ER302" s="28"/>
      <c r="ES302" s="28"/>
      <c r="ET302" s="28"/>
      <c r="EU302" s="28"/>
      <c r="EV302" s="28"/>
      <c r="EW302" s="28"/>
      <c r="EX302" s="28"/>
      <c r="EY302" s="28"/>
      <c r="EZ302" s="28"/>
      <c r="FA302" s="28"/>
      <c r="FB302" s="28"/>
      <c r="FC302" s="28"/>
      <c r="FD302" s="28"/>
      <c r="FE302" s="28"/>
      <c r="FF302" s="28"/>
      <c r="FG302" s="28"/>
      <c r="FH302" s="28"/>
      <c r="FI302" s="28"/>
      <c r="FJ302" s="28"/>
      <c r="FK302" s="28"/>
      <c r="FL302" s="28"/>
      <c r="FM302" s="28"/>
      <c r="FN302" s="28"/>
      <c r="FO302" s="28"/>
      <c r="FP302" s="28"/>
      <c r="FQ302" s="28"/>
      <c r="FR302" s="28"/>
      <c r="FS302" s="28"/>
      <c r="FT302" s="28"/>
      <c r="FU302" s="28"/>
      <c r="FV302" s="28"/>
      <c r="FW302" s="28"/>
      <c r="FX302" s="28"/>
      <c r="FY302" s="28"/>
      <c r="FZ302" s="28"/>
      <c r="GA302" s="28"/>
      <c r="GB302" s="28"/>
      <c r="GC302" s="28"/>
      <c r="GD302" s="28"/>
      <c r="GE302" s="28"/>
    </row>
    <row r="303" spans="1:187" s="11" customFormat="1" ht="63">
      <c r="A303" s="32" t="s">
        <v>279</v>
      </c>
      <c r="B303" s="36">
        <f t="shared" si="67"/>
        <v>5343</v>
      </c>
      <c r="C303" s="36">
        <f t="shared" si="67"/>
        <v>5343</v>
      </c>
      <c r="D303" s="36">
        <f t="shared" si="67"/>
        <v>0</v>
      </c>
      <c r="E303" s="36">
        <f>1134+2104</f>
        <v>3238</v>
      </c>
      <c r="F303" s="36">
        <f>1134+2104</f>
        <v>3238</v>
      </c>
      <c r="G303" s="36">
        <f t="shared" si="58"/>
        <v>0</v>
      </c>
      <c r="H303" s="36"/>
      <c r="I303" s="36"/>
      <c r="J303" s="36">
        <f t="shared" si="59"/>
        <v>0</v>
      </c>
      <c r="K303" s="36"/>
      <c r="L303" s="36"/>
      <c r="M303" s="36">
        <f t="shared" si="60"/>
        <v>0</v>
      </c>
      <c r="N303" s="36">
        <f>5343-3238</f>
        <v>2105</v>
      </c>
      <c r="O303" s="36">
        <f>5343-3238</f>
        <v>2105</v>
      </c>
      <c r="P303" s="36">
        <f t="shared" si="61"/>
        <v>0</v>
      </c>
      <c r="Q303" s="36"/>
      <c r="R303" s="36"/>
      <c r="S303" s="36">
        <f t="shared" si="62"/>
        <v>0</v>
      </c>
      <c r="T303" s="36"/>
      <c r="U303" s="36"/>
      <c r="V303" s="36">
        <f t="shared" si="63"/>
        <v>0</v>
      </c>
      <c r="W303" s="36"/>
      <c r="X303" s="36"/>
      <c r="Y303" s="36">
        <f t="shared" si="64"/>
        <v>0</v>
      </c>
      <c r="Z303" s="36"/>
      <c r="AA303" s="36"/>
      <c r="AB303" s="36">
        <f t="shared" si="65"/>
        <v>0</v>
      </c>
    </row>
    <row r="304" spans="1:187" s="11" customFormat="1" ht="31.5">
      <c r="A304" s="32" t="s">
        <v>280</v>
      </c>
      <c r="B304" s="36">
        <f t="shared" si="67"/>
        <v>15060</v>
      </c>
      <c r="C304" s="36">
        <f t="shared" si="67"/>
        <v>15060</v>
      </c>
      <c r="D304" s="36">
        <f t="shared" si="67"/>
        <v>0</v>
      </c>
      <c r="E304" s="36"/>
      <c r="F304" s="36"/>
      <c r="G304" s="36">
        <f t="shared" si="58"/>
        <v>0</v>
      </c>
      <c r="H304" s="36"/>
      <c r="I304" s="36"/>
      <c r="J304" s="36">
        <f t="shared" si="59"/>
        <v>0</v>
      </c>
      <c r="K304" s="36"/>
      <c r="L304" s="36"/>
      <c r="M304" s="36">
        <f t="shared" si="60"/>
        <v>0</v>
      </c>
      <c r="N304" s="36"/>
      <c r="O304" s="36"/>
      <c r="P304" s="36">
        <f t="shared" si="61"/>
        <v>0</v>
      </c>
      <c r="Q304" s="36">
        <v>15060</v>
      </c>
      <c r="R304" s="36">
        <v>15060</v>
      </c>
      <c r="S304" s="36">
        <f t="shared" si="62"/>
        <v>0</v>
      </c>
      <c r="T304" s="36"/>
      <c r="U304" s="36"/>
      <c r="V304" s="36">
        <f t="shared" si="63"/>
        <v>0</v>
      </c>
      <c r="W304" s="36"/>
      <c r="X304" s="36"/>
      <c r="Y304" s="36">
        <f t="shared" si="64"/>
        <v>0</v>
      </c>
      <c r="Z304" s="36"/>
      <c r="AA304" s="36"/>
      <c r="AB304" s="36">
        <f t="shared" si="65"/>
        <v>0</v>
      </c>
    </row>
    <row r="305" spans="1:187" s="11" customFormat="1" ht="31.5">
      <c r="A305" s="32" t="s">
        <v>281</v>
      </c>
      <c r="B305" s="36">
        <f t="shared" si="67"/>
        <v>5932</v>
      </c>
      <c r="C305" s="36">
        <f t="shared" si="67"/>
        <v>11791</v>
      </c>
      <c r="D305" s="36">
        <f t="shared" si="67"/>
        <v>5859</v>
      </c>
      <c r="E305" s="36"/>
      <c r="F305" s="36"/>
      <c r="G305" s="36">
        <f t="shared" si="58"/>
        <v>0</v>
      </c>
      <c r="H305" s="36"/>
      <c r="I305" s="36"/>
      <c r="J305" s="36">
        <f t="shared" si="59"/>
        <v>0</v>
      </c>
      <c r="K305" s="36">
        <f>3822+720+1390</f>
        <v>5932</v>
      </c>
      <c r="L305" s="36">
        <f>3822+720+1390+5859</f>
        <v>11791</v>
      </c>
      <c r="M305" s="36">
        <f t="shared" si="60"/>
        <v>5859</v>
      </c>
      <c r="N305" s="36"/>
      <c r="O305" s="36"/>
      <c r="P305" s="36">
        <f t="shared" si="61"/>
        <v>0</v>
      </c>
      <c r="Q305" s="36">
        <v>0</v>
      </c>
      <c r="R305" s="36">
        <v>0</v>
      </c>
      <c r="S305" s="36">
        <f t="shared" si="62"/>
        <v>0</v>
      </c>
      <c r="T305" s="36"/>
      <c r="U305" s="36"/>
      <c r="V305" s="36">
        <f t="shared" si="63"/>
        <v>0</v>
      </c>
      <c r="W305" s="36"/>
      <c r="X305" s="36"/>
      <c r="Y305" s="36">
        <f t="shared" si="64"/>
        <v>0</v>
      </c>
      <c r="Z305" s="36"/>
      <c r="AA305" s="36"/>
      <c r="AB305" s="36">
        <f t="shared" si="65"/>
        <v>0</v>
      </c>
    </row>
    <row r="306" spans="1:187" s="11" customFormat="1" ht="31.5">
      <c r="A306" s="32" t="s">
        <v>282</v>
      </c>
      <c r="B306" s="36">
        <f t="shared" si="67"/>
        <v>10500</v>
      </c>
      <c r="C306" s="36">
        <f t="shared" si="67"/>
        <v>0</v>
      </c>
      <c r="D306" s="36">
        <f t="shared" si="67"/>
        <v>-10500</v>
      </c>
      <c r="E306" s="36"/>
      <c r="F306" s="36"/>
      <c r="G306" s="36">
        <f t="shared" si="58"/>
        <v>0</v>
      </c>
      <c r="H306" s="36"/>
      <c r="I306" s="36"/>
      <c r="J306" s="36">
        <f t="shared" si="59"/>
        <v>0</v>
      </c>
      <c r="K306" s="36"/>
      <c r="L306" s="36"/>
      <c r="M306" s="36">
        <f t="shared" si="60"/>
        <v>0</v>
      </c>
      <c r="N306" s="36"/>
      <c r="O306" s="36"/>
      <c r="P306" s="36">
        <f t="shared" si="61"/>
        <v>0</v>
      </c>
      <c r="Q306" s="36">
        <v>10500</v>
      </c>
      <c r="R306" s="36">
        <f>10500-10500</f>
        <v>0</v>
      </c>
      <c r="S306" s="36">
        <f t="shared" si="62"/>
        <v>-10500</v>
      </c>
      <c r="T306" s="36"/>
      <c r="U306" s="36"/>
      <c r="V306" s="36">
        <f t="shared" si="63"/>
        <v>0</v>
      </c>
      <c r="W306" s="36"/>
      <c r="X306" s="36"/>
      <c r="Y306" s="36">
        <f t="shared" si="64"/>
        <v>0</v>
      </c>
      <c r="Z306" s="36"/>
      <c r="AA306" s="36"/>
      <c r="AB306" s="36">
        <f t="shared" si="65"/>
        <v>0</v>
      </c>
    </row>
    <row r="307" spans="1:187" s="11" customFormat="1" ht="31.5">
      <c r="A307" s="29" t="s">
        <v>103</v>
      </c>
      <c r="B307" s="30">
        <f t="shared" si="67"/>
        <v>185402</v>
      </c>
      <c r="C307" s="30">
        <f t="shared" si="67"/>
        <v>215359</v>
      </c>
      <c r="D307" s="30">
        <f t="shared" si="67"/>
        <v>29957</v>
      </c>
      <c r="E307" s="30">
        <f>SUM(E308:E319)</f>
        <v>32031</v>
      </c>
      <c r="F307" s="30">
        <f>SUM(F308:F319)</f>
        <v>32031</v>
      </c>
      <c r="G307" s="30">
        <f t="shared" si="58"/>
        <v>0</v>
      </c>
      <c r="H307" s="30">
        <f>SUM(H308:H319)</f>
        <v>0</v>
      </c>
      <c r="I307" s="30">
        <f>SUM(I308:I319)</f>
        <v>0</v>
      </c>
      <c r="J307" s="30">
        <f t="shared" si="59"/>
        <v>0</v>
      </c>
      <c r="K307" s="30">
        <f>SUM(K308:K319)</f>
        <v>149579</v>
      </c>
      <c r="L307" s="30">
        <f>SUM(L308:L319)</f>
        <v>179536</v>
      </c>
      <c r="M307" s="30">
        <f t="shared" si="60"/>
        <v>29957</v>
      </c>
      <c r="N307" s="30">
        <f>SUM(N308:N319)</f>
        <v>3792</v>
      </c>
      <c r="O307" s="30">
        <f>SUM(O308:O319)</f>
        <v>3792</v>
      </c>
      <c r="P307" s="30">
        <f t="shared" si="61"/>
        <v>0</v>
      </c>
      <c r="Q307" s="30">
        <f>SUM(Q308:Q319)</f>
        <v>0</v>
      </c>
      <c r="R307" s="30">
        <f>SUM(R308:R319)</f>
        <v>0</v>
      </c>
      <c r="S307" s="30">
        <f t="shared" si="62"/>
        <v>0</v>
      </c>
      <c r="T307" s="30">
        <f>SUM(T308:T319)</f>
        <v>0</v>
      </c>
      <c r="U307" s="30">
        <f>SUM(U308:U319)</f>
        <v>0</v>
      </c>
      <c r="V307" s="30">
        <f t="shared" si="63"/>
        <v>0</v>
      </c>
      <c r="W307" s="30">
        <f>SUM(W308:W319)</f>
        <v>0</v>
      </c>
      <c r="X307" s="30">
        <f>SUM(X308:X319)</f>
        <v>0</v>
      </c>
      <c r="Y307" s="30">
        <f t="shared" si="64"/>
        <v>0</v>
      </c>
      <c r="Z307" s="30">
        <f>SUM(Z308:Z319)</f>
        <v>0</v>
      </c>
      <c r="AA307" s="30">
        <f>SUM(AA308:AA319)</f>
        <v>0</v>
      </c>
      <c r="AB307" s="30">
        <f t="shared" si="65"/>
        <v>0</v>
      </c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28"/>
      <c r="AV307" s="28"/>
      <c r="AW307" s="28"/>
      <c r="AX307" s="28"/>
      <c r="AY307" s="28"/>
      <c r="AZ307" s="28"/>
      <c r="BA307" s="28"/>
      <c r="BB307" s="28"/>
      <c r="BC307" s="28"/>
      <c r="BD307" s="28"/>
      <c r="BE307" s="28"/>
      <c r="BF307" s="28"/>
      <c r="BG307" s="28"/>
      <c r="BH307" s="28"/>
      <c r="BI307" s="28"/>
      <c r="BJ307" s="28"/>
      <c r="BK307" s="28"/>
      <c r="BL307" s="28"/>
      <c r="BM307" s="28"/>
      <c r="BN307" s="28"/>
      <c r="BO307" s="28"/>
      <c r="BP307" s="28"/>
      <c r="BQ307" s="28"/>
      <c r="BR307" s="28"/>
      <c r="BS307" s="28"/>
      <c r="BT307" s="28"/>
      <c r="BU307" s="28"/>
      <c r="BV307" s="28"/>
      <c r="BW307" s="28"/>
      <c r="BX307" s="28"/>
      <c r="BY307" s="28"/>
      <c r="BZ307" s="28"/>
      <c r="CA307" s="28"/>
      <c r="CB307" s="28"/>
      <c r="CC307" s="28"/>
      <c r="CD307" s="28"/>
      <c r="CE307" s="28"/>
      <c r="CF307" s="28"/>
      <c r="CG307" s="28"/>
      <c r="CH307" s="28"/>
      <c r="CI307" s="28"/>
      <c r="CJ307" s="28"/>
      <c r="CK307" s="28"/>
      <c r="CL307" s="28"/>
      <c r="CM307" s="28"/>
      <c r="CN307" s="28"/>
      <c r="CO307" s="28"/>
      <c r="CP307" s="28"/>
      <c r="CQ307" s="28"/>
      <c r="CR307" s="28"/>
      <c r="CS307" s="28"/>
      <c r="CT307" s="28"/>
      <c r="CU307" s="28"/>
      <c r="CV307" s="28"/>
      <c r="CW307" s="28"/>
      <c r="CX307" s="28"/>
      <c r="CY307" s="28"/>
      <c r="CZ307" s="28"/>
      <c r="DA307" s="28"/>
      <c r="DB307" s="28"/>
      <c r="DC307" s="28"/>
      <c r="DD307" s="28"/>
      <c r="DE307" s="28"/>
      <c r="DF307" s="28"/>
      <c r="DG307" s="28"/>
      <c r="DH307" s="28"/>
      <c r="DI307" s="28"/>
      <c r="DJ307" s="28"/>
      <c r="DK307" s="28"/>
      <c r="DL307" s="28"/>
      <c r="DM307" s="28"/>
      <c r="DN307" s="28"/>
      <c r="DO307" s="28"/>
      <c r="DP307" s="28"/>
      <c r="DQ307" s="28"/>
      <c r="DR307" s="28"/>
      <c r="DS307" s="28"/>
      <c r="DT307" s="28"/>
      <c r="DU307" s="28"/>
      <c r="DV307" s="28"/>
      <c r="DW307" s="28"/>
      <c r="DX307" s="28"/>
      <c r="DY307" s="28"/>
      <c r="DZ307" s="28"/>
      <c r="EA307" s="28"/>
      <c r="EB307" s="28"/>
      <c r="EC307" s="28"/>
      <c r="ED307" s="28"/>
      <c r="EE307" s="28"/>
      <c r="EF307" s="28"/>
      <c r="EG307" s="28"/>
      <c r="EH307" s="28"/>
      <c r="EI307" s="28"/>
      <c r="EJ307" s="28"/>
      <c r="EK307" s="28"/>
      <c r="EL307" s="28"/>
      <c r="EM307" s="28"/>
      <c r="EN307" s="28"/>
      <c r="EO307" s="28"/>
      <c r="EP307" s="28"/>
      <c r="EQ307" s="28"/>
      <c r="ER307" s="28"/>
      <c r="ES307" s="28"/>
      <c r="ET307" s="28"/>
      <c r="EU307" s="28"/>
      <c r="EV307" s="28"/>
      <c r="EW307" s="28"/>
      <c r="EX307" s="28"/>
      <c r="EY307" s="28"/>
      <c r="EZ307" s="28"/>
      <c r="FA307" s="28"/>
      <c r="FB307" s="28"/>
      <c r="FC307" s="28"/>
      <c r="FD307" s="28"/>
      <c r="FE307" s="28"/>
      <c r="FF307" s="28"/>
      <c r="FG307" s="28"/>
      <c r="FH307" s="28"/>
      <c r="FI307" s="28"/>
      <c r="FJ307" s="28"/>
      <c r="FK307" s="28"/>
      <c r="FL307" s="28"/>
      <c r="FM307" s="28"/>
      <c r="FN307" s="28"/>
      <c r="FO307" s="28"/>
      <c r="FP307" s="28"/>
      <c r="FQ307" s="28"/>
      <c r="FR307" s="28"/>
      <c r="FS307" s="28"/>
      <c r="FT307" s="28"/>
      <c r="FU307" s="28"/>
      <c r="FV307" s="28"/>
      <c r="FW307" s="28"/>
      <c r="FX307" s="28"/>
      <c r="FY307" s="28"/>
      <c r="FZ307" s="28"/>
      <c r="GA307" s="28"/>
      <c r="GB307" s="28"/>
      <c r="GC307" s="28"/>
      <c r="GD307" s="28"/>
      <c r="GE307" s="28"/>
    </row>
    <row r="308" spans="1:187" s="11" customFormat="1" ht="63">
      <c r="A308" s="40" t="s">
        <v>283</v>
      </c>
      <c r="B308" s="36">
        <f t="shared" si="67"/>
        <v>1440</v>
      </c>
      <c r="C308" s="36">
        <f t="shared" si="67"/>
        <v>1440</v>
      </c>
      <c r="D308" s="36">
        <f t="shared" si="67"/>
        <v>0</v>
      </c>
      <c r="E308" s="36"/>
      <c r="F308" s="36"/>
      <c r="G308" s="36">
        <f t="shared" si="58"/>
        <v>0</v>
      </c>
      <c r="H308" s="36"/>
      <c r="I308" s="36"/>
      <c r="J308" s="36">
        <f t="shared" si="59"/>
        <v>0</v>
      </c>
      <c r="K308" s="36">
        <v>0</v>
      </c>
      <c r="L308" s="36">
        <v>0</v>
      </c>
      <c r="M308" s="36">
        <f t="shared" si="60"/>
        <v>0</v>
      </c>
      <c r="N308" s="36">
        <v>1440</v>
      </c>
      <c r="O308" s="36">
        <v>1440</v>
      </c>
      <c r="P308" s="36">
        <f t="shared" si="61"/>
        <v>0</v>
      </c>
      <c r="Q308" s="36"/>
      <c r="R308" s="36"/>
      <c r="S308" s="36">
        <f t="shared" si="62"/>
        <v>0</v>
      </c>
      <c r="T308" s="36"/>
      <c r="U308" s="36"/>
      <c r="V308" s="36">
        <f t="shared" si="63"/>
        <v>0</v>
      </c>
      <c r="W308" s="36"/>
      <c r="X308" s="36"/>
      <c r="Y308" s="36">
        <f t="shared" si="64"/>
        <v>0</v>
      </c>
      <c r="Z308" s="36"/>
      <c r="AA308" s="36"/>
      <c r="AB308" s="36">
        <f t="shared" si="65"/>
        <v>0</v>
      </c>
    </row>
    <row r="309" spans="1:187" s="11" customFormat="1" ht="78.75">
      <c r="A309" s="40" t="s">
        <v>284</v>
      </c>
      <c r="B309" s="36">
        <f t="shared" si="67"/>
        <v>2352</v>
      </c>
      <c r="C309" s="36">
        <f t="shared" si="67"/>
        <v>2352</v>
      </c>
      <c r="D309" s="36">
        <f t="shared" si="67"/>
        <v>0</v>
      </c>
      <c r="E309" s="36">
        <v>0</v>
      </c>
      <c r="F309" s="36">
        <v>0</v>
      </c>
      <c r="G309" s="36">
        <f t="shared" si="58"/>
        <v>0</v>
      </c>
      <c r="H309" s="36">
        <v>0</v>
      </c>
      <c r="I309" s="36">
        <v>0</v>
      </c>
      <c r="J309" s="36">
        <f t="shared" si="59"/>
        <v>0</v>
      </c>
      <c r="K309" s="36">
        <v>0</v>
      </c>
      <c r="L309" s="36">
        <v>0</v>
      </c>
      <c r="M309" s="36">
        <f t="shared" si="60"/>
        <v>0</v>
      </c>
      <c r="N309" s="36">
        <v>2352</v>
      </c>
      <c r="O309" s="36">
        <v>2352</v>
      </c>
      <c r="P309" s="36">
        <f t="shared" si="61"/>
        <v>0</v>
      </c>
      <c r="Q309" s="36"/>
      <c r="R309" s="36"/>
      <c r="S309" s="36">
        <f t="shared" si="62"/>
        <v>0</v>
      </c>
      <c r="T309" s="36"/>
      <c r="U309" s="36"/>
      <c r="V309" s="36">
        <f t="shared" si="63"/>
        <v>0</v>
      </c>
      <c r="W309" s="36"/>
      <c r="X309" s="36"/>
      <c r="Y309" s="36">
        <f t="shared" si="64"/>
        <v>0</v>
      </c>
      <c r="Z309" s="36"/>
      <c r="AA309" s="36"/>
      <c r="AB309" s="36">
        <f t="shared" si="65"/>
        <v>0</v>
      </c>
    </row>
    <row r="310" spans="1:187" s="11" customFormat="1" ht="31.5">
      <c r="A310" s="35" t="s">
        <v>285</v>
      </c>
      <c r="B310" s="36">
        <f t="shared" si="67"/>
        <v>2600</v>
      </c>
      <c r="C310" s="36">
        <f t="shared" si="67"/>
        <v>2600</v>
      </c>
      <c r="D310" s="36">
        <f t="shared" si="67"/>
        <v>0</v>
      </c>
      <c r="E310" s="36"/>
      <c r="F310" s="36"/>
      <c r="G310" s="36">
        <f t="shared" si="58"/>
        <v>0</v>
      </c>
      <c r="H310" s="36"/>
      <c r="I310" s="36"/>
      <c r="J310" s="36">
        <f t="shared" si="59"/>
        <v>0</v>
      </c>
      <c r="K310" s="36">
        <v>2600</v>
      </c>
      <c r="L310" s="36">
        <v>2600</v>
      </c>
      <c r="M310" s="36">
        <f t="shared" si="60"/>
        <v>0</v>
      </c>
      <c r="N310" s="36">
        <v>0</v>
      </c>
      <c r="O310" s="36">
        <v>0</v>
      </c>
      <c r="P310" s="36">
        <f t="shared" si="61"/>
        <v>0</v>
      </c>
      <c r="Q310" s="36"/>
      <c r="R310" s="36"/>
      <c r="S310" s="36">
        <f t="shared" si="62"/>
        <v>0</v>
      </c>
      <c r="T310" s="36"/>
      <c r="U310" s="36"/>
      <c r="V310" s="36">
        <f t="shared" si="63"/>
        <v>0</v>
      </c>
      <c r="W310" s="36"/>
      <c r="X310" s="36"/>
      <c r="Y310" s="36">
        <f t="shared" si="64"/>
        <v>0</v>
      </c>
      <c r="Z310" s="36"/>
      <c r="AA310" s="36"/>
      <c r="AB310" s="36">
        <f t="shared" si="65"/>
        <v>0</v>
      </c>
    </row>
    <row r="311" spans="1:187" s="11" customFormat="1" ht="31.5">
      <c r="A311" s="35" t="s">
        <v>286</v>
      </c>
      <c r="B311" s="36">
        <f t="shared" si="67"/>
        <v>1596</v>
      </c>
      <c r="C311" s="36">
        <f t="shared" si="67"/>
        <v>1596</v>
      </c>
      <c r="D311" s="36">
        <f t="shared" si="67"/>
        <v>0</v>
      </c>
      <c r="E311" s="36"/>
      <c r="F311" s="36"/>
      <c r="G311" s="36">
        <f t="shared" si="58"/>
        <v>0</v>
      </c>
      <c r="H311" s="36"/>
      <c r="I311" s="36"/>
      <c r="J311" s="36">
        <f t="shared" si="59"/>
        <v>0</v>
      </c>
      <c r="K311" s="36">
        <v>1596</v>
      </c>
      <c r="L311" s="36">
        <v>1596</v>
      </c>
      <c r="M311" s="36">
        <f t="shared" si="60"/>
        <v>0</v>
      </c>
      <c r="N311" s="36">
        <v>0</v>
      </c>
      <c r="O311" s="36">
        <v>0</v>
      </c>
      <c r="P311" s="36">
        <f t="shared" si="61"/>
        <v>0</v>
      </c>
      <c r="Q311" s="36"/>
      <c r="R311" s="36"/>
      <c r="S311" s="36">
        <f t="shared" si="62"/>
        <v>0</v>
      </c>
      <c r="T311" s="36"/>
      <c r="U311" s="36"/>
      <c r="V311" s="36">
        <f t="shared" si="63"/>
        <v>0</v>
      </c>
      <c r="W311" s="36"/>
      <c r="X311" s="36"/>
      <c r="Y311" s="36">
        <f t="shared" si="64"/>
        <v>0</v>
      </c>
      <c r="Z311" s="36"/>
      <c r="AA311" s="36"/>
      <c r="AB311" s="36">
        <f t="shared" si="65"/>
        <v>0</v>
      </c>
    </row>
    <row r="312" spans="1:187" s="11" customFormat="1" ht="31.5">
      <c r="A312" s="35" t="s">
        <v>287</v>
      </c>
      <c r="B312" s="36">
        <f t="shared" si="67"/>
        <v>35890</v>
      </c>
      <c r="C312" s="36">
        <f t="shared" si="67"/>
        <v>35890</v>
      </c>
      <c r="D312" s="36">
        <f t="shared" si="67"/>
        <v>0</v>
      </c>
      <c r="E312" s="36">
        <f>32031</f>
        <v>32031</v>
      </c>
      <c r="F312" s="36">
        <f>32031</f>
        <v>32031</v>
      </c>
      <c r="G312" s="36">
        <f t="shared" si="58"/>
        <v>0</v>
      </c>
      <c r="H312" s="36"/>
      <c r="I312" s="36"/>
      <c r="J312" s="36">
        <f t="shared" si="59"/>
        <v>0</v>
      </c>
      <c r="K312" s="36">
        <f>36600-710-32031</f>
        <v>3859</v>
      </c>
      <c r="L312" s="36">
        <f>36600-710-32031</f>
        <v>3859</v>
      </c>
      <c r="M312" s="36">
        <f t="shared" si="60"/>
        <v>0</v>
      </c>
      <c r="N312" s="36">
        <v>0</v>
      </c>
      <c r="O312" s="36">
        <v>0</v>
      </c>
      <c r="P312" s="36">
        <f t="shared" si="61"/>
        <v>0</v>
      </c>
      <c r="Q312" s="36"/>
      <c r="R312" s="36"/>
      <c r="S312" s="36">
        <f t="shared" si="62"/>
        <v>0</v>
      </c>
      <c r="T312" s="36"/>
      <c r="U312" s="36"/>
      <c r="V312" s="36">
        <f t="shared" si="63"/>
        <v>0</v>
      </c>
      <c r="W312" s="36"/>
      <c r="X312" s="36"/>
      <c r="Y312" s="36">
        <f t="shared" si="64"/>
        <v>0</v>
      </c>
      <c r="Z312" s="36"/>
      <c r="AA312" s="36"/>
      <c r="AB312" s="36">
        <f t="shared" si="65"/>
        <v>0</v>
      </c>
    </row>
    <row r="313" spans="1:187" s="11" customFormat="1">
      <c r="A313" s="35" t="s">
        <v>288</v>
      </c>
      <c r="B313" s="36">
        <f t="shared" si="67"/>
        <v>4944</v>
      </c>
      <c r="C313" s="36">
        <f t="shared" si="67"/>
        <v>4944</v>
      </c>
      <c r="D313" s="36">
        <f t="shared" si="67"/>
        <v>0</v>
      </c>
      <c r="E313" s="36"/>
      <c r="F313" s="36"/>
      <c r="G313" s="36">
        <f t="shared" si="58"/>
        <v>0</v>
      </c>
      <c r="H313" s="36"/>
      <c r="I313" s="36"/>
      <c r="J313" s="36">
        <f t="shared" si="59"/>
        <v>0</v>
      </c>
      <c r="K313" s="36">
        <f>5304-360</f>
        <v>4944</v>
      </c>
      <c r="L313" s="36">
        <f>5304-360</f>
        <v>4944</v>
      </c>
      <c r="M313" s="36">
        <f t="shared" si="60"/>
        <v>0</v>
      </c>
      <c r="N313" s="36">
        <v>0</v>
      </c>
      <c r="O313" s="36">
        <v>0</v>
      </c>
      <c r="P313" s="36">
        <f t="shared" si="61"/>
        <v>0</v>
      </c>
      <c r="Q313" s="36"/>
      <c r="R313" s="36"/>
      <c r="S313" s="36">
        <f t="shared" si="62"/>
        <v>0</v>
      </c>
      <c r="T313" s="36"/>
      <c r="U313" s="36"/>
      <c r="V313" s="36">
        <f t="shared" si="63"/>
        <v>0</v>
      </c>
      <c r="W313" s="36"/>
      <c r="X313" s="36"/>
      <c r="Y313" s="36">
        <f t="shared" si="64"/>
        <v>0</v>
      </c>
      <c r="Z313" s="36"/>
      <c r="AA313" s="36"/>
      <c r="AB313" s="36">
        <f t="shared" si="65"/>
        <v>0</v>
      </c>
    </row>
    <row r="314" spans="1:187" s="11" customFormat="1" ht="31.5">
      <c r="A314" s="35" t="s">
        <v>289</v>
      </c>
      <c r="B314" s="36">
        <f t="shared" si="67"/>
        <v>6000</v>
      </c>
      <c r="C314" s="36">
        <f t="shared" si="67"/>
        <v>6000</v>
      </c>
      <c r="D314" s="36">
        <f t="shared" si="67"/>
        <v>0</v>
      </c>
      <c r="E314" s="36"/>
      <c r="F314" s="36"/>
      <c r="G314" s="36">
        <f t="shared" si="58"/>
        <v>0</v>
      </c>
      <c r="H314" s="36"/>
      <c r="I314" s="36"/>
      <c r="J314" s="36">
        <f t="shared" si="59"/>
        <v>0</v>
      </c>
      <c r="K314" s="36">
        <v>6000</v>
      </c>
      <c r="L314" s="36">
        <v>6000</v>
      </c>
      <c r="M314" s="36">
        <f t="shared" si="60"/>
        <v>0</v>
      </c>
      <c r="N314" s="36">
        <v>0</v>
      </c>
      <c r="O314" s="36">
        <v>0</v>
      </c>
      <c r="P314" s="36">
        <f t="shared" si="61"/>
        <v>0</v>
      </c>
      <c r="Q314" s="36"/>
      <c r="R314" s="36"/>
      <c r="S314" s="36">
        <f t="shared" si="62"/>
        <v>0</v>
      </c>
      <c r="T314" s="36"/>
      <c r="U314" s="36"/>
      <c r="V314" s="36">
        <f t="shared" si="63"/>
        <v>0</v>
      </c>
      <c r="W314" s="36"/>
      <c r="X314" s="36"/>
      <c r="Y314" s="36">
        <f t="shared" si="64"/>
        <v>0</v>
      </c>
      <c r="Z314" s="36"/>
      <c r="AA314" s="36"/>
      <c r="AB314" s="36">
        <f t="shared" si="65"/>
        <v>0</v>
      </c>
    </row>
    <row r="315" spans="1:187" s="11" customFormat="1">
      <c r="A315" s="35" t="s">
        <v>290</v>
      </c>
      <c r="B315" s="36">
        <f t="shared" si="67"/>
        <v>0</v>
      </c>
      <c r="C315" s="36">
        <f t="shared" si="67"/>
        <v>30295</v>
      </c>
      <c r="D315" s="36">
        <f t="shared" si="67"/>
        <v>30295</v>
      </c>
      <c r="E315" s="36"/>
      <c r="F315" s="36"/>
      <c r="G315" s="36">
        <f t="shared" si="58"/>
        <v>0</v>
      </c>
      <c r="H315" s="36"/>
      <c r="I315" s="36"/>
      <c r="J315" s="36">
        <f t="shared" si="59"/>
        <v>0</v>
      </c>
      <c r="K315" s="36"/>
      <c r="L315" s="36">
        <v>30295</v>
      </c>
      <c r="M315" s="36">
        <f t="shared" si="60"/>
        <v>30295</v>
      </c>
      <c r="N315" s="36"/>
      <c r="O315" s="36"/>
      <c r="P315" s="36">
        <f t="shared" si="61"/>
        <v>0</v>
      </c>
      <c r="Q315" s="36"/>
      <c r="R315" s="36"/>
      <c r="S315" s="36">
        <f t="shared" si="62"/>
        <v>0</v>
      </c>
      <c r="T315" s="36"/>
      <c r="U315" s="36"/>
      <c r="V315" s="36">
        <f t="shared" si="63"/>
        <v>0</v>
      </c>
      <c r="W315" s="36"/>
      <c r="X315" s="36"/>
      <c r="Y315" s="36">
        <f t="shared" si="64"/>
        <v>0</v>
      </c>
      <c r="Z315" s="36"/>
      <c r="AA315" s="36"/>
      <c r="AB315" s="36">
        <f t="shared" si="65"/>
        <v>0</v>
      </c>
    </row>
    <row r="316" spans="1:187" s="11" customFormat="1">
      <c r="A316" s="35" t="s">
        <v>291</v>
      </c>
      <c r="B316" s="36">
        <f t="shared" si="67"/>
        <v>25999</v>
      </c>
      <c r="C316" s="36">
        <f t="shared" si="67"/>
        <v>25999</v>
      </c>
      <c r="D316" s="36">
        <f t="shared" si="67"/>
        <v>0</v>
      </c>
      <c r="E316" s="36"/>
      <c r="F316" s="36"/>
      <c r="G316" s="36">
        <f t="shared" si="58"/>
        <v>0</v>
      </c>
      <c r="H316" s="36"/>
      <c r="I316" s="36"/>
      <c r="J316" s="36">
        <f t="shared" si="59"/>
        <v>0</v>
      </c>
      <c r="K316" s="36">
        <v>25999</v>
      </c>
      <c r="L316" s="36">
        <v>25999</v>
      </c>
      <c r="M316" s="36">
        <f t="shared" si="60"/>
        <v>0</v>
      </c>
      <c r="N316" s="36">
        <v>0</v>
      </c>
      <c r="O316" s="36">
        <v>0</v>
      </c>
      <c r="P316" s="36">
        <f t="shared" si="61"/>
        <v>0</v>
      </c>
      <c r="Q316" s="36"/>
      <c r="R316" s="36"/>
      <c r="S316" s="36">
        <f t="shared" si="62"/>
        <v>0</v>
      </c>
      <c r="T316" s="36"/>
      <c r="U316" s="36"/>
      <c r="V316" s="36">
        <f t="shared" si="63"/>
        <v>0</v>
      </c>
      <c r="W316" s="36"/>
      <c r="X316" s="36"/>
      <c r="Y316" s="36">
        <f t="shared" si="64"/>
        <v>0</v>
      </c>
      <c r="Z316" s="36"/>
      <c r="AA316" s="36"/>
      <c r="AB316" s="36">
        <f t="shared" si="65"/>
        <v>0</v>
      </c>
    </row>
    <row r="317" spans="1:187" s="11" customFormat="1">
      <c r="A317" s="35" t="s">
        <v>292</v>
      </c>
      <c r="B317" s="36">
        <f t="shared" si="67"/>
        <v>9501</v>
      </c>
      <c r="C317" s="36">
        <f t="shared" si="67"/>
        <v>9501</v>
      </c>
      <c r="D317" s="36">
        <f t="shared" si="67"/>
        <v>0</v>
      </c>
      <c r="E317" s="36"/>
      <c r="F317" s="36"/>
      <c r="G317" s="36">
        <f t="shared" si="58"/>
        <v>0</v>
      </c>
      <c r="H317" s="36"/>
      <c r="I317" s="36"/>
      <c r="J317" s="36">
        <f t="shared" si="59"/>
        <v>0</v>
      </c>
      <c r="K317" s="36">
        <v>9501</v>
      </c>
      <c r="L317" s="36">
        <v>9501</v>
      </c>
      <c r="M317" s="36">
        <f t="shared" si="60"/>
        <v>0</v>
      </c>
      <c r="N317" s="36">
        <v>0</v>
      </c>
      <c r="O317" s="36">
        <v>0</v>
      </c>
      <c r="P317" s="36">
        <f t="shared" si="61"/>
        <v>0</v>
      </c>
      <c r="Q317" s="36"/>
      <c r="R317" s="36"/>
      <c r="S317" s="36">
        <f t="shared" si="62"/>
        <v>0</v>
      </c>
      <c r="T317" s="36"/>
      <c r="U317" s="36"/>
      <c r="V317" s="36">
        <f t="shared" si="63"/>
        <v>0</v>
      </c>
      <c r="W317" s="36"/>
      <c r="X317" s="36"/>
      <c r="Y317" s="36">
        <f t="shared" si="64"/>
        <v>0</v>
      </c>
      <c r="Z317" s="36"/>
      <c r="AA317" s="36"/>
      <c r="AB317" s="36">
        <f t="shared" si="65"/>
        <v>0</v>
      </c>
    </row>
    <row r="318" spans="1:187" s="11" customFormat="1">
      <c r="A318" s="35" t="s">
        <v>293</v>
      </c>
      <c r="B318" s="36">
        <f t="shared" si="67"/>
        <v>89880</v>
      </c>
      <c r="C318" s="36">
        <f t="shared" si="67"/>
        <v>89880</v>
      </c>
      <c r="D318" s="36">
        <f t="shared" si="67"/>
        <v>0</v>
      </c>
      <c r="E318" s="36"/>
      <c r="F318" s="36"/>
      <c r="G318" s="36">
        <f t="shared" si="58"/>
        <v>0</v>
      </c>
      <c r="H318" s="36"/>
      <c r="I318" s="36"/>
      <c r="J318" s="36">
        <f t="shared" si="59"/>
        <v>0</v>
      </c>
      <c r="K318" s="36">
        <v>89880</v>
      </c>
      <c r="L318" s="36">
        <v>89880</v>
      </c>
      <c r="M318" s="36">
        <f t="shared" si="60"/>
        <v>0</v>
      </c>
      <c r="N318" s="36">
        <v>0</v>
      </c>
      <c r="O318" s="36">
        <v>0</v>
      </c>
      <c r="P318" s="36">
        <f t="shared" si="61"/>
        <v>0</v>
      </c>
      <c r="Q318" s="36"/>
      <c r="R318" s="36"/>
      <c r="S318" s="36">
        <f t="shared" si="62"/>
        <v>0</v>
      </c>
      <c r="T318" s="36"/>
      <c r="U318" s="36"/>
      <c r="V318" s="36">
        <f t="shared" si="63"/>
        <v>0</v>
      </c>
      <c r="W318" s="36"/>
      <c r="X318" s="36"/>
      <c r="Y318" s="36">
        <f t="shared" si="64"/>
        <v>0</v>
      </c>
      <c r="Z318" s="36"/>
      <c r="AA318" s="36"/>
      <c r="AB318" s="36">
        <f t="shared" si="65"/>
        <v>0</v>
      </c>
    </row>
    <row r="319" spans="1:187" s="11" customFormat="1">
      <c r="A319" s="35" t="s">
        <v>294</v>
      </c>
      <c r="B319" s="36">
        <f t="shared" si="67"/>
        <v>5200</v>
      </c>
      <c r="C319" s="36">
        <f t="shared" si="67"/>
        <v>4862</v>
      </c>
      <c r="D319" s="36">
        <f t="shared" si="67"/>
        <v>-338</v>
      </c>
      <c r="E319" s="36"/>
      <c r="F319" s="36"/>
      <c r="G319" s="36">
        <f t="shared" si="58"/>
        <v>0</v>
      </c>
      <c r="H319" s="36"/>
      <c r="I319" s="36"/>
      <c r="J319" s="36">
        <f t="shared" si="59"/>
        <v>0</v>
      </c>
      <c r="K319" s="36">
        <f>3000+2200</f>
        <v>5200</v>
      </c>
      <c r="L319" s="36">
        <f>3000+2200-338</f>
        <v>4862</v>
      </c>
      <c r="M319" s="36">
        <f t="shared" si="60"/>
        <v>-338</v>
      </c>
      <c r="N319" s="36">
        <v>0</v>
      </c>
      <c r="O319" s="36">
        <v>0</v>
      </c>
      <c r="P319" s="36">
        <f t="shared" si="61"/>
        <v>0</v>
      </c>
      <c r="Q319" s="36"/>
      <c r="R319" s="36"/>
      <c r="S319" s="36">
        <f t="shared" si="62"/>
        <v>0</v>
      </c>
      <c r="T319" s="36"/>
      <c r="U319" s="36"/>
      <c r="V319" s="36">
        <f t="shared" si="63"/>
        <v>0</v>
      </c>
      <c r="W319" s="36"/>
      <c r="X319" s="36"/>
      <c r="Y319" s="36">
        <f t="shared" si="64"/>
        <v>0</v>
      </c>
      <c r="Z319" s="36"/>
      <c r="AA319" s="36"/>
      <c r="AB319" s="36">
        <f t="shared" si="65"/>
        <v>0</v>
      </c>
    </row>
    <row r="320" spans="1:187" s="11" customFormat="1">
      <c r="A320" s="29" t="s">
        <v>166</v>
      </c>
      <c r="B320" s="30">
        <f t="shared" si="67"/>
        <v>547814</v>
      </c>
      <c r="C320" s="30">
        <f t="shared" si="67"/>
        <v>545814</v>
      </c>
      <c r="D320" s="30">
        <f t="shared" si="67"/>
        <v>-2000</v>
      </c>
      <c r="E320" s="30">
        <f>SUM(E321:E323)</f>
        <v>0</v>
      </c>
      <c r="F320" s="30">
        <f>SUM(F321:F323)</f>
        <v>0</v>
      </c>
      <c r="G320" s="30">
        <f t="shared" si="58"/>
        <v>0</v>
      </c>
      <c r="H320" s="30">
        <f>SUM(H321:H323)</f>
        <v>0</v>
      </c>
      <c r="I320" s="30">
        <f>SUM(I321:I323)</f>
        <v>0</v>
      </c>
      <c r="J320" s="30">
        <f t="shared" si="59"/>
        <v>0</v>
      </c>
      <c r="K320" s="30">
        <f>SUM(K321:K323)</f>
        <v>1621</v>
      </c>
      <c r="L320" s="30">
        <f>SUM(L321:L323)</f>
        <v>1621</v>
      </c>
      <c r="M320" s="30">
        <f t="shared" si="60"/>
        <v>0</v>
      </c>
      <c r="N320" s="30">
        <f>SUM(N321:N323)</f>
        <v>544193</v>
      </c>
      <c r="O320" s="30">
        <f>SUM(O321:O323)</f>
        <v>544193</v>
      </c>
      <c r="P320" s="30">
        <f t="shared" si="61"/>
        <v>0</v>
      </c>
      <c r="Q320" s="30">
        <f>SUM(Q321:Q323)</f>
        <v>2000</v>
      </c>
      <c r="R320" s="30">
        <f>SUM(R321:R323)</f>
        <v>0</v>
      </c>
      <c r="S320" s="30">
        <f t="shared" si="62"/>
        <v>-2000</v>
      </c>
      <c r="T320" s="30">
        <f>SUM(T321:T323)</f>
        <v>0</v>
      </c>
      <c r="U320" s="30">
        <f>SUM(U321:U323)</f>
        <v>0</v>
      </c>
      <c r="V320" s="30">
        <f t="shared" si="63"/>
        <v>0</v>
      </c>
      <c r="W320" s="30">
        <f>SUM(W321:W323)</f>
        <v>0</v>
      </c>
      <c r="X320" s="30">
        <f>SUM(X321:X323)</f>
        <v>0</v>
      </c>
      <c r="Y320" s="30">
        <f t="shared" si="64"/>
        <v>0</v>
      </c>
      <c r="Z320" s="30">
        <f>SUM(Z321:Z323)</f>
        <v>0</v>
      </c>
      <c r="AA320" s="30">
        <f>SUM(AA321:AA323)</f>
        <v>0</v>
      </c>
      <c r="AB320" s="30">
        <f t="shared" si="65"/>
        <v>0</v>
      </c>
      <c r="AC320" s="28"/>
      <c r="AD320" s="28"/>
      <c r="AE320" s="28"/>
      <c r="AF320" s="28"/>
      <c r="AG320" s="28"/>
      <c r="AH320" s="28"/>
      <c r="AI320" s="28"/>
      <c r="AJ320" s="28"/>
      <c r="AK320" s="28"/>
      <c r="AL320" s="28"/>
      <c r="AM320" s="28"/>
      <c r="AN320" s="28"/>
      <c r="AO320" s="28"/>
      <c r="AP320" s="28"/>
      <c r="AQ320" s="28"/>
      <c r="AR320" s="28"/>
      <c r="AS320" s="28"/>
      <c r="AT320" s="28"/>
      <c r="AU320" s="28"/>
      <c r="AV320" s="28"/>
      <c r="AW320" s="28"/>
      <c r="AX320" s="28"/>
      <c r="AY320" s="28"/>
      <c r="AZ320" s="28"/>
      <c r="BA320" s="28"/>
      <c r="BB320" s="28"/>
      <c r="BC320" s="28"/>
      <c r="BD320" s="28"/>
      <c r="BE320" s="28"/>
      <c r="BF320" s="28"/>
      <c r="BG320" s="28"/>
      <c r="BH320" s="28"/>
      <c r="BI320" s="28"/>
      <c r="BJ320" s="28"/>
      <c r="BK320" s="28"/>
      <c r="BL320" s="28"/>
      <c r="BM320" s="28"/>
      <c r="BN320" s="28"/>
      <c r="BO320" s="28"/>
      <c r="BP320" s="28"/>
      <c r="BQ320" s="28"/>
      <c r="BR320" s="28"/>
      <c r="BS320" s="28"/>
      <c r="BT320" s="28"/>
      <c r="BU320" s="28"/>
      <c r="BV320" s="28"/>
      <c r="BW320" s="28"/>
      <c r="BX320" s="28"/>
      <c r="BY320" s="28"/>
      <c r="BZ320" s="28"/>
      <c r="CA320" s="28"/>
      <c r="CB320" s="28"/>
      <c r="CC320" s="28"/>
      <c r="CD320" s="28"/>
      <c r="CE320" s="28"/>
      <c r="CF320" s="28"/>
      <c r="CG320" s="28"/>
      <c r="CH320" s="28"/>
      <c r="CI320" s="28"/>
      <c r="CJ320" s="28"/>
      <c r="CK320" s="28"/>
      <c r="CL320" s="28"/>
      <c r="CM320" s="28"/>
      <c r="CN320" s="28"/>
      <c r="CO320" s="28"/>
      <c r="CP320" s="28"/>
      <c r="CQ320" s="28"/>
      <c r="CR320" s="28"/>
      <c r="CS320" s="28"/>
      <c r="CT320" s="28"/>
      <c r="CU320" s="28"/>
      <c r="CV320" s="28"/>
      <c r="CW320" s="28"/>
      <c r="CX320" s="28"/>
      <c r="CY320" s="28"/>
      <c r="CZ320" s="28"/>
      <c r="DA320" s="28"/>
      <c r="DB320" s="28"/>
      <c r="DC320" s="28"/>
      <c r="DD320" s="28"/>
      <c r="DE320" s="28"/>
      <c r="DF320" s="28"/>
      <c r="DG320" s="28"/>
      <c r="DH320" s="28"/>
      <c r="DI320" s="28"/>
      <c r="DJ320" s="28"/>
      <c r="DK320" s="28"/>
      <c r="DL320" s="28"/>
      <c r="DM320" s="28"/>
      <c r="DN320" s="28"/>
      <c r="DO320" s="28"/>
      <c r="DP320" s="28"/>
      <c r="DQ320" s="28"/>
      <c r="DR320" s="28"/>
      <c r="DS320" s="28"/>
      <c r="DT320" s="28"/>
      <c r="DU320" s="28"/>
      <c r="DV320" s="28"/>
      <c r="DW320" s="28"/>
      <c r="DX320" s="28"/>
      <c r="DY320" s="28"/>
      <c r="DZ320" s="28"/>
      <c r="EA320" s="28"/>
      <c r="EB320" s="28"/>
      <c r="EC320" s="28"/>
      <c r="ED320" s="28"/>
      <c r="EE320" s="28"/>
      <c r="EF320" s="28"/>
      <c r="EG320" s="28"/>
      <c r="EH320" s="28"/>
      <c r="EI320" s="28"/>
      <c r="EJ320" s="28"/>
      <c r="EK320" s="28"/>
      <c r="EL320" s="28"/>
      <c r="EM320" s="28"/>
      <c r="EN320" s="28"/>
      <c r="EO320" s="28"/>
      <c r="EP320" s="28"/>
      <c r="EQ320" s="28"/>
      <c r="ER320" s="28"/>
      <c r="ES320" s="28"/>
      <c r="ET320" s="28"/>
      <c r="EU320" s="28"/>
      <c r="EV320" s="28"/>
      <c r="EW320" s="28"/>
      <c r="EX320" s="28"/>
      <c r="EY320" s="28"/>
      <c r="EZ320" s="28"/>
      <c r="FA320" s="28"/>
      <c r="FB320" s="28"/>
      <c r="FC320" s="28"/>
      <c r="FD320" s="28"/>
      <c r="FE320" s="28"/>
      <c r="FF320" s="28"/>
      <c r="FG320" s="28"/>
      <c r="FH320" s="28"/>
      <c r="FI320" s="28"/>
      <c r="FJ320" s="28"/>
      <c r="FK320" s="28"/>
      <c r="FL320" s="28"/>
      <c r="FM320" s="28"/>
      <c r="FN320" s="28"/>
      <c r="FO320" s="28"/>
      <c r="FP320" s="28"/>
      <c r="FQ320" s="28"/>
      <c r="FR320" s="28"/>
      <c r="FS320" s="28"/>
      <c r="FT320" s="28"/>
      <c r="FU320" s="28"/>
      <c r="FV320" s="28"/>
      <c r="FW320" s="28"/>
      <c r="FX320" s="28"/>
      <c r="FY320" s="28"/>
      <c r="FZ320" s="28"/>
      <c r="GA320" s="28"/>
      <c r="GB320" s="28"/>
      <c r="GC320" s="28"/>
      <c r="GD320" s="28"/>
      <c r="GE320" s="28"/>
    </row>
    <row r="321" spans="1:187" s="11" customFormat="1" ht="78.75">
      <c r="A321" s="35" t="s">
        <v>295</v>
      </c>
      <c r="B321" s="36">
        <f t="shared" si="67"/>
        <v>544193</v>
      </c>
      <c r="C321" s="36">
        <f t="shared" si="67"/>
        <v>544193</v>
      </c>
      <c r="D321" s="36">
        <f t="shared" si="67"/>
        <v>0</v>
      </c>
      <c r="E321" s="36"/>
      <c r="F321" s="36"/>
      <c r="G321" s="36">
        <f t="shared" si="58"/>
        <v>0</v>
      </c>
      <c r="H321" s="36"/>
      <c r="I321" s="36"/>
      <c r="J321" s="36">
        <f t="shared" si="59"/>
        <v>0</v>
      </c>
      <c r="K321" s="36"/>
      <c r="L321" s="36"/>
      <c r="M321" s="36">
        <f t="shared" si="60"/>
        <v>0</v>
      </c>
      <c r="N321" s="36">
        <f>551745-7552</f>
        <v>544193</v>
      </c>
      <c r="O321" s="36">
        <f>551745-7552</f>
        <v>544193</v>
      </c>
      <c r="P321" s="36">
        <f t="shared" si="61"/>
        <v>0</v>
      </c>
      <c r="Q321" s="36"/>
      <c r="R321" s="36"/>
      <c r="S321" s="36">
        <f t="shared" si="62"/>
        <v>0</v>
      </c>
      <c r="T321" s="36"/>
      <c r="U321" s="36"/>
      <c r="V321" s="36">
        <f t="shared" si="63"/>
        <v>0</v>
      </c>
      <c r="W321" s="36"/>
      <c r="X321" s="36"/>
      <c r="Y321" s="36">
        <f t="shared" si="64"/>
        <v>0</v>
      </c>
      <c r="Z321" s="36"/>
      <c r="AA321" s="36"/>
      <c r="AB321" s="36">
        <f t="shared" si="65"/>
        <v>0</v>
      </c>
    </row>
    <row r="322" spans="1:187" s="11" customFormat="1" ht="31.5">
      <c r="A322" s="32" t="s">
        <v>296</v>
      </c>
      <c r="B322" s="36">
        <f t="shared" si="67"/>
        <v>1621</v>
      </c>
      <c r="C322" s="36">
        <f t="shared" si="67"/>
        <v>1621</v>
      </c>
      <c r="D322" s="36">
        <f t="shared" si="67"/>
        <v>0</v>
      </c>
      <c r="E322" s="36"/>
      <c r="F322" s="36"/>
      <c r="G322" s="36">
        <f t="shared" si="58"/>
        <v>0</v>
      </c>
      <c r="H322" s="36"/>
      <c r="I322" s="36"/>
      <c r="J322" s="36">
        <f t="shared" si="59"/>
        <v>0</v>
      </c>
      <c r="K322" s="36">
        <v>1621</v>
      </c>
      <c r="L322" s="36">
        <v>1621</v>
      </c>
      <c r="M322" s="36">
        <f t="shared" si="60"/>
        <v>0</v>
      </c>
      <c r="N322" s="36"/>
      <c r="O322" s="36"/>
      <c r="P322" s="36">
        <f t="shared" si="61"/>
        <v>0</v>
      </c>
      <c r="Q322" s="36">
        <v>0</v>
      </c>
      <c r="R322" s="36">
        <v>0</v>
      </c>
      <c r="S322" s="36">
        <f t="shared" si="62"/>
        <v>0</v>
      </c>
      <c r="T322" s="36"/>
      <c r="U322" s="36"/>
      <c r="V322" s="36">
        <f t="shared" si="63"/>
        <v>0</v>
      </c>
      <c r="W322" s="36"/>
      <c r="X322" s="36"/>
      <c r="Y322" s="36">
        <f t="shared" si="64"/>
        <v>0</v>
      </c>
      <c r="Z322" s="36"/>
      <c r="AA322" s="36"/>
      <c r="AB322" s="36">
        <f t="shared" si="65"/>
        <v>0</v>
      </c>
    </row>
    <row r="323" spans="1:187" s="11" customFormat="1" ht="31.5">
      <c r="A323" s="40" t="s">
        <v>297</v>
      </c>
      <c r="B323" s="36">
        <f t="shared" si="67"/>
        <v>2000</v>
      </c>
      <c r="C323" s="36">
        <f t="shared" si="67"/>
        <v>0</v>
      </c>
      <c r="D323" s="36">
        <f t="shared" si="67"/>
        <v>-2000</v>
      </c>
      <c r="E323" s="36"/>
      <c r="F323" s="36"/>
      <c r="G323" s="36">
        <f t="shared" si="58"/>
        <v>0</v>
      </c>
      <c r="H323" s="36"/>
      <c r="I323" s="36"/>
      <c r="J323" s="36">
        <f t="shared" si="59"/>
        <v>0</v>
      </c>
      <c r="K323" s="36"/>
      <c r="L323" s="36"/>
      <c r="M323" s="36">
        <f t="shared" si="60"/>
        <v>0</v>
      </c>
      <c r="N323" s="36">
        <v>0</v>
      </c>
      <c r="O323" s="36">
        <v>0</v>
      </c>
      <c r="P323" s="36">
        <f t="shared" si="61"/>
        <v>0</v>
      </c>
      <c r="Q323" s="36">
        <v>2000</v>
      </c>
      <c r="R323" s="36">
        <f>2000-2000</f>
        <v>0</v>
      </c>
      <c r="S323" s="36">
        <f t="shared" si="62"/>
        <v>-2000</v>
      </c>
      <c r="T323" s="36"/>
      <c r="U323" s="36"/>
      <c r="V323" s="36">
        <f t="shared" si="63"/>
        <v>0</v>
      </c>
      <c r="W323" s="36"/>
      <c r="X323" s="36"/>
      <c r="Y323" s="36">
        <f t="shared" si="64"/>
        <v>0</v>
      </c>
      <c r="Z323" s="36"/>
      <c r="AA323" s="36"/>
      <c r="AB323" s="36">
        <f t="shared" si="65"/>
        <v>0</v>
      </c>
    </row>
    <row r="324" spans="1:187" s="11" customFormat="1">
      <c r="A324" s="29" t="s">
        <v>116</v>
      </c>
      <c r="B324" s="30">
        <f t="shared" si="67"/>
        <v>394621</v>
      </c>
      <c r="C324" s="30">
        <f t="shared" si="67"/>
        <v>394621</v>
      </c>
      <c r="D324" s="30">
        <f t="shared" si="67"/>
        <v>0</v>
      </c>
      <c r="E324" s="30">
        <f>SUM(E325:E326)</f>
        <v>181890</v>
      </c>
      <c r="F324" s="30">
        <f>SUM(F325:F326)</f>
        <v>181890</v>
      </c>
      <c r="G324" s="30">
        <f t="shared" si="58"/>
        <v>0</v>
      </c>
      <c r="H324" s="30">
        <f>SUM(H325:H326)</f>
        <v>0</v>
      </c>
      <c r="I324" s="30">
        <f>SUM(I325:I326)</f>
        <v>0</v>
      </c>
      <c r="J324" s="30">
        <f t="shared" si="59"/>
        <v>0</v>
      </c>
      <c r="K324" s="30">
        <f>SUM(K325:K326)</f>
        <v>35731</v>
      </c>
      <c r="L324" s="30">
        <f>SUM(L325:L326)</f>
        <v>35731</v>
      </c>
      <c r="M324" s="30">
        <f t="shared" si="60"/>
        <v>0</v>
      </c>
      <c r="N324" s="30">
        <f>SUM(N325:N326)</f>
        <v>0</v>
      </c>
      <c r="O324" s="30">
        <f>SUM(O325:O326)</f>
        <v>0</v>
      </c>
      <c r="P324" s="30">
        <f t="shared" si="61"/>
        <v>0</v>
      </c>
      <c r="Q324" s="30">
        <f>SUM(Q325:Q326)</f>
        <v>0</v>
      </c>
      <c r="R324" s="30">
        <f>SUM(R325:R326)</f>
        <v>0</v>
      </c>
      <c r="S324" s="30">
        <f t="shared" si="62"/>
        <v>0</v>
      </c>
      <c r="T324" s="30">
        <f>SUM(T325:T326)</f>
        <v>177000</v>
      </c>
      <c r="U324" s="30">
        <f>SUM(U325:U326)</f>
        <v>177000</v>
      </c>
      <c r="V324" s="30">
        <f t="shared" si="63"/>
        <v>0</v>
      </c>
      <c r="W324" s="30">
        <f>SUM(W325:W326)</f>
        <v>0</v>
      </c>
      <c r="X324" s="30">
        <f>SUM(X325:X326)</f>
        <v>0</v>
      </c>
      <c r="Y324" s="30">
        <f t="shared" si="64"/>
        <v>0</v>
      </c>
      <c r="Z324" s="30">
        <f>SUM(Z325:Z326)</f>
        <v>0</v>
      </c>
      <c r="AA324" s="30">
        <f>SUM(AA325:AA326)</f>
        <v>0</v>
      </c>
      <c r="AB324" s="30">
        <f t="shared" si="65"/>
        <v>0</v>
      </c>
      <c r="AC324" s="28"/>
      <c r="AD324" s="28"/>
      <c r="AE324" s="28"/>
      <c r="AF324" s="28"/>
      <c r="AG324" s="28"/>
      <c r="AH324" s="28"/>
      <c r="AI324" s="28"/>
      <c r="AJ324" s="28"/>
      <c r="AK324" s="28"/>
      <c r="AL324" s="28"/>
      <c r="AM324" s="28"/>
      <c r="AN324" s="28"/>
      <c r="AO324" s="28"/>
      <c r="AP324" s="28"/>
      <c r="AQ324" s="28"/>
      <c r="AR324" s="28"/>
      <c r="AS324" s="28"/>
      <c r="AT324" s="28"/>
      <c r="AU324" s="28"/>
      <c r="AV324" s="28"/>
      <c r="AW324" s="28"/>
      <c r="AX324" s="28"/>
      <c r="AY324" s="28"/>
      <c r="AZ324" s="28"/>
      <c r="BA324" s="28"/>
      <c r="BB324" s="28"/>
      <c r="BC324" s="28"/>
      <c r="BD324" s="28"/>
      <c r="BE324" s="28"/>
      <c r="BF324" s="28"/>
      <c r="BG324" s="28"/>
      <c r="BH324" s="28"/>
      <c r="BI324" s="28"/>
      <c r="BJ324" s="28"/>
      <c r="BK324" s="28"/>
      <c r="BL324" s="28"/>
      <c r="BM324" s="28"/>
      <c r="BN324" s="28"/>
      <c r="BO324" s="28"/>
      <c r="BP324" s="28"/>
      <c r="BQ324" s="28"/>
      <c r="BR324" s="28"/>
      <c r="BS324" s="28"/>
      <c r="BT324" s="28"/>
      <c r="BU324" s="28"/>
      <c r="BV324" s="28"/>
      <c r="BW324" s="28"/>
      <c r="BX324" s="28"/>
      <c r="BY324" s="28"/>
      <c r="BZ324" s="28"/>
      <c r="CA324" s="28"/>
      <c r="CB324" s="28"/>
      <c r="CC324" s="28"/>
      <c r="CD324" s="28"/>
      <c r="CE324" s="28"/>
      <c r="CF324" s="28"/>
      <c r="CG324" s="28"/>
      <c r="CH324" s="28"/>
      <c r="CI324" s="28"/>
      <c r="CJ324" s="28"/>
      <c r="CK324" s="28"/>
      <c r="CL324" s="28"/>
      <c r="CM324" s="28"/>
      <c r="CN324" s="28"/>
      <c r="CO324" s="28"/>
      <c r="CP324" s="28"/>
      <c r="CQ324" s="28"/>
      <c r="CR324" s="28"/>
      <c r="CS324" s="28"/>
      <c r="CT324" s="28"/>
      <c r="CU324" s="28"/>
      <c r="CV324" s="28"/>
      <c r="CW324" s="28"/>
      <c r="CX324" s="28"/>
      <c r="CY324" s="28"/>
      <c r="CZ324" s="28"/>
      <c r="DA324" s="28"/>
      <c r="DB324" s="28"/>
      <c r="DC324" s="28"/>
      <c r="DD324" s="28"/>
      <c r="DE324" s="28"/>
      <c r="DF324" s="28"/>
      <c r="DG324" s="28"/>
      <c r="DH324" s="28"/>
      <c r="DI324" s="28"/>
      <c r="DJ324" s="28"/>
      <c r="DK324" s="28"/>
      <c r="DL324" s="28"/>
      <c r="DM324" s="28"/>
      <c r="DN324" s="28"/>
      <c r="DO324" s="28"/>
      <c r="DP324" s="28"/>
      <c r="DQ324" s="28"/>
      <c r="DR324" s="28"/>
      <c r="DS324" s="28"/>
      <c r="DT324" s="28"/>
      <c r="DU324" s="28"/>
      <c r="DV324" s="28"/>
      <c r="DW324" s="28"/>
      <c r="DX324" s="28"/>
      <c r="DY324" s="28"/>
      <c r="DZ324" s="28"/>
      <c r="EA324" s="28"/>
      <c r="EB324" s="28"/>
      <c r="EC324" s="28"/>
      <c r="ED324" s="28"/>
      <c r="EE324" s="28"/>
      <c r="EF324" s="28"/>
      <c r="EG324" s="28"/>
      <c r="EH324" s="28"/>
      <c r="EI324" s="28"/>
      <c r="EJ324" s="28"/>
      <c r="EK324" s="28"/>
      <c r="EL324" s="28"/>
      <c r="EM324" s="28"/>
      <c r="EN324" s="28"/>
      <c r="EO324" s="28"/>
      <c r="EP324" s="28"/>
      <c r="EQ324" s="28"/>
      <c r="ER324" s="28"/>
      <c r="ES324" s="28"/>
      <c r="ET324" s="28"/>
      <c r="EU324" s="28"/>
      <c r="EV324" s="28"/>
      <c r="EW324" s="28"/>
      <c r="EX324" s="28"/>
      <c r="EY324" s="28"/>
      <c r="EZ324" s="28"/>
      <c r="FA324" s="28"/>
      <c r="FB324" s="28"/>
      <c r="FC324" s="28"/>
      <c r="FD324" s="28"/>
      <c r="FE324" s="28"/>
      <c r="FF324" s="28"/>
      <c r="FG324" s="28"/>
      <c r="FH324" s="28"/>
      <c r="FI324" s="28"/>
      <c r="FJ324" s="28"/>
      <c r="FK324" s="28"/>
      <c r="FL324" s="28"/>
      <c r="FM324" s="28"/>
      <c r="FN324" s="28"/>
      <c r="FO324" s="28"/>
      <c r="FP324" s="28"/>
      <c r="FQ324" s="28"/>
      <c r="FR324" s="28"/>
      <c r="FS324" s="28"/>
      <c r="FT324" s="28"/>
      <c r="FU324" s="28"/>
      <c r="FV324" s="28"/>
      <c r="FW324" s="28"/>
      <c r="FX324" s="28"/>
      <c r="FY324" s="28"/>
      <c r="FZ324" s="28"/>
      <c r="GA324" s="28"/>
      <c r="GB324" s="28"/>
      <c r="GC324" s="28"/>
      <c r="GD324" s="28"/>
      <c r="GE324" s="28"/>
    </row>
    <row r="325" spans="1:187" s="11" customFormat="1" ht="31.5">
      <c r="A325" s="32" t="s">
        <v>298</v>
      </c>
      <c r="B325" s="36">
        <f t="shared" si="67"/>
        <v>35731</v>
      </c>
      <c r="C325" s="36">
        <f t="shared" si="67"/>
        <v>35731</v>
      </c>
      <c r="D325" s="36">
        <f t="shared" si="67"/>
        <v>0</v>
      </c>
      <c r="E325" s="36"/>
      <c r="F325" s="36"/>
      <c r="G325" s="36">
        <f t="shared" si="58"/>
        <v>0</v>
      </c>
      <c r="H325" s="36"/>
      <c r="I325" s="36"/>
      <c r="J325" s="36">
        <f t="shared" si="59"/>
        <v>0</v>
      </c>
      <c r="K325" s="36">
        <f>13563+22168</f>
        <v>35731</v>
      </c>
      <c r="L325" s="36">
        <f>13563+22168</f>
        <v>35731</v>
      </c>
      <c r="M325" s="36">
        <f t="shared" si="60"/>
        <v>0</v>
      </c>
      <c r="N325" s="36"/>
      <c r="O325" s="36"/>
      <c r="P325" s="36">
        <f t="shared" si="61"/>
        <v>0</v>
      </c>
      <c r="Q325" s="36"/>
      <c r="R325" s="36"/>
      <c r="S325" s="36">
        <f t="shared" si="62"/>
        <v>0</v>
      </c>
      <c r="T325" s="36"/>
      <c r="U325" s="36"/>
      <c r="V325" s="36">
        <f t="shared" si="63"/>
        <v>0</v>
      </c>
      <c r="W325" s="36"/>
      <c r="X325" s="36"/>
      <c r="Y325" s="36">
        <f t="shared" si="64"/>
        <v>0</v>
      </c>
      <c r="Z325" s="36"/>
      <c r="AA325" s="36"/>
      <c r="AB325" s="36">
        <f t="shared" si="65"/>
        <v>0</v>
      </c>
      <c r="FL325" s="28"/>
      <c r="FM325" s="28"/>
      <c r="FN325" s="28"/>
      <c r="FO325" s="28"/>
      <c r="FP325" s="28"/>
      <c r="FQ325" s="28"/>
      <c r="FR325" s="28"/>
      <c r="FS325" s="28"/>
      <c r="FT325" s="28"/>
      <c r="FU325" s="28"/>
      <c r="FV325" s="28"/>
      <c r="FW325" s="28"/>
      <c r="FX325" s="28"/>
      <c r="FY325" s="28"/>
      <c r="FZ325" s="28"/>
      <c r="GA325" s="28"/>
      <c r="GB325" s="28"/>
      <c r="GC325" s="28"/>
      <c r="GD325" s="28"/>
      <c r="GE325" s="28"/>
    </row>
    <row r="326" spans="1:187" s="11" customFormat="1" ht="31.5">
      <c r="A326" s="35" t="s">
        <v>300</v>
      </c>
      <c r="B326" s="36">
        <f t="shared" si="67"/>
        <v>358890</v>
      </c>
      <c r="C326" s="36">
        <f t="shared" si="67"/>
        <v>358890</v>
      </c>
      <c r="D326" s="36">
        <f t="shared" si="67"/>
        <v>0</v>
      </c>
      <c r="E326" s="36">
        <f>181890</f>
        <v>181890</v>
      </c>
      <c r="F326" s="36">
        <f>181890</f>
        <v>181890</v>
      </c>
      <c r="G326" s="36">
        <f t="shared" si="58"/>
        <v>0</v>
      </c>
      <c r="H326" s="36"/>
      <c r="I326" s="36"/>
      <c r="J326" s="36">
        <f t="shared" si="59"/>
        <v>0</v>
      </c>
      <c r="K326" s="36">
        <v>0</v>
      </c>
      <c r="L326" s="36">
        <v>0</v>
      </c>
      <c r="M326" s="36">
        <f t="shared" si="60"/>
        <v>0</v>
      </c>
      <c r="N326" s="36"/>
      <c r="O326" s="36"/>
      <c r="P326" s="36">
        <f t="shared" si="61"/>
        <v>0</v>
      </c>
      <c r="Q326" s="36"/>
      <c r="R326" s="36"/>
      <c r="S326" s="36">
        <f t="shared" si="62"/>
        <v>0</v>
      </c>
      <c r="T326" s="36">
        <f>177000</f>
        <v>177000</v>
      </c>
      <c r="U326" s="36">
        <f>177000</f>
        <v>177000</v>
      </c>
      <c r="V326" s="36">
        <f t="shared" si="63"/>
        <v>0</v>
      </c>
      <c r="W326" s="36"/>
      <c r="X326" s="36"/>
      <c r="Y326" s="36">
        <f t="shared" si="64"/>
        <v>0</v>
      </c>
      <c r="Z326" s="36">
        <v>0</v>
      </c>
      <c r="AA326" s="36">
        <v>0</v>
      </c>
      <c r="AB326" s="36">
        <f t="shared" si="65"/>
        <v>0</v>
      </c>
      <c r="FL326" s="28"/>
      <c r="FM326" s="28"/>
      <c r="FN326" s="28"/>
      <c r="FO326" s="28"/>
      <c r="FP326" s="28"/>
      <c r="FQ326" s="28"/>
      <c r="FR326" s="28"/>
      <c r="FS326" s="28"/>
      <c r="FT326" s="28"/>
      <c r="FU326" s="28"/>
      <c r="FV326" s="28"/>
      <c r="FW326" s="28"/>
      <c r="FX326" s="28"/>
      <c r="FY326" s="28"/>
      <c r="FZ326" s="28"/>
      <c r="GA326" s="28"/>
      <c r="GB326" s="28"/>
      <c r="GC326" s="28"/>
      <c r="GD326" s="28"/>
      <c r="GE326" s="28"/>
    </row>
    <row r="327" spans="1:187" s="11" customFormat="1">
      <c r="A327" s="29" t="s">
        <v>179</v>
      </c>
      <c r="B327" s="30">
        <f t="shared" si="67"/>
        <v>40800</v>
      </c>
      <c r="C327" s="30">
        <f t="shared" si="67"/>
        <v>39850</v>
      </c>
      <c r="D327" s="30">
        <f t="shared" si="67"/>
        <v>-950</v>
      </c>
      <c r="E327" s="30">
        <f>SUM(E328:E329)</f>
        <v>0</v>
      </c>
      <c r="F327" s="30">
        <f>SUM(F328:F329)</f>
        <v>0</v>
      </c>
      <c r="G327" s="30">
        <f t="shared" si="58"/>
        <v>0</v>
      </c>
      <c r="H327" s="30">
        <f t="shared" ref="H327:I327" si="75">SUM(H328:H329)</f>
        <v>0</v>
      </c>
      <c r="I327" s="30">
        <f t="shared" si="75"/>
        <v>0</v>
      </c>
      <c r="J327" s="30">
        <f t="shared" si="59"/>
        <v>0</v>
      </c>
      <c r="K327" s="30">
        <f t="shared" ref="K327:L327" si="76">SUM(K328:K329)</f>
        <v>40800</v>
      </c>
      <c r="L327" s="30">
        <f t="shared" si="76"/>
        <v>39850</v>
      </c>
      <c r="M327" s="30">
        <f t="shared" si="60"/>
        <v>-950</v>
      </c>
      <c r="N327" s="30">
        <f t="shared" ref="N327:O327" si="77">SUM(N328:N329)</f>
        <v>0</v>
      </c>
      <c r="O327" s="30">
        <f t="shared" si="77"/>
        <v>0</v>
      </c>
      <c r="P327" s="30">
        <f t="shared" si="61"/>
        <v>0</v>
      </c>
      <c r="Q327" s="30">
        <f t="shared" ref="Q327:R327" si="78">SUM(Q328:Q329)</f>
        <v>0</v>
      </c>
      <c r="R327" s="30">
        <f t="shared" si="78"/>
        <v>0</v>
      </c>
      <c r="S327" s="30">
        <f t="shared" si="62"/>
        <v>0</v>
      </c>
      <c r="T327" s="30">
        <f t="shared" ref="T327:U327" si="79">SUM(T328:T329)</f>
        <v>0</v>
      </c>
      <c r="U327" s="30">
        <f t="shared" si="79"/>
        <v>0</v>
      </c>
      <c r="V327" s="30">
        <f t="shared" si="63"/>
        <v>0</v>
      </c>
      <c r="W327" s="30">
        <f t="shared" ref="W327:X327" si="80">SUM(W328:W329)</f>
        <v>0</v>
      </c>
      <c r="X327" s="30">
        <f t="shared" si="80"/>
        <v>0</v>
      </c>
      <c r="Y327" s="30">
        <f t="shared" si="64"/>
        <v>0</v>
      </c>
      <c r="Z327" s="30">
        <f t="shared" ref="Z327:AA327" si="81">SUM(Z328:Z329)</f>
        <v>0</v>
      </c>
      <c r="AA327" s="30">
        <f t="shared" si="81"/>
        <v>0</v>
      </c>
      <c r="AB327" s="30">
        <f t="shared" si="65"/>
        <v>0</v>
      </c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  <c r="AN327" s="28"/>
      <c r="AO327" s="28"/>
      <c r="AP327" s="28"/>
      <c r="AQ327" s="28"/>
      <c r="AR327" s="28"/>
      <c r="AS327" s="28"/>
      <c r="AT327" s="28"/>
      <c r="AU327" s="28"/>
      <c r="AV327" s="28"/>
      <c r="AW327" s="28"/>
      <c r="AX327" s="28"/>
      <c r="AY327" s="28"/>
      <c r="AZ327" s="28"/>
      <c r="BA327" s="28"/>
      <c r="BB327" s="28"/>
      <c r="BC327" s="28"/>
      <c r="BD327" s="28"/>
      <c r="BE327" s="28"/>
      <c r="BF327" s="28"/>
      <c r="BG327" s="28"/>
      <c r="BH327" s="28"/>
      <c r="BI327" s="28"/>
      <c r="BJ327" s="28"/>
      <c r="BK327" s="28"/>
      <c r="BL327" s="28"/>
      <c r="BM327" s="28"/>
      <c r="BN327" s="28"/>
      <c r="BO327" s="28"/>
      <c r="BP327" s="28"/>
      <c r="BQ327" s="28"/>
      <c r="BR327" s="28"/>
      <c r="BS327" s="28"/>
      <c r="BT327" s="28"/>
      <c r="BU327" s="28"/>
      <c r="BV327" s="28"/>
      <c r="BW327" s="28"/>
      <c r="BX327" s="28"/>
      <c r="BY327" s="28"/>
      <c r="BZ327" s="28"/>
      <c r="CA327" s="28"/>
      <c r="CB327" s="28"/>
      <c r="CC327" s="28"/>
      <c r="CD327" s="28"/>
      <c r="CE327" s="28"/>
      <c r="CF327" s="28"/>
      <c r="CG327" s="28"/>
      <c r="CH327" s="28"/>
      <c r="CI327" s="28"/>
      <c r="CJ327" s="28"/>
      <c r="CK327" s="28"/>
      <c r="CL327" s="28"/>
      <c r="CM327" s="28"/>
      <c r="CN327" s="28"/>
      <c r="CO327" s="28"/>
      <c r="CP327" s="28"/>
      <c r="CQ327" s="28"/>
      <c r="CR327" s="28"/>
      <c r="CS327" s="28"/>
      <c r="CT327" s="28"/>
      <c r="CU327" s="28"/>
      <c r="CV327" s="28"/>
      <c r="CW327" s="28"/>
      <c r="CX327" s="28"/>
      <c r="CY327" s="28"/>
      <c r="CZ327" s="28"/>
      <c r="DA327" s="28"/>
      <c r="DB327" s="28"/>
      <c r="DC327" s="28"/>
      <c r="DD327" s="28"/>
      <c r="DE327" s="28"/>
      <c r="DF327" s="28"/>
      <c r="DG327" s="28"/>
      <c r="DH327" s="28"/>
      <c r="DI327" s="28"/>
      <c r="DJ327" s="28"/>
      <c r="DK327" s="28"/>
      <c r="DL327" s="28"/>
      <c r="DM327" s="28"/>
      <c r="DN327" s="28"/>
      <c r="DO327" s="28"/>
      <c r="DP327" s="28"/>
      <c r="DQ327" s="28"/>
      <c r="DR327" s="28"/>
      <c r="DS327" s="28"/>
      <c r="DT327" s="28"/>
      <c r="DU327" s="28"/>
      <c r="DV327" s="28"/>
      <c r="DW327" s="28"/>
      <c r="DX327" s="28"/>
      <c r="DY327" s="28"/>
      <c r="DZ327" s="28"/>
      <c r="EA327" s="28"/>
      <c r="EB327" s="28"/>
      <c r="EC327" s="28"/>
      <c r="ED327" s="28"/>
      <c r="EE327" s="28"/>
      <c r="EF327" s="28"/>
      <c r="EG327" s="28"/>
      <c r="EH327" s="28"/>
      <c r="EI327" s="28"/>
      <c r="EJ327" s="28"/>
      <c r="EK327" s="28"/>
      <c r="EL327" s="28"/>
      <c r="EM327" s="28"/>
      <c r="EN327" s="28"/>
      <c r="EO327" s="28"/>
      <c r="EP327" s="28"/>
      <c r="EQ327" s="28"/>
      <c r="ER327" s="28"/>
      <c r="ES327" s="28"/>
      <c r="ET327" s="28"/>
      <c r="EU327" s="28"/>
      <c r="EV327" s="28"/>
      <c r="EW327" s="28"/>
      <c r="EX327" s="28"/>
      <c r="EY327" s="28"/>
      <c r="EZ327" s="28"/>
      <c r="FA327" s="28"/>
      <c r="FB327" s="28"/>
      <c r="FC327" s="28"/>
      <c r="FD327" s="28"/>
      <c r="FE327" s="28"/>
      <c r="FF327" s="28"/>
      <c r="FG327" s="28"/>
      <c r="FH327" s="28"/>
      <c r="FI327" s="28"/>
      <c r="FJ327" s="28"/>
      <c r="FK327" s="28"/>
      <c r="FL327" s="28"/>
      <c r="FM327" s="28"/>
      <c r="FN327" s="28"/>
      <c r="FO327" s="28"/>
      <c r="FP327" s="28"/>
      <c r="FQ327" s="28"/>
      <c r="FR327" s="28"/>
      <c r="FS327" s="28"/>
      <c r="FT327" s="28"/>
      <c r="FU327" s="28"/>
      <c r="FV327" s="28"/>
      <c r="FW327" s="28"/>
      <c r="FX327" s="28"/>
      <c r="FY327" s="28"/>
      <c r="FZ327" s="28"/>
      <c r="GA327" s="28"/>
      <c r="GB327" s="28"/>
      <c r="GC327" s="28"/>
      <c r="GD327" s="28"/>
      <c r="GE327" s="28"/>
    </row>
    <row r="328" spans="1:187" s="11" customFormat="1" ht="63">
      <c r="A328" s="35" t="s">
        <v>301</v>
      </c>
      <c r="B328" s="36">
        <f t="shared" si="67"/>
        <v>30000</v>
      </c>
      <c r="C328" s="36">
        <f t="shared" si="67"/>
        <v>29050</v>
      </c>
      <c r="D328" s="36">
        <f t="shared" si="67"/>
        <v>-950</v>
      </c>
      <c r="E328" s="36"/>
      <c r="F328" s="36"/>
      <c r="G328" s="36">
        <f t="shared" si="58"/>
        <v>0</v>
      </c>
      <c r="H328" s="36"/>
      <c r="I328" s="36"/>
      <c r="J328" s="36">
        <f t="shared" si="59"/>
        <v>0</v>
      </c>
      <c r="K328" s="36">
        <v>30000</v>
      </c>
      <c r="L328" s="36">
        <f>30000-950</f>
        <v>29050</v>
      </c>
      <c r="M328" s="36">
        <f t="shared" si="60"/>
        <v>-950</v>
      </c>
      <c r="N328" s="36"/>
      <c r="O328" s="36"/>
      <c r="P328" s="36">
        <f t="shared" si="61"/>
        <v>0</v>
      </c>
      <c r="Q328" s="36"/>
      <c r="R328" s="36"/>
      <c r="S328" s="36">
        <f t="shared" si="62"/>
        <v>0</v>
      </c>
      <c r="T328" s="36"/>
      <c r="U328" s="36"/>
      <c r="V328" s="36">
        <f t="shared" si="63"/>
        <v>0</v>
      </c>
      <c r="W328" s="36"/>
      <c r="X328" s="36"/>
      <c r="Y328" s="36">
        <f t="shared" si="64"/>
        <v>0</v>
      </c>
      <c r="Z328" s="36"/>
      <c r="AA328" s="36"/>
      <c r="AB328" s="36">
        <f t="shared" si="65"/>
        <v>0</v>
      </c>
      <c r="FL328" s="28"/>
      <c r="FM328" s="28"/>
      <c r="FN328" s="28"/>
      <c r="FO328" s="28"/>
      <c r="FP328" s="28"/>
      <c r="FQ328" s="28"/>
      <c r="FR328" s="28"/>
      <c r="FS328" s="28"/>
      <c r="FT328" s="28"/>
      <c r="FU328" s="28"/>
      <c r="FV328" s="28"/>
      <c r="FW328" s="28"/>
      <c r="FX328" s="28"/>
      <c r="FY328" s="28"/>
      <c r="FZ328" s="28"/>
      <c r="GA328" s="28"/>
      <c r="GB328" s="28"/>
      <c r="GC328" s="28"/>
      <c r="GD328" s="28"/>
      <c r="GE328" s="28"/>
    </row>
    <row r="329" spans="1:187" s="11" customFormat="1">
      <c r="A329" s="32" t="s">
        <v>299</v>
      </c>
      <c r="B329" s="36">
        <f t="shared" si="67"/>
        <v>10800</v>
      </c>
      <c r="C329" s="36">
        <f t="shared" si="67"/>
        <v>10800</v>
      </c>
      <c r="D329" s="36">
        <f t="shared" si="67"/>
        <v>0</v>
      </c>
      <c r="E329" s="36"/>
      <c r="F329" s="36"/>
      <c r="G329" s="36">
        <f t="shared" si="58"/>
        <v>0</v>
      </c>
      <c r="H329" s="36"/>
      <c r="I329" s="36"/>
      <c r="J329" s="36">
        <f t="shared" si="59"/>
        <v>0</v>
      </c>
      <c r="K329" s="36">
        <f>9000+1800</f>
        <v>10800</v>
      </c>
      <c r="L329" s="36">
        <f>9000+1800</f>
        <v>10800</v>
      </c>
      <c r="M329" s="36">
        <f t="shared" si="60"/>
        <v>0</v>
      </c>
      <c r="N329" s="36"/>
      <c r="O329" s="36"/>
      <c r="P329" s="36">
        <f t="shared" si="61"/>
        <v>0</v>
      </c>
      <c r="Q329" s="36"/>
      <c r="R329" s="36"/>
      <c r="S329" s="36">
        <f t="shared" si="62"/>
        <v>0</v>
      </c>
      <c r="T329" s="36"/>
      <c r="U329" s="36"/>
      <c r="V329" s="36">
        <f t="shared" si="63"/>
        <v>0</v>
      </c>
      <c r="W329" s="36"/>
      <c r="X329" s="36"/>
      <c r="Y329" s="36">
        <f t="shared" si="64"/>
        <v>0</v>
      </c>
      <c r="Z329" s="36"/>
      <c r="AA329" s="36"/>
      <c r="AB329" s="36">
        <f t="shared" si="65"/>
        <v>0</v>
      </c>
      <c r="FL329" s="28"/>
      <c r="FM329" s="28"/>
      <c r="FN329" s="28"/>
      <c r="FO329" s="28"/>
      <c r="FP329" s="28"/>
      <c r="FQ329" s="28"/>
      <c r="FR329" s="28"/>
      <c r="FS329" s="28"/>
      <c r="FT329" s="28"/>
      <c r="FU329" s="28"/>
      <c r="FV329" s="28"/>
      <c r="FW329" s="28"/>
      <c r="FX329" s="28"/>
      <c r="FY329" s="28"/>
      <c r="FZ329" s="28"/>
      <c r="GA329" s="28"/>
      <c r="GB329" s="28"/>
      <c r="GC329" s="28"/>
      <c r="GD329" s="28"/>
      <c r="GE329" s="28"/>
    </row>
    <row r="330" spans="1:187" s="11" customFormat="1">
      <c r="A330" s="29" t="s">
        <v>92</v>
      </c>
      <c r="B330" s="30">
        <f t="shared" si="67"/>
        <v>2744817</v>
      </c>
      <c r="C330" s="30">
        <f t="shared" si="67"/>
        <v>2744817</v>
      </c>
      <c r="D330" s="30">
        <f t="shared" si="67"/>
        <v>0</v>
      </c>
      <c r="E330" s="30">
        <f>SUM(E331,E333,E335,E338)</f>
        <v>0</v>
      </c>
      <c r="F330" s="30">
        <f>SUM(F331,F333,F335,F338)</f>
        <v>0</v>
      </c>
      <c r="G330" s="30">
        <f t="shared" si="58"/>
        <v>0</v>
      </c>
      <c r="H330" s="30">
        <f>SUM(H331,H333,H335,H338)</f>
        <v>0</v>
      </c>
      <c r="I330" s="30">
        <f>SUM(I331,I333,I335,I338)</f>
        <v>0</v>
      </c>
      <c r="J330" s="30">
        <f t="shared" si="59"/>
        <v>0</v>
      </c>
      <c r="K330" s="30">
        <f>SUM(K331,K333,K335,K338)</f>
        <v>95510</v>
      </c>
      <c r="L330" s="30">
        <f>SUM(L331,L333,L335,L338)</f>
        <v>95510</v>
      </c>
      <c r="M330" s="30">
        <f t="shared" si="60"/>
        <v>0</v>
      </c>
      <c r="N330" s="30">
        <f>SUM(N331,N333,N335,N338)</f>
        <v>2649307</v>
      </c>
      <c r="O330" s="30">
        <f>SUM(O331,O333,O335,O338)</f>
        <v>2649307</v>
      </c>
      <c r="P330" s="30">
        <f t="shared" si="61"/>
        <v>0</v>
      </c>
      <c r="Q330" s="30">
        <f>SUM(Q331,Q333,Q335,Q338)</f>
        <v>0</v>
      </c>
      <c r="R330" s="30">
        <f>SUM(R331,R333,R335,R338)</f>
        <v>0</v>
      </c>
      <c r="S330" s="30">
        <f t="shared" si="62"/>
        <v>0</v>
      </c>
      <c r="T330" s="30">
        <f>SUM(T331,T333,T335,T338)</f>
        <v>0</v>
      </c>
      <c r="U330" s="30">
        <f>SUM(U331,U333,U335,U338)</f>
        <v>0</v>
      </c>
      <c r="V330" s="30">
        <f t="shared" si="63"/>
        <v>0</v>
      </c>
      <c r="W330" s="30">
        <f>SUM(W331,W333,W335,W338)</f>
        <v>0</v>
      </c>
      <c r="X330" s="30">
        <f>SUM(X331,X333,X335,X338)</f>
        <v>0</v>
      </c>
      <c r="Y330" s="30">
        <f t="shared" si="64"/>
        <v>0</v>
      </c>
      <c r="Z330" s="30">
        <f>SUM(Z331,Z333,Z335,Z338)</f>
        <v>0</v>
      </c>
      <c r="AA330" s="30">
        <f>SUM(AA331,AA333,AA335,AA338)</f>
        <v>0</v>
      </c>
      <c r="AB330" s="30">
        <f t="shared" si="65"/>
        <v>0</v>
      </c>
      <c r="FL330" s="28"/>
      <c r="FM330" s="28"/>
      <c r="FN330" s="28"/>
      <c r="FO330" s="28"/>
      <c r="FP330" s="28"/>
      <c r="FQ330" s="28"/>
      <c r="FR330" s="28"/>
      <c r="FS330" s="28"/>
      <c r="FT330" s="28"/>
      <c r="FU330" s="28"/>
      <c r="FV330" s="28"/>
      <c r="FW330" s="28"/>
      <c r="FX330" s="28"/>
      <c r="FY330" s="28"/>
      <c r="FZ330" s="28"/>
      <c r="GA330" s="28"/>
      <c r="GB330" s="28"/>
      <c r="GC330" s="28"/>
      <c r="GD330" s="28"/>
      <c r="GE330" s="28"/>
    </row>
    <row r="331" spans="1:187" s="11" customFormat="1">
      <c r="A331" s="29" t="s">
        <v>96</v>
      </c>
      <c r="B331" s="30">
        <f t="shared" si="67"/>
        <v>80100</v>
      </c>
      <c r="C331" s="30">
        <f t="shared" si="67"/>
        <v>80100</v>
      </c>
      <c r="D331" s="30">
        <f t="shared" si="67"/>
        <v>0</v>
      </c>
      <c r="E331" s="30">
        <f>SUM(E332)</f>
        <v>0</v>
      </c>
      <c r="F331" s="30">
        <f>SUM(F332)</f>
        <v>0</v>
      </c>
      <c r="G331" s="30">
        <f t="shared" si="58"/>
        <v>0</v>
      </c>
      <c r="H331" s="30">
        <f>SUM(H332)</f>
        <v>0</v>
      </c>
      <c r="I331" s="30">
        <f>SUM(I332)</f>
        <v>0</v>
      </c>
      <c r="J331" s="30">
        <f t="shared" si="59"/>
        <v>0</v>
      </c>
      <c r="K331" s="30">
        <f>SUM(K332)</f>
        <v>0</v>
      </c>
      <c r="L331" s="30">
        <f>SUM(L332)</f>
        <v>0</v>
      </c>
      <c r="M331" s="30">
        <f t="shared" si="60"/>
        <v>0</v>
      </c>
      <c r="N331" s="30">
        <f>SUM(N332)</f>
        <v>80100</v>
      </c>
      <c r="O331" s="30">
        <f>SUM(O332)</f>
        <v>80100</v>
      </c>
      <c r="P331" s="30">
        <f t="shared" si="61"/>
        <v>0</v>
      </c>
      <c r="Q331" s="30">
        <f>SUM(Q332)</f>
        <v>0</v>
      </c>
      <c r="R331" s="30">
        <f>SUM(R332)</f>
        <v>0</v>
      </c>
      <c r="S331" s="30">
        <f t="shared" si="62"/>
        <v>0</v>
      </c>
      <c r="T331" s="30">
        <f>SUM(T332)</f>
        <v>0</v>
      </c>
      <c r="U331" s="30">
        <f>SUM(U332)</f>
        <v>0</v>
      </c>
      <c r="V331" s="30">
        <f t="shared" si="63"/>
        <v>0</v>
      </c>
      <c r="W331" s="30">
        <f>SUM(W332)</f>
        <v>0</v>
      </c>
      <c r="X331" s="30">
        <f>SUM(X332)</f>
        <v>0</v>
      </c>
      <c r="Y331" s="30">
        <f t="shared" si="64"/>
        <v>0</v>
      </c>
      <c r="Z331" s="30">
        <f>SUM(Z332)</f>
        <v>0</v>
      </c>
      <c r="AA331" s="30">
        <f>SUM(AA332)</f>
        <v>0</v>
      </c>
      <c r="AB331" s="30">
        <f t="shared" si="65"/>
        <v>0</v>
      </c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N331" s="28"/>
      <c r="AO331" s="28"/>
      <c r="AP331" s="28"/>
      <c r="AQ331" s="28"/>
      <c r="AR331" s="28"/>
      <c r="AS331" s="28"/>
      <c r="AT331" s="28"/>
      <c r="AU331" s="28"/>
      <c r="AV331" s="28"/>
      <c r="AW331" s="28"/>
      <c r="AX331" s="28"/>
      <c r="AY331" s="28"/>
      <c r="AZ331" s="28"/>
      <c r="BA331" s="28"/>
      <c r="BB331" s="28"/>
      <c r="BC331" s="28"/>
      <c r="BD331" s="28"/>
      <c r="BE331" s="28"/>
      <c r="BF331" s="28"/>
      <c r="BG331" s="28"/>
      <c r="BH331" s="28"/>
      <c r="BI331" s="28"/>
      <c r="BJ331" s="28"/>
      <c r="BK331" s="28"/>
      <c r="BL331" s="28"/>
      <c r="BM331" s="28"/>
      <c r="BN331" s="28"/>
      <c r="BO331" s="28"/>
      <c r="BP331" s="28"/>
      <c r="BQ331" s="28"/>
      <c r="BR331" s="28"/>
      <c r="BS331" s="28"/>
      <c r="BT331" s="28"/>
      <c r="BU331" s="28"/>
      <c r="BV331" s="28"/>
      <c r="BW331" s="28"/>
      <c r="BX331" s="28"/>
      <c r="BY331" s="28"/>
      <c r="BZ331" s="28"/>
      <c r="CA331" s="28"/>
      <c r="CB331" s="28"/>
      <c r="CC331" s="28"/>
      <c r="CD331" s="28"/>
      <c r="CE331" s="28"/>
      <c r="CF331" s="28"/>
      <c r="CG331" s="28"/>
      <c r="CH331" s="28"/>
      <c r="CI331" s="28"/>
      <c r="CJ331" s="28"/>
      <c r="CK331" s="28"/>
      <c r="CL331" s="28"/>
      <c r="CM331" s="28"/>
      <c r="CN331" s="28"/>
      <c r="CO331" s="28"/>
      <c r="CP331" s="28"/>
      <c r="CQ331" s="28"/>
      <c r="CR331" s="28"/>
      <c r="CS331" s="28"/>
      <c r="CT331" s="28"/>
      <c r="CU331" s="28"/>
      <c r="CV331" s="28"/>
      <c r="CW331" s="28"/>
      <c r="CX331" s="28"/>
      <c r="CY331" s="28"/>
      <c r="CZ331" s="28"/>
      <c r="DA331" s="28"/>
      <c r="DB331" s="28"/>
      <c r="DC331" s="28"/>
      <c r="DD331" s="28"/>
      <c r="DE331" s="28"/>
      <c r="DF331" s="28"/>
      <c r="DG331" s="28"/>
      <c r="DH331" s="28"/>
      <c r="DI331" s="28"/>
      <c r="DJ331" s="28"/>
      <c r="DK331" s="28"/>
      <c r="DL331" s="28"/>
      <c r="DM331" s="28"/>
      <c r="DN331" s="28"/>
      <c r="DO331" s="28"/>
      <c r="DP331" s="28"/>
      <c r="DQ331" s="28"/>
      <c r="DR331" s="28"/>
      <c r="DS331" s="28"/>
      <c r="DT331" s="28"/>
      <c r="DU331" s="28"/>
      <c r="DV331" s="28"/>
      <c r="DW331" s="28"/>
      <c r="DX331" s="28"/>
      <c r="DY331" s="28"/>
      <c r="DZ331" s="28"/>
      <c r="EA331" s="28"/>
      <c r="EB331" s="28"/>
      <c r="EC331" s="28"/>
      <c r="ED331" s="28"/>
      <c r="EE331" s="28"/>
      <c r="EF331" s="28"/>
      <c r="EG331" s="28"/>
      <c r="EH331" s="28"/>
      <c r="EI331" s="28"/>
      <c r="EJ331" s="28"/>
      <c r="EK331" s="28"/>
      <c r="EL331" s="28"/>
      <c r="EM331" s="28"/>
      <c r="EN331" s="28"/>
      <c r="EO331" s="28"/>
      <c r="EP331" s="28"/>
      <c r="EQ331" s="28"/>
      <c r="ER331" s="28"/>
      <c r="ES331" s="28"/>
      <c r="ET331" s="28"/>
      <c r="EU331" s="28"/>
      <c r="EV331" s="28"/>
      <c r="EW331" s="28"/>
      <c r="EX331" s="28"/>
      <c r="EY331" s="28"/>
      <c r="EZ331" s="28"/>
      <c r="FA331" s="28"/>
      <c r="FB331" s="28"/>
      <c r="FC331" s="28"/>
      <c r="FD331" s="28"/>
      <c r="FE331" s="28"/>
      <c r="FF331" s="28"/>
      <c r="FG331" s="28"/>
      <c r="FH331" s="28"/>
      <c r="FI331" s="28"/>
      <c r="FJ331" s="28"/>
      <c r="FK331" s="28"/>
      <c r="FL331" s="28"/>
      <c r="FM331" s="28"/>
      <c r="FN331" s="28"/>
      <c r="FO331" s="28"/>
      <c r="FP331" s="28"/>
      <c r="FQ331" s="28"/>
      <c r="FR331" s="28"/>
      <c r="FS331" s="28"/>
      <c r="FT331" s="28"/>
      <c r="FU331" s="28"/>
      <c r="FV331" s="28"/>
      <c r="FW331" s="28"/>
      <c r="FX331" s="28"/>
      <c r="FY331" s="28"/>
      <c r="FZ331" s="28"/>
      <c r="GA331" s="28"/>
      <c r="GB331" s="28"/>
      <c r="GC331" s="28"/>
      <c r="GD331" s="28"/>
      <c r="GE331" s="28"/>
    </row>
    <row r="332" spans="1:187" s="11" customFormat="1" ht="78.75">
      <c r="A332" s="35" t="s">
        <v>302</v>
      </c>
      <c r="B332" s="36">
        <f t="shared" si="67"/>
        <v>80100</v>
      </c>
      <c r="C332" s="36">
        <f t="shared" si="67"/>
        <v>80100</v>
      </c>
      <c r="D332" s="36">
        <f t="shared" si="67"/>
        <v>0</v>
      </c>
      <c r="E332" s="36"/>
      <c r="F332" s="36"/>
      <c r="G332" s="36">
        <f t="shared" si="58"/>
        <v>0</v>
      </c>
      <c r="H332" s="36"/>
      <c r="I332" s="36"/>
      <c r="J332" s="36">
        <f t="shared" si="59"/>
        <v>0</v>
      </c>
      <c r="K332" s="36"/>
      <c r="L332" s="36"/>
      <c r="M332" s="36">
        <f t="shared" si="60"/>
        <v>0</v>
      </c>
      <c r="N332" s="36">
        <v>80100</v>
      </c>
      <c r="O332" s="36">
        <v>80100</v>
      </c>
      <c r="P332" s="36">
        <f t="shared" si="61"/>
        <v>0</v>
      </c>
      <c r="Q332" s="36"/>
      <c r="R332" s="36"/>
      <c r="S332" s="36">
        <f t="shared" si="62"/>
        <v>0</v>
      </c>
      <c r="T332" s="36"/>
      <c r="U332" s="36"/>
      <c r="V332" s="36">
        <f t="shared" si="63"/>
        <v>0</v>
      </c>
      <c r="W332" s="36"/>
      <c r="X332" s="36"/>
      <c r="Y332" s="36">
        <f t="shared" si="64"/>
        <v>0</v>
      </c>
      <c r="Z332" s="36"/>
      <c r="AA332" s="36"/>
      <c r="AB332" s="36">
        <f t="shared" si="65"/>
        <v>0</v>
      </c>
      <c r="FL332" s="28"/>
      <c r="FM332" s="28"/>
      <c r="FN332" s="28"/>
      <c r="FO332" s="28"/>
      <c r="FP332" s="28"/>
      <c r="FQ332" s="28"/>
      <c r="FR332" s="28"/>
      <c r="FS332" s="28"/>
      <c r="FT332" s="28"/>
      <c r="FU332" s="28"/>
      <c r="FV332" s="28"/>
      <c r="FW332" s="28"/>
      <c r="FX332" s="28"/>
      <c r="FY332" s="28"/>
      <c r="FZ332" s="28"/>
      <c r="GA332" s="28"/>
      <c r="GB332" s="28"/>
      <c r="GC332" s="28"/>
      <c r="GD332" s="28"/>
      <c r="GE332" s="28"/>
    </row>
    <row r="333" spans="1:187" s="11" customFormat="1" ht="31.5">
      <c r="A333" s="29" t="s">
        <v>103</v>
      </c>
      <c r="B333" s="30">
        <f t="shared" si="67"/>
        <v>568611</v>
      </c>
      <c r="C333" s="30">
        <f t="shared" si="67"/>
        <v>568611</v>
      </c>
      <c r="D333" s="30">
        <f t="shared" si="67"/>
        <v>0</v>
      </c>
      <c r="E333" s="30">
        <f>SUM(E334:E334)</f>
        <v>0</v>
      </c>
      <c r="F333" s="30">
        <f>SUM(F334:F334)</f>
        <v>0</v>
      </c>
      <c r="G333" s="30">
        <f t="shared" si="58"/>
        <v>0</v>
      </c>
      <c r="H333" s="30">
        <f>SUM(H334:H334)</f>
        <v>0</v>
      </c>
      <c r="I333" s="30">
        <f>SUM(I334:I334)</f>
        <v>0</v>
      </c>
      <c r="J333" s="30">
        <f t="shared" si="59"/>
        <v>0</v>
      </c>
      <c r="K333" s="30">
        <f>SUM(K334:K334)</f>
        <v>0</v>
      </c>
      <c r="L333" s="30">
        <f>SUM(L334:L334)</f>
        <v>0</v>
      </c>
      <c r="M333" s="30">
        <f t="shared" si="60"/>
        <v>0</v>
      </c>
      <c r="N333" s="30">
        <f>SUM(N334:N334)</f>
        <v>568611</v>
      </c>
      <c r="O333" s="30">
        <f>SUM(O334:O334)</f>
        <v>568611</v>
      </c>
      <c r="P333" s="30">
        <f t="shared" si="61"/>
        <v>0</v>
      </c>
      <c r="Q333" s="30">
        <f>SUM(Q334:Q334)</f>
        <v>0</v>
      </c>
      <c r="R333" s="30">
        <f>SUM(R334:R334)</f>
        <v>0</v>
      </c>
      <c r="S333" s="30">
        <f t="shared" si="62"/>
        <v>0</v>
      </c>
      <c r="T333" s="30">
        <f>SUM(T334:T334)</f>
        <v>0</v>
      </c>
      <c r="U333" s="30">
        <f>SUM(U334:U334)</f>
        <v>0</v>
      </c>
      <c r="V333" s="30">
        <f t="shared" si="63"/>
        <v>0</v>
      </c>
      <c r="W333" s="30">
        <f>SUM(W334:W334)</f>
        <v>0</v>
      </c>
      <c r="X333" s="30">
        <f>SUM(X334:X334)</f>
        <v>0</v>
      </c>
      <c r="Y333" s="30">
        <f t="shared" si="64"/>
        <v>0</v>
      </c>
      <c r="Z333" s="30">
        <f>SUM(Z334:Z334)</f>
        <v>0</v>
      </c>
      <c r="AA333" s="30">
        <f>SUM(AA334:AA334)</f>
        <v>0</v>
      </c>
      <c r="AB333" s="30">
        <f t="shared" si="65"/>
        <v>0</v>
      </c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  <c r="AN333" s="28"/>
      <c r="AO333" s="28"/>
      <c r="AP333" s="28"/>
      <c r="AQ333" s="28"/>
      <c r="AR333" s="28"/>
      <c r="AS333" s="28"/>
      <c r="AT333" s="28"/>
      <c r="AU333" s="28"/>
      <c r="AV333" s="28"/>
      <c r="AW333" s="28"/>
      <c r="AX333" s="28"/>
      <c r="AY333" s="28"/>
      <c r="AZ333" s="28"/>
      <c r="BA333" s="28"/>
      <c r="BB333" s="28"/>
      <c r="BC333" s="28"/>
      <c r="BD333" s="28"/>
      <c r="BE333" s="28"/>
      <c r="BF333" s="28"/>
      <c r="BG333" s="28"/>
      <c r="BH333" s="28"/>
      <c r="BI333" s="28"/>
      <c r="BJ333" s="28"/>
      <c r="BK333" s="28"/>
      <c r="BL333" s="28"/>
      <c r="BM333" s="28"/>
      <c r="BN333" s="28"/>
      <c r="BO333" s="28"/>
      <c r="BP333" s="28"/>
      <c r="BQ333" s="28"/>
      <c r="BR333" s="28"/>
      <c r="BS333" s="28"/>
      <c r="BT333" s="28"/>
      <c r="BU333" s="28"/>
      <c r="BV333" s="28"/>
      <c r="BW333" s="28"/>
      <c r="BX333" s="28"/>
      <c r="BY333" s="28"/>
      <c r="BZ333" s="28"/>
      <c r="CA333" s="28"/>
      <c r="CB333" s="28"/>
      <c r="CC333" s="28"/>
      <c r="CD333" s="28"/>
      <c r="CE333" s="28"/>
      <c r="CF333" s="28"/>
      <c r="CG333" s="28"/>
      <c r="CH333" s="28"/>
      <c r="CI333" s="28"/>
      <c r="CJ333" s="28"/>
      <c r="CK333" s="28"/>
      <c r="CL333" s="28"/>
      <c r="CM333" s="28"/>
      <c r="CN333" s="28"/>
      <c r="CO333" s="28"/>
      <c r="CP333" s="28"/>
      <c r="CQ333" s="28"/>
      <c r="CR333" s="28"/>
      <c r="CS333" s="28"/>
      <c r="CT333" s="28"/>
      <c r="CU333" s="28"/>
      <c r="CV333" s="28"/>
      <c r="CW333" s="28"/>
      <c r="CX333" s="28"/>
      <c r="CY333" s="28"/>
      <c r="CZ333" s="28"/>
      <c r="DA333" s="28"/>
      <c r="DB333" s="28"/>
      <c r="DC333" s="28"/>
      <c r="DD333" s="28"/>
      <c r="DE333" s="28"/>
      <c r="DF333" s="28"/>
      <c r="DG333" s="28"/>
      <c r="DH333" s="28"/>
      <c r="DI333" s="28"/>
      <c r="DJ333" s="28"/>
      <c r="DK333" s="28"/>
      <c r="DL333" s="28"/>
      <c r="DM333" s="28"/>
      <c r="DN333" s="28"/>
      <c r="DO333" s="28"/>
      <c r="DP333" s="28"/>
      <c r="DQ333" s="28"/>
      <c r="DR333" s="28"/>
      <c r="DS333" s="28"/>
      <c r="DT333" s="28"/>
      <c r="DU333" s="28"/>
      <c r="DV333" s="28"/>
      <c r="DW333" s="28"/>
      <c r="DX333" s="28"/>
      <c r="DY333" s="28"/>
      <c r="DZ333" s="28"/>
      <c r="EA333" s="28"/>
      <c r="EB333" s="28"/>
      <c r="EC333" s="28"/>
      <c r="ED333" s="28"/>
      <c r="EE333" s="28"/>
      <c r="EF333" s="28"/>
      <c r="EG333" s="28"/>
      <c r="EH333" s="28"/>
      <c r="EI333" s="28"/>
      <c r="EJ333" s="28"/>
      <c r="EK333" s="28"/>
      <c r="EL333" s="28"/>
      <c r="EM333" s="28"/>
      <c r="EN333" s="28"/>
      <c r="EO333" s="28"/>
      <c r="EP333" s="28"/>
      <c r="EQ333" s="28"/>
      <c r="ER333" s="28"/>
      <c r="ES333" s="28"/>
      <c r="ET333" s="28"/>
      <c r="EU333" s="28"/>
      <c r="EV333" s="28"/>
      <c r="EW333" s="28"/>
      <c r="EX333" s="28"/>
      <c r="EY333" s="28"/>
      <c r="EZ333" s="28"/>
      <c r="FA333" s="28"/>
      <c r="FB333" s="28"/>
      <c r="FC333" s="28"/>
      <c r="FD333" s="28"/>
      <c r="FE333" s="28"/>
      <c r="FF333" s="28"/>
      <c r="FG333" s="28"/>
      <c r="FH333" s="28"/>
      <c r="FI333" s="28"/>
      <c r="FJ333" s="28"/>
      <c r="FK333" s="28"/>
    </row>
    <row r="334" spans="1:187" s="11" customFormat="1" ht="78.75">
      <c r="A334" s="35" t="s">
        <v>303</v>
      </c>
      <c r="B334" s="36">
        <f t="shared" si="67"/>
        <v>568611</v>
      </c>
      <c r="C334" s="36">
        <f t="shared" si="67"/>
        <v>568611</v>
      </c>
      <c r="D334" s="36">
        <f t="shared" si="67"/>
        <v>0</v>
      </c>
      <c r="E334" s="36"/>
      <c r="F334" s="36"/>
      <c r="G334" s="36">
        <f t="shared" si="58"/>
        <v>0</v>
      </c>
      <c r="H334" s="36"/>
      <c r="I334" s="36"/>
      <c r="J334" s="36">
        <f t="shared" si="59"/>
        <v>0</v>
      </c>
      <c r="K334" s="36"/>
      <c r="L334" s="36"/>
      <c r="M334" s="36">
        <f t="shared" si="60"/>
        <v>0</v>
      </c>
      <c r="N334" s="36">
        <f>1231273-662662</f>
        <v>568611</v>
      </c>
      <c r="O334" s="36">
        <f>1231273-662662</f>
        <v>568611</v>
      </c>
      <c r="P334" s="36">
        <f t="shared" si="61"/>
        <v>0</v>
      </c>
      <c r="Q334" s="36"/>
      <c r="R334" s="36"/>
      <c r="S334" s="36">
        <f t="shared" si="62"/>
        <v>0</v>
      </c>
      <c r="T334" s="36"/>
      <c r="U334" s="36"/>
      <c r="V334" s="36">
        <f t="shared" si="63"/>
        <v>0</v>
      </c>
      <c r="W334" s="36"/>
      <c r="X334" s="36"/>
      <c r="Y334" s="36">
        <f t="shared" si="64"/>
        <v>0</v>
      </c>
      <c r="Z334" s="36"/>
      <c r="AA334" s="36"/>
      <c r="AB334" s="36">
        <f t="shared" si="65"/>
        <v>0</v>
      </c>
      <c r="FL334" s="28"/>
      <c r="FM334" s="28"/>
      <c r="FN334" s="28"/>
      <c r="FO334" s="28"/>
      <c r="FP334" s="28"/>
      <c r="FQ334" s="28"/>
      <c r="FR334" s="28"/>
      <c r="FS334" s="28"/>
      <c r="FT334" s="28"/>
      <c r="FU334" s="28"/>
      <c r="FV334" s="28"/>
      <c r="FW334" s="28"/>
      <c r="FX334" s="28"/>
      <c r="FY334" s="28"/>
      <c r="FZ334" s="28"/>
      <c r="GA334" s="28"/>
      <c r="GB334" s="28"/>
      <c r="GC334" s="28"/>
      <c r="GD334" s="28"/>
      <c r="GE334" s="28"/>
    </row>
    <row r="335" spans="1:187" s="11" customFormat="1">
      <c r="A335" s="29" t="s">
        <v>116</v>
      </c>
      <c r="B335" s="30">
        <f t="shared" si="67"/>
        <v>1071114</v>
      </c>
      <c r="C335" s="30">
        <f t="shared" si="67"/>
        <v>1071114</v>
      </c>
      <c r="D335" s="30">
        <f t="shared" si="67"/>
        <v>0</v>
      </c>
      <c r="E335" s="30">
        <f>SUM(E336:E337)</f>
        <v>0</v>
      </c>
      <c r="F335" s="30">
        <f>SUM(F336:F337)</f>
        <v>0</v>
      </c>
      <c r="G335" s="30">
        <f t="shared" si="58"/>
        <v>0</v>
      </c>
      <c r="H335" s="30">
        <f>SUM(H336:H337)</f>
        <v>0</v>
      </c>
      <c r="I335" s="30">
        <f>SUM(I336:I337)</f>
        <v>0</v>
      </c>
      <c r="J335" s="30">
        <f t="shared" si="59"/>
        <v>0</v>
      </c>
      <c r="K335" s="30">
        <f>SUM(K336:K337)</f>
        <v>80000</v>
      </c>
      <c r="L335" s="30">
        <f>SUM(L336:L337)</f>
        <v>80000</v>
      </c>
      <c r="M335" s="30">
        <f t="shared" si="60"/>
        <v>0</v>
      </c>
      <c r="N335" s="30">
        <f>SUM(N336:N337)</f>
        <v>991114</v>
      </c>
      <c r="O335" s="30">
        <f>SUM(O336:O337)</f>
        <v>991114</v>
      </c>
      <c r="P335" s="30">
        <f t="shared" si="61"/>
        <v>0</v>
      </c>
      <c r="Q335" s="30">
        <f>SUM(Q336:Q337)</f>
        <v>0</v>
      </c>
      <c r="R335" s="30">
        <f>SUM(R336:R337)</f>
        <v>0</v>
      </c>
      <c r="S335" s="30">
        <f t="shared" si="62"/>
        <v>0</v>
      </c>
      <c r="T335" s="30">
        <f>SUM(T336:T337)</f>
        <v>0</v>
      </c>
      <c r="U335" s="30">
        <f>SUM(U336:U337)</f>
        <v>0</v>
      </c>
      <c r="V335" s="30">
        <f t="shared" si="63"/>
        <v>0</v>
      </c>
      <c r="W335" s="30">
        <f>SUM(W336:W337)</f>
        <v>0</v>
      </c>
      <c r="X335" s="30">
        <f>SUM(X336:X337)</f>
        <v>0</v>
      </c>
      <c r="Y335" s="30">
        <f t="shared" si="64"/>
        <v>0</v>
      </c>
      <c r="Z335" s="30">
        <f>SUM(Z336:Z337)</f>
        <v>0</v>
      </c>
      <c r="AA335" s="30">
        <f>SUM(AA336:AA337)</f>
        <v>0</v>
      </c>
      <c r="AB335" s="30">
        <f t="shared" si="65"/>
        <v>0</v>
      </c>
      <c r="AC335" s="28"/>
      <c r="AD335" s="28"/>
      <c r="AE335" s="28"/>
      <c r="AF335" s="28"/>
      <c r="AG335" s="28"/>
      <c r="AH335" s="28"/>
      <c r="AI335" s="28"/>
      <c r="AJ335" s="28"/>
      <c r="AK335" s="28"/>
      <c r="AL335" s="28"/>
      <c r="AM335" s="28"/>
      <c r="AN335" s="28"/>
      <c r="AO335" s="28"/>
      <c r="AP335" s="28"/>
      <c r="AQ335" s="28"/>
      <c r="AR335" s="28"/>
      <c r="AS335" s="28"/>
      <c r="AT335" s="28"/>
      <c r="AU335" s="28"/>
      <c r="AV335" s="28"/>
      <c r="AW335" s="28"/>
      <c r="AX335" s="28"/>
      <c r="AY335" s="28"/>
      <c r="AZ335" s="28"/>
      <c r="BA335" s="28"/>
      <c r="BB335" s="28"/>
      <c r="BC335" s="28"/>
      <c r="BD335" s="28"/>
      <c r="BE335" s="28"/>
      <c r="BF335" s="28"/>
      <c r="BG335" s="28"/>
      <c r="BH335" s="28"/>
      <c r="BI335" s="28"/>
      <c r="BJ335" s="28"/>
      <c r="BK335" s="28"/>
      <c r="BL335" s="28"/>
      <c r="BM335" s="28"/>
      <c r="BN335" s="28"/>
      <c r="BO335" s="28"/>
      <c r="BP335" s="28"/>
      <c r="BQ335" s="28"/>
      <c r="BR335" s="28"/>
      <c r="BS335" s="28"/>
      <c r="BT335" s="28"/>
      <c r="BU335" s="28"/>
      <c r="BV335" s="28"/>
      <c r="BW335" s="28"/>
      <c r="BX335" s="28"/>
      <c r="BY335" s="28"/>
      <c r="BZ335" s="28"/>
      <c r="CA335" s="28"/>
      <c r="CB335" s="28"/>
      <c r="CC335" s="28"/>
      <c r="CD335" s="28"/>
      <c r="CE335" s="28"/>
      <c r="CF335" s="28"/>
      <c r="CG335" s="28"/>
      <c r="CH335" s="28"/>
      <c r="CI335" s="28"/>
      <c r="CJ335" s="28"/>
      <c r="CK335" s="28"/>
      <c r="CL335" s="28"/>
      <c r="CM335" s="28"/>
      <c r="CN335" s="28"/>
      <c r="CO335" s="28"/>
      <c r="CP335" s="28"/>
      <c r="CQ335" s="28"/>
      <c r="CR335" s="28"/>
      <c r="CS335" s="28"/>
      <c r="CT335" s="28"/>
      <c r="CU335" s="28"/>
      <c r="CV335" s="28"/>
      <c r="CW335" s="28"/>
      <c r="CX335" s="28"/>
      <c r="CY335" s="28"/>
      <c r="CZ335" s="28"/>
      <c r="DA335" s="28"/>
      <c r="DB335" s="28"/>
      <c r="DC335" s="28"/>
      <c r="DD335" s="28"/>
      <c r="DE335" s="28"/>
      <c r="DF335" s="28"/>
      <c r="DG335" s="28"/>
      <c r="DH335" s="28"/>
      <c r="DI335" s="28"/>
      <c r="DJ335" s="28"/>
      <c r="DK335" s="28"/>
      <c r="DL335" s="28"/>
      <c r="DM335" s="28"/>
      <c r="DN335" s="28"/>
      <c r="DO335" s="28"/>
      <c r="DP335" s="28"/>
      <c r="DQ335" s="28"/>
      <c r="DR335" s="28"/>
      <c r="DS335" s="28"/>
      <c r="DT335" s="28"/>
      <c r="DU335" s="28"/>
      <c r="DV335" s="28"/>
      <c r="DW335" s="28"/>
      <c r="DX335" s="28"/>
      <c r="DY335" s="28"/>
      <c r="DZ335" s="28"/>
      <c r="EA335" s="28"/>
      <c r="EB335" s="28"/>
      <c r="EC335" s="28"/>
      <c r="ED335" s="28"/>
      <c r="EE335" s="28"/>
      <c r="EF335" s="28"/>
      <c r="EG335" s="28"/>
      <c r="EH335" s="28"/>
      <c r="EI335" s="28"/>
      <c r="EJ335" s="28"/>
      <c r="EK335" s="28"/>
      <c r="EL335" s="28"/>
      <c r="EM335" s="28"/>
      <c r="EN335" s="28"/>
      <c r="EO335" s="28"/>
      <c r="EP335" s="28"/>
      <c r="EQ335" s="28"/>
      <c r="ER335" s="28"/>
      <c r="ES335" s="28"/>
      <c r="ET335" s="28"/>
      <c r="EU335" s="28"/>
      <c r="EV335" s="28"/>
      <c r="EW335" s="28"/>
      <c r="EX335" s="28"/>
      <c r="EY335" s="28"/>
      <c r="EZ335" s="28"/>
      <c r="FA335" s="28"/>
      <c r="FB335" s="28"/>
      <c r="FC335" s="28"/>
      <c r="FD335" s="28"/>
      <c r="FE335" s="28"/>
      <c r="FF335" s="28"/>
      <c r="FG335" s="28"/>
      <c r="FH335" s="28"/>
      <c r="FI335" s="28"/>
      <c r="FJ335" s="28"/>
      <c r="FK335" s="28"/>
      <c r="FL335" s="28"/>
      <c r="FM335" s="28"/>
      <c r="FN335" s="28"/>
      <c r="FO335" s="28"/>
      <c r="FP335" s="28"/>
      <c r="FQ335" s="28"/>
      <c r="FR335" s="28"/>
      <c r="FS335" s="28"/>
      <c r="FT335" s="28"/>
      <c r="FU335" s="28"/>
      <c r="FV335" s="28"/>
      <c r="FW335" s="28"/>
      <c r="FX335" s="28"/>
      <c r="FY335" s="28"/>
      <c r="FZ335" s="28"/>
      <c r="GA335" s="28"/>
      <c r="GB335" s="28"/>
      <c r="GC335" s="28"/>
      <c r="GD335" s="28"/>
      <c r="GE335" s="28"/>
    </row>
    <row r="336" spans="1:187" s="11" customFormat="1" ht="94.5">
      <c r="A336" s="35" t="s">
        <v>304</v>
      </c>
      <c r="B336" s="36">
        <f t="shared" si="67"/>
        <v>991114</v>
      </c>
      <c r="C336" s="36">
        <f t="shared" si="67"/>
        <v>991114</v>
      </c>
      <c r="D336" s="36">
        <f t="shared" si="67"/>
        <v>0</v>
      </c>
      <c r="E336" s="36"/>
      <c r="F336" s="36"/>
      <c r="G336" s="36">
        <f t="shared" ref="G336:G368" si="82">F336-E336</f>
        <v>0</v>
      </c>
      <c r="H336" s="36"/>
      <c r="I336" s="36"/>
      <c r="J336" s="36">
        <f t="shared" ref="J336:J368" si="83">I336-H336</f>
        <v>0</v>
      </c>
      <c r="K336" s="36"/>
      <c r="L336" s="36"/>
      <c r="M336" s="36">
        <f t="shared" ref="M336:M368" si="84">L336-K336</f>
        <v>0</v>
      </c>
      <c r="N336" s="36">
        <f>860214+130900</f>
        <v>991114</v>
      </c>
      <c r="O336" s="36">
        <f>860214+130900</f>
        <v>991114</v>
      </c>
      <c r="P336" s="36">
        <f t="shared" ref="P336:P368" si="85">O336-N336</f>
        <v>0</v>
      </c>
      <c r="Q336" s="36"/>
      <c r="R336" s="36"/>
      <c r="S336" s="36">
        <f t="shared" ref="S336:S368" si="86">R336-Q336</f>
        <v>0</v>
      </c>
      <c r="T336" s="36"/>
      <c r="U336" s="36"/>
      <c r="V336" s="36">
        <f t="shared" ref="V336:V368" si="87">U336-T336</f>
        <v>0</v>
      </c>
      <c r="W336" s="36"/>
      <c r="X336" s="36"/>
      <c r="Y336" s="36">
        <f t="shared" ref="Y336:Y368" si="88">X336-W336</f>
        <v>0</v>
      </c>
      <c r="Z336" s="36"/>
      <c r="AA336" s="36"/>
      <c r="AB336" s="36">
        <f t="shared" ref="AB336:AB368" si="89">AA336-Z336</f>
        <v>0</v>
      </c>
      <c r="FL336" s="28"/>
      <c r="FM336" s="28"/>
      <c r="FN336" s="28"/>
      <c r="FO336" s="28"/>
      <c r="FP336" s="28"/>
      <c r="FQ336" s="28"/>
      <c r="FR336" s="28"/>
      <c r="FS336" s="28"/>
      <c r="FT336" s="28"/>
      <c r="FU336" s="28"/>
      <c r="FV336" s="28"/>
      <c r="FW336" s="28"/>
      <c r="FX336" s="28"/>
      <c r="FY336" s="28"/>
      <c r="FZ336" s="28"/>
      <c r="GA336" s="28"/>
      <c r="GB336" s="28"/>
      <c r="GC336" s="28"/>
      <c r="GD336" s="28"/>
      <c r="GE336" s="28"/>
    </row>
    <row r="337" spans="1:187" s="11" customFormat="1" ht="31.5">
      <c r="A337" s="35" t="s">
        <v>305</v>
      </c>
      <c r="B337" s="36">
        <f t="shared" si="67"/>
        <v>80000</v>
      </c>
      <c r="C337" s="36">
        <f t="shared" si="67"/>
        <v>80000</v>
      </c>
      <c r="D337" s="36">
        <f t="shared" si="67"/>
        <v>0</v>
      </c>
      <c r="E337" s="36"/>
      <c r="F337" s="36"/>
      <c r="G337" s="36">
        <f t="shared" si="82"/>
        <v>0</v>
      </c>
      <c r="H337" s="36"/>
      <c r="I337" s="36"/>
      <c r="J337" s="36">
        <f t="shared" si="83"/>
        <v>0</v>
      </c>
      <c r="K337" s="36">
        <v>80000</v>
      </c>
      <c r="L337" s="36">
        <v>80000</v>
      </c>
      <c r="M337" s="36">
        <f t="shared" si="84"/>
        <v>0</v>
      </c>
      <c r="N337" s="36"/>
      <c r="O337" s="36"/>
      <c r="P337" s="36">
        <f t="shared" si="85"/>
        <v>0</v>
      </c>
      <c r="Q337" s="36"/>
      <c r="R337" s="36"/>
      <c r="S337" s="36">
        <f t="shared" si="86"/>
        <v>0</v>
      </c>
      <c r="T337" s="36"/>
      <c r="U337" s="36"/>
      <c r="V337" s="36">
        <f t="shared" si="87"/>
        <v>0</v>
      </c>
      <c r="W337" s="36"/>
      <c r="X337" s="36"/>
      <c r="Y337" s="36">
        <f t="shared" si="88"/>
        <v>0</v>
      </c>
      <c r="Z337" s="36"/>
      <c r="AA337" s="36"/>
      <c r="AB337" s="36">
        <f t="shared" si="89"/>
        <v>0</v>
      </c>
      <c r="FL337" s="28"/>
      <c r="FM337" s="28"/>
      <c r="FN337" s="28"/>
      <c r="FO337" s="28"/>
      <c r="FP337" s="28"/>
      <c r="FQ337" s="28"/>
      <c r="FR337" s="28"/>
      <c r="FS337" s="28"/>
      <c r="FT337" s="28"/>
      <c r="FU337" s="28"/>
      <c r="FV337" s="28"/>
      <c r="FW337" s="28"/>
      <c r="FX337" s="28"/>
      <c r="FY337" s="28"/>
      <c r="FZ337" s="28"/>
      <c r="GA337" s="28"/>
      <c r="GB337" s="28"/>
      <c r="GC337" s="28"/>
      <c r="GD337" s="28"/>
      <c r="GE337" s="28"/>
    </row>
    <row r="338" spans="1:187" s="11" customFormat="1">
      <c r="A338" s="29" t="s">
        <v>179</v>
      </c>
      <c r="B338" s="30">
        <f t="shared" si="67"/>
        <v>1024992</v>
      </c>
      <c r="C338" s="30">
        <f t="shared" si="67"/>
        <v>1024992</v>
      </c>
      <c r="D338" s="30">
        <f t="shared" si="67"/>
        <v>0</v>
      </c>
      <c r="E338" s="30">
        <f>SUM(E339:E340)</f>
        <v>0</v>
      </c>
      <c r="F338" s="30">
        <f>SUM(F339:F340)</f>
        <v>0</v>
      </c>
      <c r="G338" s="30">
        <f t="shared" si="82"/>
        <v>0</v>
      </c>
      <c r="H338" s="30">
        <f>SUM(H339:H340)</f>
        <v>0</v>
      </c>
      <c r="I338" s="30">
        <f>SUM(I339:I340)</f>
        <v>0</v>
      </c>
      <c r="J338" s="30">
        <f t="shared" si="83"/>
        <v>0</v>
      </c>
      <c r="K338" s="30">
        <f>SUM(K339:K340)</f>
        <v>15510</v>
      </c>
      <c r="L338" s="30">
        <f>SUM(L339:L340)</f>
        <v>15510</v>
      </c>
      <c r="M338" s="30">
        <f t="shared" si="84"/>
        <v>0</v>
      </c>
      <c r="N338" s="30">
        <f>SUM(N339:N340)</f>
        <v>1009482</v>
      </c>
      <c r="O338" s="30">
        <f>SUM(O339:O340)</f>
        <v>1009482</v>
      </c>
      <c r="P338" s="30">
        <f t="shared" si="85"/>
        <v>0</v>
      </c>
      <c r="Q338" s="30">
        <f>SUM(Q339:Q340)</f>
        <v>0</v>
      </c>
      <c r="R338" s="30">
        <f>SUM(R339:R340)</f>
        <v>0</v>
      </c>
      <c r="S338" s="30">
        <f t="shared" si="86"/>
        <v>0</v>
      </c>
      <c r="T338" s="30">
        <f>SUM(T339:T340)</f>
        <v>0</v>
      </c>
      <c r="U338" s="30">
        <f>SUM(U339:U340)</f>
        <v>0</v>
      </c>
      <c r="V338" s="30">
        <f t="shared" si="87"/>
        <v>0</v>
      </c>
      <c r="W338" s="30">
        <f>SUM(W339:W340)</f>
        <v>0</v>
      </c>
      <c r="X338" s="30">
        <f>SUM(X339:X340)</f>
        <v>0</v>
      </c>
      <c r="Y338" s="30">
        <f t="shared" si="88"/>
        <v>0</v>
      </c>
      <c r="Z338" s="30">
        <f>SUM(Z339:Z340)</f>
        <v>0</v>
      </c>
      <c r="AA338" s="30">
        <f>SUM(AA339:AA340)</f>
        <v>0</v>
      </c>
      <c r="AB338" s="30">
        <f t="shared" si="89"/>
        <v>0</v>
      </c>
      <c r="AC338" s="28"/>
      <c r="AD338" s="28"/>
      <c r="AE338" s="28"/>
      <c r="AF338" s="28"/>
      <c r="AG338" s="28"/>
      <c r="AH338" s="28"/>
      <c r="AI338" s="28"/>
      <c r="AJ338" s="28"/>
      <c r="AK338" s="28"/>
      <c r="AL338" s="28"/>
      <c r="AM338" s="28"/>
      <c r="AN338" s="28"/>
      <c r="AO338" s="28"/>
      <c r="AP338" s="28"/>
      <c r="AQ338" s="28"/>
      <c r="AR338" s="28"/>
      <c r="AS338" s="28"/>
      <c r="AT338" s="28"/>
      <c r="AU338" s="28"/>
      <c r="AV338" s="28"/>
      <c r="AW338" s="28"/>
      <c r="AX338" s="28"/>
      <c r="AY338" s="28"/>
      <c r="AZ338" s="28"/>
      <c r="BA338" s="28"/>
      <c r="BB338" s="28"/>
      <c r="BC338" s="28"/>
      <c r="BD338" s="28"/>
      <c r="BE338" s="28"/>
      <c r="BF338" s="28"/>
      <c r="BG338" s="28"/>
      <c r="BH338" s="28"/>
      <c r="BI338" s="28"/>
      <c r="BJ338" s="28"/>
      <c r="BK338" s="28"/>
      <c r="BL338" s="28"/>
      <c r="BM338" s="28"/>
      <c r="BN338" s="28"/>
      <c r="BO338" s="28"/>
      <c r="BP338" s="28"/>
      <c r="BQ338" s="28"/>
      <c r="BR338" s="28"/>
      <c r="BS338" s="28"/>
      <c r="BT338" s="28"/>
      <c r="BU338" s="28"/>
      <c r="BV338" s="28"/>
      <c r="BW338" s="28"/>
      <c r="BX338" s="28"/>
      <c r="BY338" s="28"/>
      <c r="BZ338" s="28"/>
      <c r="CA338" s="28"/>
      <c r="CB338" s="28"/>
      <c r="CC338" s="28"/>
      <c r="CD338" s="28"/>
      <c r="CE338" s="28"/>
      <c r="CF338" s="28"/>
      <c r="CG338" s="28"/>
      <c r="CH338" s="28"/>
      <c r="CI338" s="28"/>
      <c r="CJ338" s="28"/>
      <c r="CK338" s="28"/>
      <c r="CL338" s="28"/>
      <c r="CM338" s="28"/>
      <c r="CN338" s="28"/>
      <c r="CO338" s="28"/>
      <c r="CP338" s="28"/>
      <c r="CQ338" s="28"/>
      <c r="CR338" s="28"/>
      <c r="CS338" s="28"/>
      <c r="CT338" s="28"/>
      <c r="CU338" s="28"/>
      <c r="CV338" s="28"/>
      <c r="CW338" s="28"/>
      <c r="CX338" s="28"/>
      <c r="CY338" s="28"/>
      <c r="CZ338" s="28"/>
      <c r="DA338" s="28"/>
      <c r="DB338" s="28"/>
      <c r="DC338" s="28"/>
      <c r="DD338" s="28"/>
      <c r="DE338" s="28"/>
      <c r="DF338" s="28"/>
      <c r="DG338" s="28"/>
      <c r="DH338" s="28"/>
      <c r="DI338" s="28"/>
      <c r="DJ338" s="28"/>
      <c r="DK338" s="28"/>
      <c r="DL338" s="28"/>
      <c r="DM338" s="28"/>
      <c r="DN338" s="28"/>
      <c r="DO338" s="28"/>
      <c r="DP338" s="28"/>
      <c r="DQ338" s="28"/>
      <c r="DR338" s="28"/>
      <c r="DS338" s="28"/>
      <c r="DT338" s="28"/>
      <c r="DU338" s="28"/>
      <c r="DV338" s="28"/>
      <c r="DW338" s="28"/>
      <c r="DX338" s="28"/>
      <c r="DY338" s="28"/>
      <c r="DZ338" s="28"/>
      <c r="EA338" s="28"/>
      <c r="EB338" s="28"/>
      <c r="EC338" s="28"/>
      <c r="ED338" s="28"/>
      <c r="EE338" s="28"/>
      <c r="EF338" s="28"/>
      <c r="EG338" s="28"/>
      <c r="EH338" s="28"/>
      <c r="EI338" s="28"/>
      <c r="EJ338" s="28"/>
      <c r="EK338" s="28"/>
      <c r="EL338" s="28"/>
      <c r="EM338" s="28"/>
      <c r="EN338" s="28"/>
      <c r="EO338" s="28"/>
      <c r="EP338" s="28"/>
      <c r="EQ338" s="28"/>
      <c r="ER338" s="28"/>
      <c r="ES338" s="28"/>
      <c r="ET338" s="28"/>
      <c r="EU338" s="28"/>
      <c r="EV338" s="28"/>
      <c r="EW338" s="28"/>
      <c r="EX338" s="28"/>
      <c r="EY338" s="28"/>
      <c r="EZ338" s="28"/>
      <c r="FA338" s="28"/>
      <c r="FB338" s="28"/>
      <c r="FC338" s="28"/>
      <c r="FD338" s="28"/>
      <c r="FE338" s="28"/>
      <c r="FF338" s="28"/>
      <c r="FG338" s="28"/>
      <c r="FH338" s="28"/>
      <c r="FI338" s="28"/>
      <c r="FJ338" s="28"/>
      <c r="FK338" s="28"/>
      <c r="FL338" s="28"/>
      <c r="FM338" s="28"/>
      <c r="FN338" s="28"/>
      <c r="FO338" s="28"/>
      <c r="FP338" s="28"/>
      <c r="FQ338" s="28"/>
      <c r="FR338" s="28"/>
      <c r="FS338" s="28"/>
      <c r="FT338" s="28"/>
      <c r="FU338" s="28"/>
      <c r="FV338" s="28"/>
      <c r="FW338" s="28"/>
      <c r="FX338" s="28"/>
      <c r="FY338" s="28"/>
      <c r="FZ338" s="28"/>
      <c r="GA338" s="28"/>
      <c r="GB338" s="28"/>
      <c r="GC338" s="28"/>
      <c r="GD338" s="28"/>
      <c r="GE338" s="28"/>
    </row>
    <row r="339" spans="1:187" s="11" customFormat="1" ht="31.5">
      <c r="A339" s="35" t="s">
        <v>306</v>
      </c>
      <c r="B339" s="36">
        <f t="shared" si="67"/>
        <v>15510</v>
      </c>
      <c r="C339" s="36">
        <f t="shared" si="67"/>
        <v>15510</v>
      </c>
      <c r="D339" s="36">
        <f t="shared" si="67"/>
        <v>0</v>
      </c>
      <c r="E339" s="36">
        <v>0</v>
      </c>
      <c r="F339" s="36">
        <v>0</v>
      </c>
      <c r="G339" s="36">
        <f t="shared" si="82"/>
        <v>0</v>
      </c>
      <c r="H339" s="36">
        <v>0</v>
      </c>
      <c r="I339" s="36">
        <v>0</v>
      </c>
      <c r="J339" s="36">
        <f t="shared" si="83"/>
        <v>0</v>
      </c>
      <c r="K339" s="36">
        <v>15510</v>
      </c>
      <c r="L339" s="36">
        <v>15510</v>
      </c>
      <c r="M339" s="36">
        <f t="shared" si="84"/>
        <v>0</v>
      </c>
      <c r="N339" s="36"/>
      <c r="O339" s="36"/>
      <c r="P339" s="36">
        <f t="shared" si="85"/>
        <v>0</v>
      </c>
      <c r="Q339" s="36"/>
      <c r="R339" s="36"/>
      <c r="S339" s="36">
        <f t="shared" si="86"/>
        <v>0</v>
      </c>
      <c r="T339" s="36"/>
      <c r="U339" s="36"/>
      <c r="V339" s="36">
        <f t="shared" si="87"/>
        <v>0</v>
      </c>
      <c r="W339" s="36"/>
      <c r="X339" s="36"/>
      <c r="Y339" s="36">
        <f t="shared" si="88"/>
        <v>0</v>
      </c>
      <c r="Z339" s="36"/>
      <c r="AA339" s="36"/>
      <c r="AB339" s="36">
        <f t="shared" si="89"/>
        <v>0</v>
      </c>
    </row>
    <row r="340" spans="1:187" s="11" customFormat="1" ht="78.75">
      <c r="A340" s="35" t="s">
        <v>307</v>
      </c>
      <c r="B340" s="36">
        <f t="shared" si="67"/>
        <v>1009482</v>
      </c>
      <c r="C340" s="36">
        <f t="shared" si="67"/>
        <v>1009482</v>
      </c>
      <c r="D340" s="36">
        <f t="shared" si="67"/>
        <v>0</v>
      </c>
      <c r="E340" s="36"/>
      <c r="F340" s="36"/>
      <c r="G340" s="36">
        <f t="shared" si="82"/>
        <v>0</v>
      </c>
      <c r="H340" s="36"/>
      <c r="I340" s="36"/>
      <c r="J340" s="36">
        <f t="shared" si="83"/>
        <v>0</v>
      </c>
      <c r="K340" s="36"/>
      <c r="L340" s="36"/>
      <c r="M340" s="36">
        <f t="shared" si="84"/>
        <v>0</v>
      </c>
      <c r="N340" s="36">
        <v>1009482</v>
      </c>
      <c r="O340" s="36">
        <v>1009482</v>
      </c>
      <c r="P340" s="36">
        <f t="shared" si="85"/>
        <v>0</v>
      </c>
      <c r="Q340" s="36"/>
      <c r="R340" s="36"/>
      <c r="S340" s="36">
        <f t="shared" si="86"/>
        <v>0</v>
      </c>
      <c r="T340" s="36"/>
      <c r="U340" s="36"/>
      <c r="V340" s="36">
        <f t="shared" si="87"/>
        <v>0</v>
      </c>
      <c r="W340" s="36"/>
      <c r="X340" s="36"/>
      <c r="Y340" s="36">
        <f t="shared" si="88"/>
        <v>0</v>
      </c>
      <c r="Z340" s="36"/>
      <c r="AA340" s="36"/>
      <c r="AB340" s="36">
        <f t="shared" si="89"/>
        <v>0</v>
      </c>
      <c r="FL340" s="28"/>
      <c r="FM340" s="28"/>
      <c r="FN340" s="28"/>
      <c r="FO340" s="28"/>
      <c r="FP340" s="28"/>
      <c r="FQ340" s="28"/>
      <c r="FR340" s="28"/>
      <c r="FS340" s="28"/>
      <c r="FT340" s="28"/>
      <c r="FU340" s="28"/>
      <c r="FV340" s="28"/>
      <c r="FW340" s="28"/>
      <c r="FX340" s="28"/>
      <c r="FY340" s="28"/>
      <c r="FZ340" s="28"/>
      <c r="GA340" s="28"/>
      <c r="GB340" s="28"/>
      <c r="GC340" s="28"/>
      <c r="GD340" s="28"/>
      <c r="GE340" s="28"/>
    </row>
    <row r="341" spans="1:187" s="28" customFormat="1">
      <c r="A341" s="29" t="s">
        <v>308</v>
      </c>
      <c r="B341" s="30">
        <f t="shared" si="67"/>
        <v>507201</v>
      </c>
      <c r="C341" s="30">
        <f t="shared" si="67"/>
        <v>517649</v>
      </c>
      <c r="D341" s="30">
        <f t="shared" si="67"/>
        <v>10448</v>
      </c>
      <c r="E341" s="30">
        <f>SUM(E342,E353,E357,E347,E350)</f>
        <v>0</v>
      </c>
      <c r="F341" s="30">
        <f>SUM(F342,F353,F357,F347,F350)</f>
        <v>0</v>
      </c>
      <c r="G341" s="30">
        <f t="shared" si="82"/>
        <v>0</v>
      </c>
      <c r="H341" s="30">
        <f t="shared" ref="H341:I341" si="90">SUM(H342,H353,H357,H347,H350)</f>
        <v>0</v>
      </c>
      <c r="I341" s="30">
        <f t="shared" si="90"/>
        <v>0</v>
      </c>
      <c r="J341" s="30">
        <f t="shared" si="83"/>
        <v>0</v>
      </c>
      <c r="K341" s="30">
        <f t="shared" ref="K341" si="91">SUM(K342,K353,K357,K347,K350)</f>
        <v>92580</v>
      </c>
      <c r="L341" s="30">
        <f>SUM(L342,L353,L357,L347,L350)</f>
        <v>98553</v>
      </c>
      <c r="M341" s="30">
        <f t="shared" si="84"/>
        <v>5973</v>
      </c>
      <c r="N341" s="30">
        <f t="shared" ref="N341:O341" si="92">SUM(N342,N353,N357,N347,N350)</f>
        <v>412151</v>
      </c>
      <c r="O341" s="30">
        <f t="shared" si="92"/>
        <v>418737</v>
      </c>
      <c r="P341" s="30">
        <f t="shared" si="85"/>
        <v>6586</v>
      </c>
      <c r="Q341" s="30">
        <f t="shared" ref="Q341:R341" si="93">SUM(Q342,Q353,Q357,Q347,Q350)</f>
        <v>2470</v>
      </c>
      <c r="R341" s="30">
        <f t="shared" si="93"/>
        <v>359</v>
      </c>
      <c r="S341" s="30">
        <f t="shared" si="86"/>
        <v>-2111</v>
      </c>
      <c r="T341" s="30">
        <f t="shared" ref="T341:U341" si="94">SUM(T342,T353,T357,T347,T350)</f>
        <v>0</v>
      </c>
      <c r="U341" s="30">
        <f t="shared" si="94"/>
        <v>0</v>
      </c>
      <c r="V341" s="30">
        <f t="shared" si="87"/>
        <v>0</v>
      </c>
      <c r="W341" s="30">
        <f t="shared" ref="W341:X341" si="95">SUM(W342,W353,W357,W347,W350)</f>
        <v>0</v>
      </c>
      <c r="X341" s="30">
        <f t="shared" si="95"/>
        <v>0</v>
      </c>
      <c r="Y341" s="30">
        <f t="shared" si="88"/>
        <v>0</v>
      </c>
      <c r="Z341" s="30">
        <f t="shared" ref="Z341:AA341" si="96">SUM(Z342,Z353,Z357,Z347,Z350)</f>
        <v>0</v>
      </c>
      <c r="AA341" s="30">
        <f t="shared" si="96"/>
        <v>0</v>
      </c>
      <c r="AB341" s="30">
        <f t="shared" si="89"/>
        <v>0</v>
      </c>
      <c r="FL341" s="11"/>
      <c r="FM341" s="11"/>
      <c r="FN341" s="11"/>
      <c r="FO341" s="11"/>
      <c r="FP341" s="11"/>
      <c r="FQ341" s="11"/>
      <c r="FR341" s="11"/>
      <c r="FS341" s="11"/>
      <c r="FT341" s="11"/>
      <c r="FU341" s="11"/>
      <c r="FV341" s="11"/>
      <c r="FW341" s="11"/>
      <c r="FX341" s="11"/>
      <c r="FY341" s="11"/>
      <c r="FZ341" s="11"/>
      <c r="GA341" s="11"/>
      <c r="GB341" s="11"/>
      <c r="GC341" s="11"/>
      <c r="GD341" s="11"/>
      <c r="GE341" s="11"/>
    </row>
    <row r="342" spans="1:187" s="11" customFormat="1">
      <c r="A342" s="29" t="s">
        <v>21</v>
      </c>
      <c r="B342" s="30">
        <f t="shared" si="67"/>
        <v>68580</v>
      </c>
      <c r="C342" s="30">
        <f t="shared" si="67"/>
        <v>68460</v>
      </c>
      <c r="D342" s="30">
        <f t="shared" si="67"/>
        <v>-120</v>
      </c>
      <c r="E342" s="30">
        <f>SUM(E343)</f>
        <v>0</v>
      </c>
      <c r="F342" s="30">
        <f>SUM(F343)</f>
        <v>0</v>
      </c>
      <c r="G342" s="30">
        <f t="shared" si="82"/>
        <v>0</v>
      </c>
      <c r="H342" s="30">
        <f>SUM(H343)</f>
        <v>0</v>
      </c>
      <c r="I342" s="30">
        <f>SUM(I343)</f>
        <v>0</v>
      </c>
      <c r="J342" s="30">
        <f t="shared" si="83"/>
        <v>0</v>
      </c>
      <c r="K342" s="30">
        <f>SUM(K343)</f>
        <v>68580</v>
      </c>
      <c r="L342" s="30">
        <f>SUM(L343)</f>
        <v>68460</v>
      </c>
      <c r="M342" s="30">
        <f t="shared" si="84"/>
        <v>-120</v>
      </c>
      <c r="N342" s="30">
        <f>SUM(N343)</f>
        <v>0</v>
      </c>
      <c r="O342" s="30">
        <f>SUM(O343)</f>
        <v>0</v>
      </c>
      <c r="P342" s="30">
        <f t="shared" si="85"/>
        <v>0</v>
      </c>
      <c r="Q342" s="30">
        <f>SUM(Q343)</f>
        <v>0</v>
      </c>
      <c r="R342" s="30">
        <f>SUM(R343)</f>
        <v>0</v>
      </c>
      <c r="S342" s="30">
        <f t="shared" si="86"/>
        <v>0</v>
      </c>
      <c r="T342" s="30">
        <f>SUM(T343)</f>
        <v>0</v>
      </c>
      <c r="U342" s="30">
        <f>SUM(U343)</f>
        <v>0</v>
      </c>
      <c r="V342" s="30">
        <f t="shared" si="87"/>
        <v>0</v>
      </c>
      <c r="W342" s="30">
        <f>SUM(W343)</f>
        <v>0</v>
      </c>
      <c r="X342" s="30">
        <f>SUM(X343)</f>
        <v>0</v>
      </c>
      <c r="Y342" s="30">
        <f t="shared" si="88"/>
        <v>0</v>
      </c>
      <c r="Z342" s="30">
        <f>SUM(Z343)</f>
        <v>0</v>
      </c>
      <c r="AA342" s="30">
        <f>SUM(AA343)</f>
        <v>0</v>
      </c>
      <c r="AB342" s="30">
        <f t="shared" si="89"/>
        <v>0</v>
      </c>
    </row>
    <row r="343" spans="1:187" s="11" customFormat="1" ht="31.5">
      <c r="A343" s="29" t="s">
        <v>309</v>
      </c>
      <c r="B343" s="30">
        <f t="shared" si="67"/>
        <v>68580</v>
      </c>
      <c r="C343" s="30">
        <f t="shared" si="67"/>
        <v>68460</v>
      </c>
      <c r="D343" s="30">
        <f t="shared" si="67"/>
        <v>-120</v>
      </c>
      <c r="E343" s="30">
        <f>SUM(E344:E346)</f>
        <v>0</v>
      </c>
      <c r="F343" s="30">
        <f>SUM(F344:F346)</f>
        <v>0</v>
      </c>
      <c r="G343" s="30">
        <f t="shared" si="82"/>
        <v>0</v>
      </c>
      <c r="H343" s="30">
        <f>SUM(H344:H346)</f>
        <v>0</v>
      </c>
      <c r="I343" s="30">
        <f>SUM(I344:I346)</f>
        <v>0</v>
      </c>
      <c r="J343" s="30">
        <f t="shared" si="83"/>
        <v>0</v>
      </c>
      <c r="K343" s="30">
        <f>SUM(K344:K346)</f>
        <v>68580</v>
      </c>
      <c r="L343" s="30">
        <f>SUM(L344:L346)</f>
        <v>68460</v>
      </c>
      <c r="M343" s="30">
        <f t="shared" si="84"/>
        <v>-120</v>
      </c>
      <c r="N343" s="30">
        <f>SUM(N344:N346)</f>
        <v>0</v>
      </c>
      <c r="O343" s="30">
        <f>SUM(O344:O346)</f>
        <v>0</v>
      </c>
      <c r="P343" s="30">
        <f t="shared" si="85"/>
        <v>0</v>
      </c>
      <c r="Q343" s="30">
        <f>SUM(Q344:Q346)</f>
        <v>0</v>
      </c>
      <c r="R343" s="30">
        <f>SUM(R344:R346)</f>
        <v>0</v>
      </c>
      <c r="S343" s="30">
        <f t="shared" si="86"/>
        <v>0</v>
      </c>
      <c r="T343" s="30">
        <f>SUM(T344:T346)</f>
        <v>0</v>
      </c>
      <c r="U343" s="30">
        <f>SUM(U344:U346)</f>
        <v>0</v>
      </c>
      <c r="V343" s="30">
        <f t="shared" si="87"/>
        <v>0</v>
      </c>
      <c r="W343" s="30">
        <f>SUM(W344:W346)</f>
        <v>0</v>
      </c>
      <c r="X343" s="30">
        <f>SUM(X344:X346)</f>
        <v>0</v>
      </c>
      <c r="Y343" s="30">
        <f t="shared" si="88"/>
        <v>0</v>
      </c>
      <c r="Z343" s="30">
        <f>SUM(Z344:Z346)</f>
        <v>0</v>
      </c>
      <c r="AA343" s="30">
        <f>SUM(AA344:AA346)</f>
        <v>0</v>
      </c>
      <c r="AB343" s="30">
        <f t="shared" si="89"/>
        <v>0</v>
      </c>
    </row>
    <row r="344" spans="1:187" s="11" customFormat="1" ht="31.5">
      <c r="A344" s="41" t="s">
        <v>310</v>
      </c>
      <c r="B344" s="33">
        <f t="shared" si="67"/>
        <v>19020</v>
      </c>
      <c r="C344" s="33">
        <f t="shared" si="67"/>
        <v>19020</v>
      </c>
      <c r="D344" s="33">
        <f t="shared" si="67"/>
        <v>0</v>
      </c>
      <c r="E344" s="33"/>
      <c r="F344" s="33"/>
      <c r="G344" s="33">
        <f t="shared" si="82"/>
        <v>0</v>
      </c>
      <c r="H344" s="33"/>
      <c r="I344" s="33"/>
      <c r="J344" s="33">
        <f t="shared" si="83"/>
        <v>0</v>
      </c>
      <c r="K344" s="33">
        <v>19020</v>
      </c>
      <c r="L344" s="33">
        <v>19020</v>
      </c>
      <c r="M344" s="33">
        <f t="shared" si="84"/>
        <v>0</v>
      </c>
      <c r="N344" s="33"/>
      <c r="O344" s="33"/>
      <c r="P344" s="33">
        <f t="shared" si="85"/>
        <v>0</v>
      </c>
      <c r="Q344" s="33"/>
      <c r="R344" s="33"/>
      <c r="S344" s="33">
        <f t="shared" si="86"/>
        <v>0</v>
      </c>
      <c r="T344" s="33"/>
      <c r="U344" s="33"/>
      <c r="V344" s="33">
        <f t="shared" si="87"/>
        <v>0</v>
      </c>
      <c r="W344" s="33"/>
      <c r="X344" s="33"/>
      <c r="Y344" s="33">
        <f t="shared" si="88"/>
        <v>0</v>
      </c>
      <c r="Z344" s="33">
        <v>0</v>
      </c>
      <c r="AA344" s="33">
        <v>0</v>
      </c>
      <c r="AB344" s="33">
        <f t="shared" si="89"/>
        <v>0</v>
      </c>
    </row>
    <row r="345" spans="1:187" s="11" customFormat="1">
      <c r="A345" s="41" t="s">
        <v>311</v>
      </c>
      <c r="B345" s="33">
        <f t="shared" si="67"/>
        <v>1560</v>
      </c>
      <c r="C345" s="33">
        <f t="shared" si="67"/>
        <v>1440</v>
      </c>
      <c r="D345" s="33">
        <f t="shared" si="67"/>
        <v>-120</v>
      </c>
      <c r="E345" s="33"/>
      <c r="F345" s="33"/>
      <c r="G345" s="33">
        <f t="shared" si="82"/>
        <v>0</v>
      </c>
      <c r="H345" s="33"/>
      <c r="I345" s="33"/>
      <c r="J345" s="33">
        <f t="shared" si="83"/>
        <v>0</v>
      </c>
      <c r="K345" s="33">
        <v>1560</v>
      </c>
      <c r="L345" s="33">
        <f>1560-120</f>
        <v>1440</v>
      </c>
      <c r="M345" s="33">
        <f t="shared" si="84"/>
        <v>-120</v>
      </c>
      <c r="N345" s="33"/>
      <c r="O345" s="33"/>
      <c r="P345" s="33">
        <f t="shared" si="85"/>
        <v>0</v>
      </c>
      <c r="Q345" s="33"/>
      <c r="R345" s="33"/>
      <c r="S345" s="33">
        <f t="shared" si="86"/>
        <v>0</v>
      </c>
      <c r="T345" s="33"/>
      <c r="U345" s="33"/>
      <c r="V345" s="33">
        <f t="shared" si="87"/>
        <v>0</v>
      </c>
      <c r="W345" s="33"/>
      <c r="X345" s="33"/>
      <c r="Y345" s="33">
        <f t="shared" si="88"/>
        <v>0</v>
      </c>
      <c r="Z345" s="33">
        <v>0</v>
      </c>
      <c r="AA345" s="33">
        <v>0</v>
      </c>
      <c r="AB345" s="33">
        <f t="shared" si="89"/>
        <v>0</v>
      </c>
    </row>
    <row r="346" spans="1:187" s="11" customFormat="1" ht="31.5">
      <c r="A346" s="41" t="s">
        <v>312</v>
      </c>
      <c r="B346" s="33">
        <f t="shared" si="67"/>
        <v>48000</v>
      </c>
      <c r="C346" s="33">
        <f t="shared" si="67"/>
        <v>48000</v>
      </c>
      <c r="D346" s="33">
        <f t="shared" si="67"/>
        <v>0</v>
      </c>
      <c r="E346" s="33"/>
      <c r="F346" s="33"/>
      <c r="G346" s="33">
        <f t="shared" si="82"/>
        <v>0</v>
      </c>
      <c r="H346" s="33"/>
      <c r="I346" s="33"/>
      <c r="J346" s="33">
        <f t="shared" si="83"/>
        <v>0</v>
      </c>
      <c r="K346" s="33">
        <v>48000</v>
      </c>
      <c r="L346" s="33">
        <v>48000</v>
      </c>
      <c r="M346" s="33">
        <f t="shared" si="84"/>
        <v>0</v>
      </c>
      <c r="N346" s="33"/>
      <c r="O346" s="33"/>
      <c r="P346" s="33">
        <f t="shared" si="85"/>
        <v>0</v>
      </c>
      <c r="Q346" s="33"/>
      <c r="R346" s="33"/>
      <c r="S346" s="33">
        <f t="shared" si="86"/>
        <v>0</v>
      </c>
      <c r="T346" s="33"/>
      <c r="U346" s="33"/>
      <c r="V346" s="33">
        <f t="shared" si="87"/>
        <v>0</v>
      </c>
      <c r="W346" s="33"/>
      <c r="X346" s="33"/>
      <c r="Y346" s="33">
        <f t="shared" si="88"/>
        <v>0</v>
      </c>
      <c r="Z346" s="33">
        <v>0</v>
      </c>
      <c r="AA346" s="33">
        <v>0</v>
      </c>
      <c r="AB346" s="33">
        <f t="shared" si="89"/>
        <v>0</v>
      </c>
    </row>
    <row r="347" spans="1:187" s="11" customFormat="1">
      <c r="A347" s="29" t="s">
        <v>47</v>
      </c>
      <c r="B347" s="30">
        <f t="shared" si="67"/>
        <v>0</v>
      </c>
      <c r="C347" s="30">
        <f t="shared" si="67"/>
        <v>4080</v>
      </c>
      <c r="D347" s="30">
        <f t="shared" si="67"/>
        <v>4080</v>
      </c>
      <c r="E347" s="30">
        <f>SUM(E348)</f>
        <v>0</v>
      </c>
      <c r="F347" s="30">
        <f>SUM(F348)</f>
        <v>0</v>
      </c>
      <c r="G347" s="30">
        <f t="shared" si="82"/>
        <v>0</v>
      </c>
      <c r="H347" s="30">
        <f t="shared" ref="H347:I347" si="97">SUM(H348)</f>
        <v>0</v>
      </c>
      <c r="I347" s="30">
        <f t="shared" si="97"/>
        <v>0</v>
      </c>
      <c r="J347" s="30">
        <f t="shared" si="83"/>
        <v>0</v>
      </c>
      <c r="K347" s="30">
        <f t="shared" ref="K347:L347" si="98">SUM(K348)</f>
        <v>0</v>
      </c>
      <c r="L347" s="30">
        <f t="shared" si="98"/>
        <v>4080</v>
      </c>
      <c r="M347" s="30">
        <f t="shared" si="84"/>
        <v>4080</v>
      </c>
      <c r="N347" s="30">
        <f t="shared" ref="N347:O347" si="99">SUM(N348)</f>
        <v>0</v>
      </c>
      <c r="O347" s="30">
        <f t="shared" si="99"/>
        <v>0</v>
      </c>
      <c r="P347" s="30">
        <f t="shared" si="85"/>
        <v>0</v>
      </c>
      <c r="Q347" s="30">
        <f t="shared" ref="Q347:R347" si="100">SUM(Q348)</f>
        <v>0</v>
      </c>
      <c r="R347" s="30">
        <f t="shared" si="100"/>
        <v>0</v>
      </c>
      <c r="S347" s="30">
        <f t="shared" si="86"/>
        <v>0</v>
      </c>
      <c r="T347" s="30">
        <f t="shared" ref="T347:U347" si="101">SUM(T348)</f>
        <v>0</v>
      </c>
      <c r="U347" s="30">
        <f t="shared" si="101"/>
        <v>0</v>
      </c>
      <c r="V347" s="30">
        <f t="shared" si="87"/>
        <v>0</v>
      </c>
      <c r="W347" s="30">
        <f t="shared" ref="W347:X347" si="102">SUM(W348)</f>
        <v>0</v>
      </c>
      <c r="X347" s="30">
        <f t="shared" si="102"/>
        <v>0</v>
      </c>
      <c r="Y347" s="30">
        <f t="shared" si="88"/>
        <v>0</v>
      </c>
      <c r="Z347" s="30">
        <f t="shared" ref="Z347:AA347" si="103">SUM(Z348)</f>
        <v>0</v>
      </c>
      <c r="AA347" s="30">
        <f t="shared" si="103"/>
        <v>0</v>
      </c>
      <c r="AB347" s="30">
        <f t="shared" si="89"/>
        <v>0</v>
      </c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  <c r="AN347" s="28"/>
      <c r="AO347" s="28"/>
      <c r="AP347" s="28"/>
      <c r="AQ347" s="28"/>
      <c r="AR347" s="28"/>
      <c r="AS347" s="28"/>
      <c r="AT347" s="28"/>
      <c r="AU347" s="28"/>
      <c r="AV347" s="28"/>
      <c r="AW347" s="28"/>
      <c r="AX347" s="28"/>
      <c r="AY347" s="28"/>
      <c r="AZ347" s="28"/>
      <c r="BA347" s="28"/>
      <c r="BB347" s="28"/>
      <c r="BC347" s="28"/>
      <c r="BD347" s="28"/>
      <c r="BE347" s="28"/>
      <c r="BF347" s="28"/>
      <c r="BG347" s="28"/>
      <c r="BH347" s="28"/>
      <c r="BI347" s="28"/>
      <c r="BJ347" s="28"/>
      <c r="BK347" s="28"/>
      <c r="BL347" s="28"/>
      <c r="BM347" s="28"/>
      <c r="BN347" s="28"/>
      <c r="BO347" s="28"/>
      <c r="BP347" s="28"/>
      <c r="BQ347" s="28"/>
      <c r="BR347" s="28"/>
      <c r="BS347" s="28"/>
      <c r="BT347" s="28"/>
      <c r="BU347" s="28"/>
      <c r="BV347" s="28"/>
      <c r="BW347" s="28"/>
      <c r="BX347" s="28"/>
      <c r="BY347" s="28"/>
      <c r="BZ347" s="28"/>
      <c r="CA347" s="28"/>
      <c r="CB347" s="28"/>
      <c r="CC347" s="28"/>
      <c r="CD347" s="28"/>
      <c r="CE347" s="28"/>
      <c r="CF347" s="28"/>
      <c r="CG347" s="28"/>
      <c r="CH347" s="28"/>
      <c r="CI347" s="28"/>
      <c r="CJ347" s="28"/>
      <c r="CK347" s="28"/>
      <c r="CL347" s="28"/>
      <c r="CM347" s="28"/>
      <c r="CN347" s="28"/>
      <c r="CO347" s="28"/>
      <c r="CP347" s="28"/>
      <c r="CQ347" s="28"/>
      <c r="CR347" s="28"/>
      <c r="CS347" s="28"/>
      <c r="CT347" s="28"/>
      <c r="CU347" s="28"/>
      <c r="CV347" s="28"/>
      <c r="CW347" s="28"/>
      <c r="CX347" s="28"/>
      <c r="CY347" s="28"/>
      <c r="CZ347" s="28"/>
      <c r="DA347" s="28"/>
      <c r="DB347" s="28"/>
      <c r="DC347" s="28"/>
      <c r="DD347" s="28"/>
      <c r="DE347" s="28"/>
      <c r="DF347" s="28"/>
      <c r="DG347" s="28"/>
      <c r="DH347" s="28"/>
      <c r="DI347" s="28"/>
      <c r="DJ347" s="28"/>
      <c r="DK347" s="28"/>
      <c r="DL347" s="28"/>
      <c r="DM347" s="28"/>
      <c r="DN347" s="28"/>
      <c r="DO347" s="28"/>
      <c r="DP347" s="28"/>
      <c r="DQ347" s="28"/>
      <c r="DR347" s="28"/>
      <c r="DS347" s="28"/>
      <c r="DT347" s="28"/>
      <c r="DU347" s="28"/>
      <c r="DV347" s="28"/>
      <c r="DW347" s="28"/>
      <c r="DX347" s="28"/>
      <c r="DY347" s="28"/>
      <c r="DZ347" s="28"/>
      <c r="EA347" s="28"/>
      <c r="EB347" s="28"/>
      <c r="EC347" s="28"/>
      <c r="ED347" s="28"/>
      <c r="EE347" s="28"/>
      <c r="EF347" s="28"/>
      <c r="EG347" s="28"/>
      <c r="EH347" s="28"/>
      <c r="EI347" s="28"/>
      <c r="EJ347" s="28"/>
      <c r="EK347" s="28"/>
      <c r="EL347" s="28"/>
      <c r="EM347" s="28"/>
      <c r="EN347" s="28"/>
      <c r="EO347" s="28"/>
      <c r="EP347" s="28"/>
      <c r="EQ347" s="28"/>
      <c r="ER347" s="28"/>
      <c r="ES347" s="28"/>
      <c r="ET347" s="28"/>
      <c r="EU347" s="28"/>
      <c r="EV347" s="28"/>
      <c r="EW347" s="28"/>
      <c r="EX347" s="28"/>
      <c r="EY347" s="28"/>
      <c r="EZ347" s="28"/>
      <c r="FA347" s="28"/>
      <c r="FB347" s="28"/>
      <c r="FC347" s="28"/>
      <c r="FD347" s="28"/>
      <c r="FE347" s="28"/>
      <c r="FF347" s="28"/>
      <c r="FG347" s="28"/>
      <c r="FH347" s="28"/>
      <c r="FI347" s="28"/>
      <c r="FJ347" s="28"/>
      <c r="FK347" s="28"/>
      <c r="FL347" s="28"/>
      <c r="FM347" s="28"/>
      <c r="FN347" s="28"/>
      <c r="FO347" s="28"/>
      <c r="FP347" s="28"/>
      <c r="FQ347" s="28"/>
      <c r="FR347" s="28"/>
      <c r="FS347" s="28"/>
      <c r="FT347" s="28"/>
      <c r="FU347" s="28"/>
      <c r="FV347" s="28"/>
      <c r="FW347" s="28"/>
      <c r="FX347" s="28"/>
      <c r="FY347" s="28"/>
      <c r="FZ347" s="28"/>
      <c r="GA347" s="28"/>
      <c r="GB347" s="28"/>
      <c r="GC347" s="28"/>
      <c r="GD347" s="28"/>
      <c r="GE347" s="28"/>
    </row>
    <row r="348" spans="1:187" s="11" customFormat="1" ht="31.5">
      <c r="A348" s="29" t="s">
        <v>309</v>
      </c>
      <c r="B348" s="30">
        <f>E348+H348+K348+N348+Q348+T348+W348+Z348</f>
        <v>0</v>
      </c>
      <c r="C348" s="30">
        <f t="shared" si="67"/>
        <v>4080</v>
      </c>
      <c r="D348" s="30">
        <f t="shared" si="67"/>
        <v>4080</v>
      </c>
      <c r="E348" s="30">
        <f>SUM(E349:E349)</f>
        <v>0</v>
      </c>
      <c r="F348" s="30">
        <f>SUM(F349:F349)</f>
        <v>0</v>
      </c>
      <c r="G348" s="30">
        <f t="shared" si="82"/>
        <v>0</v>
      </c>
      <c r="H348" s="30">
        <f t="shared" ref="H348:I348" si="104">SUM(H349:H349)</f>
        <v>0</v>
      </c>
      <c r="I348" s="30">
        <f t="shared" si="104"/>
        <v>0</v>
      </c>
      <c r="J348" s="30">
        <f t="shared" si="83"/>
        <v>0</v>
      </c>
      <c r="K348" s="30">
        <f t="shared" ref="K348:L348" si="105">SUM(K349:K349)</f>
        <v>0</v>
      </c>
      <c r="L348" s="30">
        <f t="shared" si="105"/>
        <v>4080</v>
      </c>
      <c r="M348" s="30">
        <f t="shared" si="84"/>
        <v>4080</v>
      </c>
      <c r="N348" s="30">
        <f t="shared" ref="N348:O348" si="106">SUM(N349:N349)</f>
        <v>0</v>
      </c>
      <c r="O348" s="30">
        <f t="shared" si="106"/>
        <v>0</v>
      </c>
      <c r="P348" s="30">
        <f t="shared" si="85"/>
        <v>0</v>
      </c>
      <c r="Q348" s="30">
        <f t="shared" ref="Q348:R348" si="107">SUM(Q349:Q349)</f>
        <v>0</v>
      </c>
      <c r="R348" s="30">
        <f t="shared" si="107"/>
        <v>0</v>
      </c>
      <c r="S348" s="30">
        <f t="shared" si="86"/>
        <v>0</v>
      </c>
      <c r="T348" s="30">
        <f t="shared" ref="T348:U348" si="108">SUM(T349:T349)</f>
        <v>0</v>
      </c>
      <c r="U348" s="30">
        <f t="shared" si="108"/>
        <v>0</v>
      </c>
      <c r="V348" s="30">
        <f t="shared" si="87"/>
        <v>0</v>
      </c>
      <c r="W348" s="30">
        <f t="shared" ref="W348:X348" si="109">SUM(W349:W349)</f>
        <v>0</v>
      </c>
      <c r="X348" s="30">
        <f t="shared" si="109"/>
        <v>0</v>
      </c>
      <c r="Y348" s="30">
        <f t="shared" si="88"/>
        <v>0</v>
      </c>
      <c r="Z348" s="30">
        <f t="shared" ref="Z348:AA348" si="110">SUM(Z349:Z349)</f>
        <v>0</v>
      </c>
      <c r="AA348" s="30">
        <f t="shared" si="110"/>
        <v>0</v>
      </c>
      <c r="AB348" s="30">
        <f t="shared" si="89"/>
        <v>0</v>
      </c>
    </row>
    <row r="349" spans="1:187" s="11" customFormat="1">
      <c r="A349" s="32"/>
      <c r="B349" s="36">
        <f t="shared" ref="B349:B352" si="111">E349+H349+K349+N349+Q349+T349+W349+Z349</f>
        <v>0</v>
      </c>
      <c r="C349" s="36">
        <f t="shared" si="67"/>
        <v>4080</v>
      </c>
      <c r="D349" s="36">
        <f t="shared" si="67"/>
        <v>4080</v>
      </c>
      <c r="E349" s="36"/>
      <c r="F349" s="36"/>
      <c r="G349" s="36">
        <f t="shared" si="82"/>
        <v>0</v>
      </c>
      <c r="H349" s="36"/>
      <c r="I349" s="36"/>
      <c r="J349" s="36">
        <f t="shared" si="83"/>
        <v>0</v>
      </c>
      <c r="K349" s="36"/>
      <c r="L349" s="36">
        <v>4080</v>
      </c>
      <c r="M349" s="36">
        <f t="shared" si="84"/>
        <v>4080</v>
      </c>
      <c r="N349" s="36"/>
      <c r="O349" s="36"/>
      <c r="P349" s="36">
        <f t="shared" si="85"/>
        <v>0</v>
      </c>
      <c r="Q349" s="36"/>
      <c r="R349" s="36"/>
      <c r="S349" s="36">
        <f t="shared" si="86"/>
        <v>0</v>
      </c>
      <c r="T349" s="36"/>
      <c r="U349" s="36"/>
      <c r="V349" s="36">
        <f t="shared" si="87"/>
        <v>0</v>
      </c>
      <c r="W349" s="36"/>
      <c r="X349" s="36"/>
      <c r="Y349" s="36">
        <f t="shared" si="88"/>
        <v>0</v>
      </c>
      <c r="Z349" s="36"/>
      <c r="AA349" s="36"/>
      <c r="AB349" s="36">
        <f t="shared" si="89"/>
        <v>0</v>
      </c>
    </row>
    <row r="350" spans="1:187" s="11" customFormat="1" ht="31.5">
      <c r="A350" s="29" t="s">
        <v>69</v>
      </c>
      <c r="B350" s="30">
        <f t="shared" si="111"/>
        <v>0</v>
      </c>
      <c r="C350" s="30">
        <f t="shared" si="67"/>
        <v>6586</v>
      </c>
      <c r="D350" s="30">
        <f t="shared" si="67"/>
        <v>6586</v>
      </c>
      <c r="E350" s="30">
        <f>SUM(E351)</f>
        <v>0</v>
      </c>
      <c r="F350" s="30">
        <f>SUM(F351)</f>
        <v>0</v>
      </c>
      <c r="G350" s="30">
        <f t="shared" si="82"/>
        <v>0</v>
      </c>
      <c r="H350" s="30">
        <f t="shared" ref="H350:I350" si="112">SUM(H351)</f>
        <v>0</v>
      </c>
      <c r="I350" s="30">
        <f t="shared" si="112"/>
        <v>0</v>
      </c>
      <c r="J350" s="30">
        <f t="shared" si="83"/>
        <v>0</v>
      </c>
      <c r="K350" s="30">
        <f t="shared" ref="K350:L350" si="113">SUM(K351)</f>
        <v>0</v>
      </c>
      <c r="L350" s="30">
        <f t="shared" si="113"/>
        <v>0</v>
      </c>
      <c r="M350" s="30">
        <f t="shared" si="84"/>
        <v>0</v>
      </c>
      <c r="N350" s="30">
        <f t="shared" ref="N350:O350" si="114">SUM(N351)</f>
        <v>0</v>
      </c>
      <c r="O350" s="30">
        <f t="shared" si="114"/>
        <v>6586</v>
      </c>
      <c r="P350" s="30">
        <f t="shared" si="85"/>
        <v>6586</v>
      </c>
      <c r="Q350" s="30">
        <f t="shared" ref="Q350:R350" si="115">SUM(Q351)</f>
        <v>0</v>
      </c>
      <c r="R350" s="30">
        <f t="shared" si="115"/>
        <v>0</v>
      </c>
      <c r="S350" s="30">
        <f t="shared" si="86"/>
        <v>0</v>
      </c>
      <c r="T350" s="30">
        <f t="shared" ref="T350:U350" si="116">SUM(T351)</f>
        <v>0</v>
      </c>
      <c r="U350" s="30">
        <f t="shared" si="116"/>
        <v>0</v>
      </c>
      <c r="V350" s="30">
        <f t="shared" si="87"/>
        <v>0</v>
      </c>
      <c r="W350" s="30">
        <f t="shared" ref="W350:X350" si="117">SUM(W351)</f>
        <v>0</v>
      </c>
      <c r="X350" s="30">
        <f t="shared" si="117"/>
        <v>0</v>
      </c>
      <c r="Y350" s="30">
        <f t="shared" si="88"/>
        <v>0</v>
      </c>
      <c r="Z350" s="30">
        <f t="shared" ref="Z350:AA350" si="118">SUM(Z351)</f>
        <v>0</v>
      </c>
      <c r="AA350" s="30">
        <f t="shared" si="118"/>
        <v>0</v>
      </c>
      <c r="AB350" s="30">
        <f t="shared" si="89"/>
        <v>0</v>
      </c>
      <c r="AC350" s="28"/>
      <c r="AD350" s="28"/>
      <c r="AE350" s="28"/>
      <c r="AF350" s="28"/>
      <c r="AG350" s="28"/>
      <c r="AH350" s="28"/>
      <c r="AI350" s="28"/>
      <c r="AJ350" s="28"/>
      <c r="AK350" s="28"/>
      <c r="AL350" s="28"/>
      <c r="AM350" s="28"/>
      <c r="AN350" s="28"/>
      <c r="AO350" s="28"/>
      <c r="AP350" s="28"/>
      <c r="AQ350" s="28"/>
      <c r="AR350" s="28"/>
      <c r="AS350" s="28"/>
      <c r="AT350" s="28"/>
      <c r="AU350" s="28"/>
      <c r="AV350" s="28"/>
      <c r="AW350" s="28"/>
      <c r="AX350" s="28"/>
      <c r="AY350" s="28"/>
      <c r="AZ350" s="28"/>
      <c r="BA350" s="28"/>
      <c r="BB350" s="28"/>
      <c r="BC350" s="28"/>
      <c r="BD350" s="28"/>
      <c r="BE350" s="28"/>
      <c r="BF350" s="28"/>
      <c r="BG350" s="28"/>
      <c r="BH350" s="28"/>
      <c r="BI350" s="28"/>
      <c r="BJ350" s="28"/>
      <c r="BK350" s="28"/>
      <c r="BL350" s="28"/>
      <c r="BM350" s="28"/>
      <c r="BN350" s="28"/>
      <c r="BO350" s="28"/>
      <c r="BP350" s="28"/>
      <c r="BQ350" s="28"/>
      <c r="BR350" s="28"/>
      <c r="BS350" s="28"/>
      <c r="BT350" s="28"/>
      <c r="BU350" s="28"/>
      <c r="BV350" s="28"/>
      <c r="BW350" s="28"/>
      <c r="BX350" s="28"/>
      <c r="BY350" s="28"/>
      <c r="BZ350" s="28"/>
      <c r="CA350" s="28"/>
      <c r="CB350" s="28"/>
      <c r="CC350" s="28"/>
      <c r="CD350" s="28"/>
      <c r="CE350" s="28"/>
      <c r="CF350" s="28"/>
      <c r="CG350" s="28"/>
      <c r="CH350" s="28"/>
      <c r="CI350" s="28"/>
      <c r="CJ350" s="28"/>
      <c r="CK350" s="28"/>
      <c r="CL350" s="28"/>
      <c r="CM350" s="28"/>
      <c r="CN350" s="28"/>
      <c r="CO350" s="28"/>
      <c r="CP350" s="28"/>
      <c r="CQ350" s="28"/>
      <c r="CR350" s="28"/>
      <c r="CS350" s="28"/>
      <c r="CT350" s="28"/>
      <c r="CU350" s="28"/>
      <c r="CV350" s="28"/>
      <c r="CW350" s="28"/>
      <c r="CX350" s="28"/>
      <c r="CY350" s="28"/>
      <c r="CZ350" s="28"/>
      <c r="DA350" s="28"/>
      <c r="DB350" s="28"/>
      <c r="DC350" s="28"/>
      <c r="DD350" s="28"/>
      <c r="DE350" s="28"/>
      <c r="DF350" s="28"/>
      <c r="DG350" s="28"/>
      <c r="DH350" s="28"/>
      <c r="DI350" s="28"/>
      <c r="DJ350" s="28"/>
      <c r="DK350" s="28"/>
      <c r="DL350" s="28"/>
      <c r="DM350" s="28"/>
      <c r="DN350" s="28"/>
      <c r="DO350" s="28"/>
      <c r="DP350" s="28"/>
      <c r="DQ350" s="28"/>
      <c r="DR350" s="28"/>
      <c r="DS350" s="28"/>
      <c r="DT350" s="28"/>
      <c r="DU350" s="28"/>
      <c r="DV350" s="28"/>
      <c r="DW350" s="28"/>
      <c r="DX350" s="28"/>
      <c r="DY350" s="28"/>
      <c r="DZ350" s="28"/>
      <c r="EA350" s="28"/>
      <c r="EB350" s="28"/>
      <c r="EC350" s="28"/>
      <c r="ED350" s="28"/>
      <c r="EE350" s="28"/>
      <c r="EF350" s="28"/>
      <c r="EG350" s="28"/>
      <c r="EH350" s="28"/>
      <c r="EI350" s="28"/>
      <c r="EJ350" s="28"/>
      <c r="EK350" s="28"/>
      <c r="EL350" s="28"/>
      <c r="EM350" s="28"/>
      <c r="EN350" s="28"/>
      <c r="EO350" s="28"/>
      <c r="EP350" s="28"/>
      <c r="EQ350" s="28"/>
      <c r="ER350" s="28"/>
      <c r="ES350" s="28"/>
      <c r="ET350" s="28"/>
      <c r="EU350" s="28"/>
      <c r="EV350" s="28"/>
      <c r="EW350" s="28"/>
      <c r="EX350" s="28"/>
      <c r="EY350" s="28"/>
      <c r="EZ350" s="28"/>
      <c r="FA350" s="28"/>
      <c r="FB350" s="28"/>
      <c r="FC350" s="28"/>
      <c r="FD350" s="28"/>
      <c r="FE350" s="28"/>
      <c r="FF350" s="28"/>
      <c r="FG350" s="28"/>
      <c r="FH350" s="28"/>
      <c r="FI350" s="28"/>
      <c r="FJ350" s="28"/>
      <c r="FK350" s="28"/>
      <c r="FL350" s="28"/>
      <c r="FM350" s="28"/>
      <c r="FN350" s="28"/>
      <c r="FO350" s="28"/>
      <c r="FP350" s="28"/>
      <c r="FQ350" s="28"/>
      <c r="FR350" s="28"/>
      <c r="FS350" s="28"/>
      <c r="FT350" s="28"/>
      <c r="FU350" s="28"/>
      <c r="FV350" s="28"/>
      <c r="FW350" s="28"/>
      <c r="FX350" s="28"/>
      <c r="FY350" s="28"/>
      <c r="FZ350" s="28"/>
      <c r="GA350" s="28"/>
      <c r="GB350" s="28"/>
      <c r="GC350" s="28"/>
      <c r="GD350" s="28"/>
      <c r="GE350" s="28"/>
    </row>
    <row r="351" spans="1:187" s="11" customFormat="1" ht="31.5">
      <c r="A351" s="29" t="s">
        <v>309</v>
      </c>
      <c r="B351" s="30">
        <f>E351+H351+K351+N351+Q351+T351+W351+Z351</f>
        <v>0</v>
      </c>
      <c r="C351" s="30">
        <f t="shared" si="67"/>
        <v>6586</v>
      </c>
      <c r="D351" s="30">
        <f t="shared" si="67"/>
        <v>6586</v>
      </c>
      <c r="E351" s="30">
        <f>SUM(E352:E352)</f>
        <v>0</v>
      </c>
      <c r="F351" s="30">
        <f>SUM(F352:F352)</f>
        <v>0</v>
      </c>
      <c r="G351" s="30">
        <f t="shared" si="82"/>
        <v>0</v>
      </c>
      <c r="H351" s="30">
        <f t="shared" ref="H351:I351" si="119">SUM(H352:H352)</f>
        <v>0</v>
      </c>
      <c r="I351" s="30">
        <f t="shared" si="119"/>
        <v>0</v>
      </c>
      <c r="J351" s="30">
        <f t="shared" si="83"/>
        <v>0</v>
      </c>
      <c r="K351" s="30">
        <f t="shared" ref="K351:L351" si="120">SUM(K352:K352)</f>
        <v>0</v>
      </c>
      <c r="L351" s="30">
        <f t="shared" si="120"/>
        <v>0</v>
      </c>
      <c r="M351" s="30">
        <f t="shared" si="84"/>
        <v>0</v>
      </c>
      <c r="N351" s="30">
        <f t="shared" ref="N351:O351" si="121">SUM(N352:N352)</f>
        <v>0</v>
      </c>
      <c r="O351" s="30">
        <f t="shared" si="121"/>
        <v>6586</v>
      </c>
      <c r="P351" s="30">
        <f t="shared" si="85"/>
        <v>6586</v>
      </c>
      <c r="Q351" s="30">
        <f t="shared" ref="Q351:R351" si="122">SUM(Q352:Q352)</f>
        <v>0</v>
      </c>
      <c r="R351" s="30">
        <f t="shared" si="122"/>
        <v>0</v>
      </c>
      <c r="S351" s="30">
        <f t="shared" si="86"/>
        <v>0</v>
      </c>
      <c r="T351" s="30">
        <f t="shared" ref="T351:U351" si="123">SUM(T352:T352)</f>
        <v>0</v>
      </c>
      <c r="U351" s="30">
        <f t="shared" si="123"/>
        <v>0</v>
      </c>
      <c r="V351" s="30">
        <f t="shared" si="87"/>
        <v>0</v>
      </c>
      <c r="W351" s="30">
        <f t="shared" ref="W351:X351" si="124">SUM(W352:W352)</f>
        <v>0</v>
      </c>
      <c r="X351" s="30">
        <f t="shared" si="124"/>
        <v>0</v>
      </c>
      <c r="Y351" s="30">
        <f t="shared" si="88"/>
        <v>0</v>
      </c>
      <c r="Z351" s="30">
        <f t="shared" ref="Z351:AA351" si="125">SUM(Z352:Z352)</f>
        <v>0</v>
      </c>
      <c r="AA351" s="30">
        <f t="shared" si="125"/>
        <v>0</v>
      </c>
      <c r="AB351" s="30">
        <f t="shared" si="89"/>
        <v>0</v>
      </c>
    </row>
    <row r="352" spans="1:187" s="11" customFormat="1" ht="126">
      <c r="A352" s="38" t="s">
        <v>74</v>
      </c>
      <c r="B352" s="36">
        <f t="shared" si="111"/>
        <v>0</v>
      </c>
      <c r="C352" s="36">
        <f t="shared" si="67"/>
        <v>6586</v>
      </c>
      <c r="D352" s="36">
        <f t="shared" si="67"/>
        <v>6586</v>
      </c>
      <c r="E352" s="36">
        <v>0</v>
      </c>
      <c r="F352" s="36">
        <v>0</v>
      </c>
      <c r="G352" s="36">
        <f t="shared" si="82"/>
        <v>0</v>
      </c>
      <c r="H352" s="36"/>
      <c r="I352" s="36"/>
      <c r="J352" s="36">
        <f t="shared" si="83"/>
        <v>0</v>
      </c>
      <c r="K352" s="36">
        <v>0</v>
      </c>
      <c r="L352" s="36">
        <v>0</v>
      </c>
      <c r="M352" s="36">
        <f t="shared" si="84"/>
        <v>0</v>
      </c>
      <c r="N352" s="36"/>
      <c r="O352" s="36">
        <v>6586</v>
      </c>
      <c r="P352" s="36">
        <f t="shared" si="85"/>
        <v>6586</v>
      </c>
      <c r="Q352" s="36"/>
      <c r="R352" s="36"/>
      <c r="S352" s="36">
        <f t="shared" si="86"/>
        <v>0</v>
      </c>
      <c r="T352" s="36"/>
      <c r="U352" s="36"/>
      <c r="V352" s="36">
        <f t="shared" si="87"/>
        <v>0</v>
      </c>
      <c r="W352" s="36"/>
      <c r="X352" s="36"/>
      <c r="Y352" s="36">
        <f t="shared" si="88"/>
        <v>0</v>
      </c>
      <c r="Z352" s="36"/>
      <c r="AA352" s="36"/>
      <c r="AB352" s="36">
        <f t="shared" si="89"/>
        <v>0</v>
      </c>
    </row>
    <row r="353" spans="1:188" s="11" customFormat="1" ht="31.5">
      <c r="A353" s="29" t="s">
        <v>82</v>
      </c>
      <c r="B353" s="30">
        <f t="shared" si="67"/>
        <v>2470</v>
      </c>
      <c r="C353" s="30">
        <f t="shared" si="67"/>
        <v>2372</v>
      </c>
      <c r="D353" s="30">
        <f t="shared" si="67"/>
        <v>-98</v>
      </c>
      <c r="E353" s="30">
        <f>SUM(E354)</f>
        <v>0</v>
      </c>
      <c r="F353" s="30">
        <f>SUM(F354)</f>
        <v>0</v>
      </c>
      <c r="G353" s="30">
        <f>F353-E353</f>
        <v>0</v>
      </c>
      <c r="H353" s="30">
        <f>SUM(H354)</f>
        <v>0</v>
      </c>
      <c r="I353" s="30">
        <f>SUM(I354)</f>
        <v>0</v>
      </c>
      <c r="J353" s="30">
        <f t="shared" si="83"/>
        <v>0</v>
      </c>
      <c r="K353" s="30">
        <f>SUM(K354)</f>
        <v>0</v>
      </c>
      <c r="L353" s="30">
        <f>SUM(L354)</f>
        <v>2013</v>
      </c>
      <c r="M353" s="30">
        <f t="shared" si="84"/>
        <v>2013</v>
      </c>
      <c r="N353" s="30">
        <f>SUM(N354)</f>
        <v>0</v>
      </c>
      <c r="O353" s="30">
        <f>SUM(O354)</f>
        <v>0</v>
      </c>
      <c r="P353" s="30">
        <f t="shared" si="85"/>
        <v>0</v>
      </c>
      <c r="Q353" s="30">
        <f>SUM(Q354)</f>
        <v>2470</v>
      </c>
      <c r="R353" s="30">
        <f>SUM(R354)</f>
        <v>359</v>
      </c>
      <c r="S353" s="30">
        <f t="shared" si="86"/>
        <v>-2111</v>
      </c>
      <c r="T353" s="30">
        <f>SUM(T354)</f>
        <v>0</v>
      </c>
      <c r="U353" s="30">
        <f>SUM(U354)</f>
        <v>0</v>
      </c>
      <c r="V353" s="30">
        <f t="shared" si="87"/>
        <v>0</v>
      </c>
      <c r="W353" s="30">
        <f>SUM(W354)</f>
        <v>0</v>
      </c>
      <c r="X353" s="30">
        <f>SUM(X354)</f>
        <v>0</v>
      </c>
      <c r="Y353" s="30">
        <f t="shared" si="88"/>
        <v>0</v>
      </c>
      <c r="Z353" s="30">
        <f>SUM(Z354)</f>
        <v>0</v>
      </c>
      <c r="AA353" s="30">
        <f>SUM(AA354)</f>
        <v>0</v>
      </c>
      <c r="AB353" s="30">
        <f t="shared" si="89"/>
        <v>0</v>
      </c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  <c r="AO353" s="28"/>
      <c r="AP353" s="28"/>
      <c r="AQ353" s="28"/>
      <c r="AR353" s="28"/>
      <c r="AS353" s="28"/>
      <c r="AT353" s="28"/>
      <c r="AU353" s="28"/>
      <c r="AV353" s="28"/>
      <c r="AW353" s="28"/>
      <c r="AX353" s="28"/>
      <c r="AY353" s="28"/>
      <c r="AZ353" s="28"/>
      <c r="BA353" s="28"/>
      <c r="BB353" s="28"/>
      <c r="BC353" s="28"/>
      <c r="BD353" s="28"/>
      <c r="BE353" s="28"/>
      <c r="BF353" s="28"/>
      <c r="BG353" s="28"/>
      <c r="BH353" s="28"/>
      <c r="BI353" s="28"/>
      <c r="BJ353" s="28"/>
      <c r="BK353" s="28"/>
      <c r="BL353" s="28"/>
      <c r="BM353" s="28"/>
      <c r="BN353" s="28"/>
      <c r="BO353" s="28"/>
      <c r="BP353" s="28"/>
      <c r="BQ353" s="28"/>
      <c r="BR353" s="28"/>
      <c r="BS353" s="28"/>
      <c r="BT353" s="28"/>
      <c r="BU353" s="28"/>
      <c r="BV353" s="28"/>
      <c r="BW353" s="28"/>
      <c r="BX353" s="28"/>
      <c r="BY353" s="28"/>
      <c r="BZ353" s="28"/>
      <c r="CA353" s="28"/>
      <c r="CB353" s="28"/>
      <c r="CC353" s="28"/>
      <c r="CD353" s="28"/>
      <c r="CE353" s="28"/>
      <c r="CF353" s="28"/>
      <c r="CG353" s="28"/>
      <c r="CH353" s="28"/>
      <c r="CI353" s="28"/>
      <c r="CJ353" s="28"/>
      <c r="CK353" s="28"/>
      <c r="CL353" s="28"/>
      <c r="CM353" s="28"/>
      <c r="CN353" s="28"/>
      <c r="CO353" s="28"/>
      <c r="CP353" s="28"/>
      <c r="CQ353" s="28"/>
      <c r="CR353" s="28"/>
      <c r="CS353" s="28"/>
      <c r="CT353" s="28"/>
      <c r="CU353" s="28"/>
      <c r="CV353" s="28"/>
      <c r="CW353" s="28"/>
      <c r="CX353" s="28"/>
      <c r="CY353" s="28"/>
      <c r="CZ353" s="28"/>
      <c r="DA353" s="28"/>
      <c r="DB353" s="28"/>
      <c r="DC353" s="28"/>
      <c r="DD353" s="28"/>
      <c r="DE353" s="28"/>
      <c r="DF353" s="28"/>
      <c r="DG353" s="28"/>
      <c r="DH353" s="28"/>
      <c r="DI353" s="28"/>
      <c r="DJ353" s="28"/>
      <c r="DK353" s="28"/>
      <c r="DL353" s="28"/>
      <c r="DM353" s="28"/>
      <c r="DN353" s="28"/>
      <c r="DO353" s="28"/>
      <c r="DP353" s="28"/>
      <c r="DQ353" s="28"/>
      <c r="DR353" s="28"/>
      <c r="DS353" s="28"/>
      <c r="DT353" s="28"/>
      <c r="DU353" s="28"/>
      <c r="DV353" s="28"/>
      <c r="DW353" s="28"/>
      <c r="DX353" s="28"/>
      <c r="DY353" s="28"/>
      <c r="DZ353" s="28"/>
      <c r="EA353" s="28"/>
      <c r="EB353" s="28"/>
      <c r="EC353" s="28"/>
      <c r="ED353" s="28"/>
      <c r="EE353" s="28"/>
      <c r="EF353" s="28"/>
      <c r="EG353" s="28"/>
      <c r="EH353" s="28"/>
      <c r="EI353" s="28"/>
      <c r="EJ353" s="28"/>
      <c r="EK353" s="28"/>
      <c r="EL353" s="28"/>
      <c r="EM353" s="28"/>
      <c r="EN353" s="28"/>
      <c r="EO353" s="28"/>
      <c r="EP353" s="28"/>
      <c r="EQ353" s="28"/>
      <c r="ER353" s="28"/>
      <c r="ES353" s="28"/>
      <c r="ET353" s="28"/>
      <c r="EU353" s="28"/>
      <c r="EV353" s="28"/>
      <c r="EW353" s="28"/>
      <c r="EX353" s="28"/>
      <c r="EY353" s="28"/>
      <c r="EZ353" s="28"/>
      <c r="FA353" s="28"/>
      <c r="FB353" s="28"/>
      <c r="FC353" s="28"/>
      <c r="FD353" s="28"/>
      <c r="FE353" s="28"/>
      <c r="FF353" s="28"/>
      <c r="FG353" s="28"/>
      <c r="FH353" s="28"/>
      <c r="FI353" s="28"/>
      <c r="FJ353" s="28"/>
      <c r="FK353" s="28"/>
      <c r="FL353" s="28"/>
      <c r="FM353" s="28"/>
      <c r="FN353" s="28"/>
      <c r="FO353" s="28"/>
      <c r="FP353" s="28"/>
      <c r="FQ353" s="28"/>
      <c r="FR353" s="28"/>
      <c r="FS353" s="28"/>
      <c r="FT353" s="28"/>
      <c r="FU353" s="28"/>
      <c r="FV353" s="28"/>
      <c r="FW353" s="28"/>
      <c r="FX353" s="28"/>
      <c r="FY353" s="28"/>
      <c r="FZ353" s="28"/>
      <c r="GA353" s="28"/>
      <c r="GB353" s="28"/>
      <c r="GC353" s="28"/>
      <c r="GD353" s="28"/>
      <c r="GE353" s="28"/>
    </row>
    <row r="354" spans="1:188" s="11" customFormat="1" ht="31.5">
      <c r="A354" s="29" t="s">
        <v>309</v>
      </c>
      <c r="B354" s="30">
        <f>E354+H354+K354+N354+Q354+T354+W354+Z354</f>
        <v>2470</v>
      </c>
      <c r="C354" s="30">
        <f>F354+I354+L354+O354+R354+U354+X354+AA354</f>
        <v>2372</v>
      </c>
      <c r="D354" s="30">
        <f t="shared" si="67"/>
        <v>-98</v>
      </c>
      <c r="E354" s="30">
        <f>SUM(E355:E356)</f>
        <v>0</v>
      </c>
      <c r="F354" s="30">
        <f>SUM(F355:F356)</f>
        <v>0</v>
      </c>
      <c r="G354" s="30">
        <f>F354-E354</f>
        <v>0</v>
      </c>
      <c r="H354" s="30">
        <f>SUM(H355:H356)</f>
        <v>0</v>
      </c>
      <c r="I354" s="30">
        <f>SUM(I355:I356)</f>
        <v>0</v>
      </c>
      <c r="J354" s="30">
        <f t="shared" si="83"/>
        <v>0</v>
      </c>
      <c r="K354" s="30">
        <f>SUM(K355:K356)</f>
        <v>0</v>
      </c>
      <c r="L354" s="30">
        <f>SUM(L355:L356)</f>
        <v>2013</v>
      </c>
      <c r="M354" s="30">
        <f>L354-K354</f>
        <v>2013</v>
      </c>
      <c r="N354" s="30">
        <f>SUM(N355:N356)</f>
        <v>0</v>
      </c>
      <c r="O354" s="30">
        <f>SUM(O355:O356)</f>
        <v>0</v>
      </c>
      <c r="P354" s="30">
        <f t="shared" si="85"/>
        <v>0</v>
      </c>
      <c r="Q354" s="30">
        <f>SUM(Q355:Q356)</f>
        <v>2470</v>
      </c>
      <c r="R354" s="30">
        <f>SUM(R355:R356)</f>
        <v>359</v>
      </c>
      <c r="S354" s="30">
        <f t="shared" si="86"/>
        <v>-2111</v>
      </c>
      <c r="T354" s="30">
        <f>SUM(T355:T356)</f>
        <v>0</v>
      </c>
      <c r="U354" s="30">
        <f>SUM(U355:U356)</f>
        <v>0</v>
      </c>
      <c r="V354" s="30">
        <f t="shared" si="87"/>
        <v>0</v>
      </c>
      <c r="W354" s="30">
        <f>SUM(W355:W356)</f>
        <v>0</v>
      </c>
      <c r="X354" s="30">
        <f>SUM(X355:X356)</f>
        <v>0</v>
      </c>
      <c r="Y354" s="30">
        <f t="shared" si="88"/>
        <v>0</v>
      </c>
      <c r="Z354" s="30">
        <f>SUM(Z355:Z356)</f>
        <v>0</v>
      </c>
      <c r="AA354" s="30">
        <f>SUM(AA355:AA356)</f>
        <v>0</v>
      </c>
      <c r="AB354" s="30">
        <f t="shared" si="89"/>
        <v>0</v>
      </c>
    </row>
    <row r="355" spans="1:188" s="11" customFormat="1" ht="31.5">
      <c r="A355" s="32" t="s">
        <v>313</v>
      </c>
      <c r="B355" s="36">
        <f t="shared" si="67"/>
        <v>2470</v>
      </c>
      <c r="C355" s="36">
        <f t="shared" si="67"/>
        <v>359</v>
      </c>
      <c r="D355" s="36">
        <f t="shared" si="67"/>
        <v>-2111</v>
      </c>
      <c r="E355" s="36"/>
      <c r="F355" s="36"/>
      <c r="G355" s="36">
        <f t="shared" si="82"/>
        <v>0</v>
      </c>
      <c r="H355" s="36"/>
      <c r="I355" s="36"/>
      <c r="J355" s="36">
        <f t="shared" si="83"/>
        <v>0</v>
      </c>
      <c r="K355" s="36"/>
      <c r="L355" s="36"/>
      <c r="M355" s="36">
        <f t="shared" si="84"/>
        <v>0</v>
      </c>
      <c r="N355" s="36"/>
      <c r="O355" s="36"/>
      <c r="P355" s="36">
        <f t="shared" si="85"/>
        <v>0</v>
      </c>
      <c r="Q355" s="36">
        <v>2470</v>
      </c>
      <c r="R355" s="36">
        <f>2470-2111</f>
        <v>359</v>
      </c>
      <c r="S355" s="36">
        <f t="shared" si="86"/>
        <v>-2111</v>
      </c>
      <c r="T355" s="36"/>
      <c r="U355" s="36"/>
      <c r="V355" s="36">
        <f t="shared" si="87"/>
        <v>0</v>
      </c>
      <c r="W355" s="36"/>
      <c r="X355" s="36"/>
      <c r="Y355" s="36">
        <f t="shared" si="88"/>
        <v>0</v>
      </c>
      <c r="Z355" s="36"/>
      <c r="AA355" s="36"/>
      <c r="AB355" s="36">
        <f t="shared" si="89"/>
        <v>0</v>
      </c>
    </row>
    <row r="356" spans="1:188" s="11" customFormat="1">
      <c r="A356" s="32" t="s">
        <v>314</v>
      </c>
      <c r="B356" s="36">
        <f t="shared" si="67"/>
        <v>0</v>
      </c>
      <c r="C356" s="36">
        <f t="shared" si="67"/>
        <v>2013</v>
      </c>
      <c r="D356" s="36">
        <f t="shared" si="67"/>
        <v>2013</v>
      </c>
      <c r="E356" s="36"/>
      <c r="F356" s="36"/>
      <c r="G356" s="36">
        <f t="shared" si="82"/>
        <v>0</v>
      </c>
      <c r="H356" s="36"/>
      <c r="I356" s="36"/>
      <c r="J356" s="36">
        <f t="shared" si="83"/>
        <v>0</v>
      </c>
      <c r="K356" s="36"/>
      <c r="L356" s="36">
        <v>2013</v>
      </c>
      <c r="M356" s="36">
        <f t="shared" si="84"/>
        <v>2013</v>
      </c>
      <c r="N356" s="36"/>
      <c r="O356" s="36"/>
      <c r="P356" s="36">
        <f t="shared" si="85"/>
        <v>0</v>
      </c>
      <c r="Q356" s="36"/>
      <c r="R356" s="36"/>
      <c r="S356" s="36">
        <f t="shared" si="86"/>
        <v>0</v>
      </c>
      <c r="T356" s="36"/>
      <c r="U356" s="36"/>
      <c r="V356" s="36">
        <f t="shared" si="87"/>
        <v>0</v>
      </c>
      <c r="W356" s="36"/>
      <c r="X356" s="36"/>
      <c r="Y356" s="36">
        <f t="shared" si="88"/>
        <v>0</v>
      </c>
      <c r="Z356" s="36"/>
      <c r="AA356" s="36"/>
      <c r="AB356" s="36">
        <f t="shared" si="89"/>
        <v>0</v>
      </c>
    </row>
    <row r="357" spans="1:188" s="11" customFormat="1">
      <c r="A357" s="29" t="s">
        <v>92</v>
      </c>
      <c r="B357" s="30">
        <f t="shared" si="67"/>
        <v>436151</v>
      </c>
      <c r="C357" s="30">
        <f t="shared" si="67"/>
        <v>436151</v>
      </c>
      <c r="D357" s="30">
        <f t="shared" si="67"/>
        <v>0</v>
      </c>
      <c r="E357" s="30">
        <f>SUM(E358)</f>
        <v>0</v>
      </c>
      <c r="F357" s="30">
        <f>SUM(F358)</f>
        <v>0</v>
      </c>
      <c r="G357" s="30">
        <f t="shared" si="82"/>
        <v>0</v>
      </c>
      <c r="H357" s="30">
        <f>SUM(H358)</f>
        <v>0</v>
      </c>
      <c r="I357" s="30">
        <f>SUM(I358)</f>
        <v>0</v>
      </c>
      <c r="J357" s="30">
        <f t="shared" si="83"/>
        <v>0</v>
      </c>
      <c r="K357" s="30">
        <f>SUM(K358)</f>
        <v>24000</v>
      </c>
      <c r="L357" s="30">
        <f>SUM(L358)</f>
        <v>24000</v>
      </c>
      <c r="M357" s="30">
        <f t="shared" si="84"/>
        <v>0</v>
      </c>
      <c r="N357" s="30">
        <f>SUM(N358)</f>
        <v>412151</v>
      </c>
      <c r="O357" s="30">
        <f>SUM(O358)</f>
        <v>412151</v>
      </c>
      <c r="P357" s="30">
        <f t="shared" si="85"/>
        <v>0</v>
      </c>
      <c r="Q357" s="30">
        <f>SUM(Q358)</f>
        <v>0</v>
      </c>
      <c r="R357" s="30">
        <f>SUM(R358)</f>
        <v>0</v>
      </c>
      <c r="S357" s="30">
        <f t="shared" si="86"/>
        <v>0</v>
      </c>
      <c r="T357" s="30">
        <f>SUM(T358)</f>
        <v>0</v>
      </c>
      <c r="U357" s="30">
        <f>SUM(U358)</f>
        <v>0</v>
      </c>
      <c r="V357" s="30">
        <f t="shared" si="87"/>
        <v>0</v>
      </c>
      <c r="W357" s="30">
        <f>SUM(W358)</f>
        <v>0</v>
      </c>
      <c r="X357" s="30">
        <f>SUM(X358)</f>
        <v>0</v>
      </c>
      <c r="Y357" s="30">
        <f t="shared" si="88"/>
        <v>0</v>
      </c>
      <c r="Z357" s="30">
        <f>SUM(Z358)</f>
        <v>0</v>
      </c>
      <c r="AA357" s="30">
        <f>SUM(AA358)</f>
        <v>0</v>
      </c>
      <c r="AB357" s="30">
        <f t="shared" si="89"/>
        <v>0</v>
      </c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  <c r="AN357" s="28"/>
      <c r="AO357" s="28"/>
      <c r="AP357" s="28"/>
      <c r="AQ357" s="28"/>
      <c r="AR357" s="28"/>
      <c r="AS357" s="28"/>
      <c r="AT357" s="28"/>
      <c r="AU357" s="28"/>
      <c r="AV357" s="28"/>
      <c r="AW357" s="28"/>
      <c r="AX357" s="28"/>
      <c r="AY357" s="28"/>
      <c r="AZ357" s="28"/>
      <c r="BA357" s="28"/>
      <c r="BB357" s="28"/>
      <c r="BC357" s="28"/>
      <c r="BD357" s="28"/>
      <c r="BE357" s="28"/>
      <c r="BF357" s="28"/>
      <c r="BG357" s="28"/>
      <c r="BH357" s="28"/>
      <c r="BI357" s="28"/>
      <c r="BJ357" s="28"/>
      <c r="BK357" s="28"/>
      <c r="BL357" s="28"/>
      <c r="BM357" s="28"/>
      <c r="BN357" s="28"/>
      <c r="BO357" s="28"/>
      <c r="BP357" s="28"/>
      <c r="BQ357" s="28"/>
      <c r="BR357" s="28"/>
      <c r="BS357" s="28"/>
      <c r="BT357" s="28"/>
      <c r="BU357" s="28"/>
      <c r="BV357" s="28"/>
      <c r="BW357" s="28"/>
      <c r="BX357" s="28"/>
      <c r="BY357" s="28"/>
      <c r="BZ357" s="28"/>
      <c r="CA357" s="28"/>
      <c r="CB357" s="28"/>
      <c r="CC357" s="28"/>
      <c r="CD357" s="28"/>
      <c r="CE357" s="28"/>
      <c r="CF357" s="28"/>
      <c r="CG357" s="28"/>
      <c r="CH357" s="28"/>
      <c r="CI357" s="28"/>
      <c r="CJ357" s="28"/>
      <c r="CK357" s="28"/>
      <c r="CL357" s="28"/>
      <c r="CM357" s="28"/>
      <c r="CN357" s="28"/>
      <c r="CO357" s="28"/>
      <c r="CP357" s="28"/>
      <c r="CQ357" s="28"/>
      <c r="CR357" s="28"/>
      <c r="CS357" s="28"/>
      <c r="CT357" s="28"/>
      <c r="CU357" s="28"/>
      <c r="CV357" s="28"/>
      <c r="CW357" s="28"/>
      <c r="CX357" s="28"/>
      <c r="CY357" s="28"/>
      <c r="CZ357" s="28"/>
      <c r="DA357" s="28"/>
      <c r="DB357" s="28"/>
      <c r="DC357" s="28"/>
      <c r="DD357" s="28"/>
      <c r="DE357" s="28"/>
      <c r="DF357" s="28"/>
      <c r="DG357" s="28"/>
      <c r="DH357" s="28"/>
      <c r="DI357" s="28"/>
      <c r="DJ357" s="28"/>
      <c r="DK357" s="28"/>
      <c r="DL357" s="28"/>
      <c r="DM357" s="28"/>
      <c r="DN357" s="28"/>
      <c r="DO357" s="28"/>
      <c r="DP357" s="28"/>
      <c r="DQ357" s="28"/>
      <c r="DR357" s="28"/>
      <c r="DS357" s="28"/>
      <c r="DT357" s="28"/>
      <c r="DU357" s="28"/>
      <c r="DV357" s="28"/>
      <c r="DW357" s="28"/>
      <c r="DX357" s="28"/>
      <c r="DY357" s="28"/>
      <c r="DZ357" s="28"/>
      <c r="EA357" s="28"/>
      <c r="EB357" s="28"/>
      <c r="EC357" s="28"/>
      <c r="ED357" s="28"/>
      <c r="EE357" s="28"/>
      <c r="EF357" s="28"/>
      <c r="EG357" s="28"/>
      <c r="EH357" s="28"/>
      <c r="EI357" s="28"/>
      <c r="EJ357" s="28"/>
      <c r="EK357" s="28"/>
      <c r="EL357" s="28"/>
      <c r="EM357" s="28"/>
      <c r="EN357" s="28"/>
      <c r="EO357" s="28"/>
      <c r="EP357" s="28"/>
      <c r="EQ357" s="28"/>
      <c r="ER357" s="28"/>
      <c r="ES357" s="28"/>
      <c r="ET357" s="28"/>
      <c r="EU357" s="28"/>
      <c r="EV357" s="28"/>
      <c r="EW357" s="28"/>
      <c r="EX357" s="28"/>
      <c r="EY357" s="28"/>
      <c r="EZ357" s="28"/>
      <c r="FA357" s="28"/>
      <c r="FB357" s="28"/>
      <c r="FC357" s="28"/>
      <c r="FD357" s="28"/>
      <c r="FE357" s="28"/>
      <c r="FF357" s="28"/>
      <c r="FG357" s="28"/>
      <c r="FH357" s="28"/>
      <c r="FI357" s="28"/>
      <c r="FJ357" s="28"/>
      <c r="FK357" s="28"/>
      <c r="FL357" s="28"/>
      <c r="FM357" s="28"/>
      <c r="FN357" s="28"/>
      <c r="FO357" s="28"/>
      <c r="FP357" s="28"/>
      <c r="FQ357" s="28"/>
      <c r="FR357" s="28"/>
      <c r="FS357" s="28"/>
      <c r="FT357" s="28"/>
      <c r="FU357" s="28"/>
      <c r="FV357" s="28"/>
      <c r="FW357" s="28"/>
      <c r="FX357" s="28"/>
      <c r="FY357" s="28"/>
      <c r="FZ357" s="28"/>
      <c r="GA357" s="28"/>
      <c r="GB357" s="28"/>
      <c r="GC357" s="28"/>
      <c r="GD357" s="28"/>
      <c r="GE357" s="28"/>
    </row>
    <row r="358" spans="1:188" s="11" customFormat="1" ht="31.5">
      <c r="A358" s="29" t="s">
        <v>309</v>
      </c>
      <c r="B358" s="30">
        <f t="shared" si="67"/>
        <v>436151</v>
      </c>
      <c r="C358" s="30">
        <f t="shared" si="67"/>
        <v>436151</v>
      </c>
      <c r="D358" s="30">
        <f t="shared" si="67"/>
        <v>0</v>
      </c>
      <c r="E358" s="30">
        <f>SUM(E359:E360)</f>
        <v>0</v>
      </c>
      <c r="F358" s="30">
        <f>SUM(F359:F360)</f>
        <v>0</v>
      </c>
      <c r="G358" s="30">
        <f t="shared" si="82"/>
        <v>0</v>
      </c>
      <c r="H358" s="30">
        <f>SUM(H359:H360)</f>
        <v>0</v>
      </c>
      <c r="I358" s="30">
        <f>SUM(I359:I360)</f>
        <v>0</v>
      </c>
      <c r="J358" s="30">
        <f t="shared" si="83"/>
        <v>0</v>
      </c>
      <c r="K358" s="30">
        <f>SUM(K359:K360)</f>
        <v>24000</v>
      </c>
      <c r="L358" s="30">
        <f>SUM(L359:L360)</f>
        <v>24000</v>
      </c>
      <c r="M358" s="30">
        <f t="shared" si="84"/>
        <v>0</v>
      </c>
      <c r="N358" s="30">
        <f>SUM(N359:N360)</f>
        <v>412151</v>
      </c>
      <c r="O358" s="30">
        <f>SUM(O359:O360)</f>
        <v>412151</v>
      </c>
      <c r="P358" s="30">
        <f t="shared" si="85"/>
        <v>0</v>
      </c>
      <c r="Q358" s="30">
        <f>SUM(Q359:Q360)</f>
        <v>0</v>
      </c>
      <c r="R358" s="30">
        <f>SUM(R359:R360)</f>
        <v>0</v>
      </c>
      <c r="S358" s="30">
        <f t="shared" si="86"/>
        <v>0</v>
      </c>
      <c r="T358" s="30">
        <f>SUM(T359:T360)</f>
        <v>0</v>
      </c>
      <c r="U358" s="30">
        <f>SUM(U359:U360)</f>
        <v>0</v>
      </c>
      <c r="V358" s="30">
        <f t="shared" si="87"/>
        <v>0</v>
      </c>
      <c r="W358" s="30">
        <f>SUM(W359:W360)</f>
        <v>0</v>
      </c>
      <c r="X358" s="30">
        <f>SUM(X359:X360)</f>
        <v>0</v>
      </c>
      <c r="Y358" s="30">
        <f t="shared" si="88"/>
        <v>0</v>
      </c>
      <c r="Z358" s="30">
        <f>SUM(Z359:Z360)</f>
        <v>0</v>
      </c>
      <c r="AA358" s="30">
        <f>SUM(AA359:AA360)</f>
        <v>0</v>
      </c>
      <c r="AB358" s="30">
        <f t="shared" si="89"/>
        <v>0</v>
      </c>
    </row>
    <row r="359" spans="1:188" s="11" customFormat="1" ht="78.75">
      <c r="A359" s="35" t="s">
        <v>315</v>
      </c>
      <c r="B359" s="36">
        <f t="shared" si="67"/>
        <v>412151</v>
      </c>
      <c r="C359" s="36">
        <f t="shared" si="67"/>
        <v>412151</v>
      </c>
      <c r="D359" s="36">
        <f t="shared" si="67"/>
        <v>0</v>
      </c>
      <c r="E359" s="36"/>
      <c r="F359" s="36"/>
      <c r="G359" s="36">
        <f t="shared" si="82"/>
        <v>0</v>
      </c>
      <c r="H359" s="36"/>
      <c r="I359" s="36"/>
      <c r="J359" s="36">
        <f t="shared" si="83"/>
        <v>0</v>
      </c>
      <c r="K359" s="36"/>
      <c r="L359" s="36"/>
      <c r="M359" s="36">
        <f t="shared" si="84"/>
        <v>0</v>
      </c>
      <c r="N359" s="36">
        <v>412151</v>
      </c>
      <c r="O359" s="36">
        <v>412151</v>
      </c>
      <c r="P359" s="36">
        <f t="shared" si="85"/>
        <v>0</v>
      </c>
      <c r="Q359" s="36"/>
      <c r="R359" s="36"/>
      <c r="S359" s="36">
        <f t="shared" si="86"/>
        <v>0</v>
      </c>
      <c r="T359" s="36"/>
      <c r="U359" s="36"/>
      <c r="V359" s="36">
        <f t="shared" si="87"/>
        <v>0</v>
      </c>
      <c r="W359" s="36"/>
      <c r="X359" s="36"/>
      <c r="Y359" s="36">
        <f t="shared" si="88"/>
        <v>0</v>
      </c>
      <c r="Z359" s="36"/>
      <c r="AA359" s="36"/>
      <c r="AB359" s="36">
        <f t="shared" si="89"/>
        <v>0</v>
      </c>
      <c r="FL359" s="28"/>
      <c r="FM359" s="28"/>
      <c r="FN359" s="28"/>
      <c r="FO359" s="28"/>
      <c r="FP359" s="28"/>
      <c r="FQ359" s="28"/>
      <c r="FR359" s="28"/>
      <c r="FS359" s="28"/>
      <c r="FT359" s="28"/>
      <c r="FU359" s="28"/>
      <c r="FV359" s="28"/>
      <c r="FW359" s="28"/>
      <c r="FX359" s="28"/>
      <c r="FY359" s="28"/>
      <c r="FZ359" s="28"/>
      <c r="GA359" s="28"/>
      <c r="GB359" s="28"/>
      <c r="GC359" s="28"/>
      <c r="GD359" s="28"/>
      <c r="GE359" s="28"/>
    </row>
    <row r="360" spans="1:188" s="11" customFormat="1" ht="31.5">
      <c r="A360" s="41" t="s">
        <v>316</v>
      </c>
      <c r="B360" s="36">
        <f t="shared" si="67"/>
        <v>24000</v>
      </c>
      <c r="C360" s="36">
        <f t="shared" si="67"/>
        <v>24000</v>
      </c>
      <c r="D360" s="36">
        <f t="shared" si="67"/>
        <v>0</v>
      </c>
      <c r="E360" s="36"/>
      <c r="F360" s="36"/>
      <c r="G360" s="36">
        <f t="shared" si="82"/>
        <v>0</v>
      </c>
      <c r="H360" s="36"/>
      <c r="I360" s="36"/>
      <c r="J360" s="36">
        <f t="shared" si="83"/>
        <v>0</v>
      </c>
      <c r="K360" s="36">
        <v>24000</v>
      </c>
      <c r="L360" s="36">
        <v>24000</v>
      </c>
      <c r="M360" s="36">
        <f t="shared" si="84"/>
        <v>0</v>
      </c>
      <c r="N360" s="36"/>
      <c r="O360" s="36"/>
      <c r="P360" s="36">
        <f t="shared" si="85"/>
        <v>0</v>
      </c>
      <c r="Q360" s="36"/>
      <c r="R360" s="36"/>
      <c r="S360" s="36">
        <f t="shared" si="86"/>
        <v>0</v>
      </c>
      <c r="T360" s="36"/>
      <c r="U360" s="36"/>
      <c r="V360" s="36">
        <f t="shared" si="87"/>
        <v>0</v>
      </c>
      <c r="W360" s="36"/>
      <c r="X360" s="36"/>
      <c r="Y360" s="36">
        <f t="shared" si="88"/>
        <v>0</v>
      </c>
      <c r="Z360" s="36"/>
      <c r="AA360" s="36"/>
      <c r="AB360" s="36">
        <f t="shared" si="89"/>
        <v>0</v>
      </c>
    </row>
    <row r="361" spans="1:188" s="11" customFormat="1">
      <c r="A361" s="44" t="s">
        <v>317</v>
      </c>
      <c r="B361" s="30">
        <f t="shared" si="67"/>
        <v>117149</v>
      </c>
      <c r="C361" s="30">
        <f t="shared" si="67"/>
        <v>117149</v>
      </c>
      <c r="D361" s="30">
        <f t="shared" si="67"/>
        <v>0</v>
      </c>
      <c r="E361" s="30">
        <f>SUM(E362)</f>
        <v>0</v>
      </c>
      <c r="F361" s="30">
        <f>SUM(F362)</f>
        <v>0</v>
      </c>
      <c r="G361" s="30">
        <f t="shared" si="82"/>
        <v>0</v>
      </c>
      <c r="H361" s="30">
        <f>SUM(H362)</f>
        <v>0</v>
      </c>
      <c r="I361" s="30">
        <f>SUM(I362)</f>
        <v>0</v>
      </c>
      <c r="J361" s="30">
        <f t="shared" si="83"/>
        <v>0</v>
      </c>
      <c r="K361" s="30">
        <f>SUM(K362)</f>
        <v>117149</v>
      </c>
      <c r="L361" s="30">
        <f>SUM(L362)</f>
        <v>117149</v>
      </c>
      <c r="M361" s="30">
        <f t="shared" si="84"/>
        <v>0</v>
      </c>
      <c r="N361" s="30">
        <f>SUM(N362)</f>
        <v>0</v>
      </c>
      <c r="O361" s="30">
        <f>SUM(O362)</f>
        <v>0</v>
      </c>
      <c r="P361" s="30">
        <f t="shared" si="85"/>
        <v>0</v>
      </c>
      <c r="Q361" s="30">
        <f>SUM(Q362)</f>
        <v>0</v>
      </c>
      <c r="R361" s="30">
        <f>SUM(R362)</f>
        <v>0</v>
      </c>
      <c r="S361" s="30">
        <f t="shared" si="86"/>
        <v>0</v>
      </c>
      <c r="T361" s="30">
        <f>SUM(T362)</f>
        <v>0</v>
      </c>
      <c r="U361" s="30">
        <f>SUM(U362)</f>
        <v>0</v>
      </c>
      <c r="V361" s="30">
        <f t="shared" si="87"/>
        <v>0</v>
      </c>
      <c r="W361" s="30">
        <f>SUM(W362)</f>
        <v>0</v>
      </c>
      <c r="X361" s="30">
        <f>SUM(X362)</f>
        <v>0</v>
      </c>
      <c r="Y361" s="30">
        <f t="shared" si="88"/>
        <v>0</v>
      </c>
      <c r="Z361" s="30">
        <f>SUM(Z362)</f>
        <v>0</v>
      </c>
      <c r="AA361" s="30">
        <f>SUM(AA362)</f>
        <v>0</v>
      </c>
      <c r="AB361" s="30">
        <f t="shared" si="89"/>
        <v>0</v>
      </c>
    </row>
    <row r="362" spans="1:188" s="11" customFormat="1" ht="31.5">
      <c r="A362" s="29" t="s">
        <v>69</v>
      </c>
      <c r="B362" s="30">
        <f t="shared" si="67"/>
        <v>117149</v>
      </c>
      <c r="C362" s="30">
        <f t="shared" si="67"/>
        <v>117149</v>
      </c>
      <c r="D362" s="30">
        <f t="shared" si="67"/>
        <v>0</v>
      </c>
      <c r="E362" s="30">
        <f>SUM(E363:E364)</f>
        <v>0</v>
      </c>
      <c r="F362" s="30">
        <f>SUM(F363:F364)</f>
        <v>0</v>
      </c>
      <c r="G362" s="30">
        <f t="shared" si="82"/>
        <v>0</v>
      </c>
      <c r="H362" s="30">
        <f>SUM(H363:H364)</f>
        <v>0</v>
      </c>
      <c r="I362" s="30">
        <f>SUM(I363:I364)</f>
        <v>0</v>
      </c>
      <c r="J362" s="30">
        <f t="shared" si="83"/>
        <v>0</v>
      </c>
      <c r="K362" s="30">
        <f>SUM(K363:K364)</f>
        <v>117149</v>
      </c>
      <c r="L362" s="30">
        <f>SUM(L363:L364)</f>
        <v>117149</v>
      </c>
      <c r="M362" s="30">
        <f t="shared" si="84"/>
        <v>0</v>
      </c>
      <c r="N362" s="30">
        <f>SUM(N363:N364)</f>
        <v>0</v>
      </c>
      <c r="O362" s="30">
        <f>SUM(O363:O364)</f>
        <v>0</v>
      </c>
      <c r="P362" s="30">
        <f t="shared" si="85"/>
        <v>0</v>
      </c>
      <c r="Q362" s="30">
        <f>SUM(Q363:Q364)</f>
        <v>0</v>
      </c>
      <c r="R362" s="30">
        <f>SUM(R363:R364)</f>
        <v>0</v>
      </c>
      <c r="S362" s="30">
        <f t="shared" si="86"/>
        <v>0</v>
      </c>
      <c r="T362" s="30">
        <f>SUM(T363:T364)</f>
        <v>0</v>
      </c>
      <c r="U362" s="30">
        <f>SUM(U363:U364)</f>
        <v>0</v>
      </c>
      <c r="V362" s="30">
        <f t="shared" si="87"/>
        <v>0</v>
      </c>
      <c r="W362" s="30">
        <f>SUM(W363:W364)</f>
        <v>0</v>
      </c>
      <c r="X362" s="30">
        <f>SUM(X363:X364)</f>
        <v>0</v>
      </c>
      <c r="Y362" s="30">
        <f t="shared" si="88"/>
        <v>0</v>
      </c>
      <c r="Z362" s="30">
        <f>SUM(Z363:Z364)</f>
        <v>0</v>
      </c>
      <c r="AA362" s="30">
        <f>SUM(AA363:AA364)</f>
        <v>0</v>
      </c>
      <c r="AB362" s="30">
        <f t="shared" si="89"/>
        <v>0</v>
      </c>
    </row>
    <row r="363" spans="1:188" s="11" customFormat="1" ht="47.25">
      <c r="A363" s="37" t="s">
        <v>318</v>
      </c>
      <c r="B363" s="36">
        <f t="shared" si="67"/>
        <v>100000</v>
      </c>
      <c r="C363" s="36">
        <f t="shared" si="67"/>
        <v>100000</v>
      </c>
      <c r="D363" s="36">
        <f t="shared" si="67"/>
        <v>0</v>
      </c>
      <c r="E363" s="36"/>
      <c r="F363" s="36"/>
      <c r="G363" s="36">
        <f t="shared" si="82"/>
        <v>0</v>
      </c>
      <c r="H363" s="36"/>
      <c r="I363" s="36"/>
      <c r="J363" s="36">
        <f t="shared" si="83"/>
        <v>0</v>
      </c>
      <c r="K363" s="36">
        <v>100000</v>
      </c>
      <c r="L363" s="36">
        <v>100000</v>
      </c>
      <c r="M363" s="36">
        <f t="shared" si="84"/>
        <v>0</v>
      </c>
      <c r="N363" s="36"/>
      <c r="O363" s="36"/>
      <c r="P363" s="36">
        <f t="shared" si="85"/>
        <v>0</v>
      </c>
      <c r="Q363" s="36"/>
      <c r="R363" s="36"/>
      <c r="S363" s="36">
        <f t="shared" si="86"/>
        <v>0</v>
      </c>
      <c r="T363" s="36"/>
      <c r="U363" s="36"/>
      <c r="V363" s="36">
        <f t="shared" si="87"/>
        <v>0</v>
      </c>
      <c r="W363" s="36"/>
      <c r="X363" s="36"/>
      <c r="Y363" s="36">
        <f t="shared" si="88"/>
        <v>0</v>
      </c>
      <c r="Z363" s="43"/>
      <c r="AA363" s="43"/>
      <c r="AB363" s="36">
        <f t="shared" si="89"/>
        <v>0</v>
      </c>
      <c r="FL363" s="28"/>
      <c r="FM363" s="28"/>
      <c r="FN363" s="28"/>
      <c r="FO363" s="28"/>
      <c r="FP363" s="28"/>
      <c r="FQ363" s="28"/>
      <c r="FR363" s="28"/>
      <c r="FS363" s="28"/>
      <c r="FT363" s="28"/>
      <c r="FU363" s="28"/>
      <c r="FV363" s="28"/>
      <c r="FW363" s="28"/>
      <c r="FX363" s="28"/>
      <c r="FY363" s="28"/>
      <c r="FZ363" s="28"/>
      <c r="GA363" s="28"/>
      <c r="GB363" s="28"/>
      <c r="GC363" s="28"/>
      <c r="GD363" s="28"/>
      <c r="GE363" s="28"/>
    </row>
    <row r="364" spans="1:188" s="11" customFormat="1" ht="31.5">
      <c r="A364" s="37" t="s">
        <v>319</v>
      </c>
      <c r="B364" s="36">
        <f t="shared" si="67"/>
        <v>17149</v>
      </c>
      <c r="C364" s="36">
        <f t="shared" si="67"/>
        <v>17149</v>
      </c>
      <c r="D364" s="36">
        <f t="shared" si="67"/>
        <v>0</v>
      </c>
      <c r="E364" s="36"/>
      <c r="F364" s="36"/>
      <c r="G364" s="36">
        <f t="shared" si="82"/>
        <v>0</v>
      </c>
      <c r="H364" s="36"/>
      <c r="I364" s="36"/>
      <c r="J364" s="36">
        <f t="shared" si="83"/>
        <v>0</v>
      </c>
      <c r="K364" s="36">
        <f>4500+5852+6797</f>
        <v>17149</v>
      </c>
      <c r="L364" s="36">
        <f>4500+5852+6797</f>
        <v>17149</v>
      </c>
      <c r="M364" s="36">
        <f t="shared" si="84"/>
        <v>0</v>
      </c>
      <c r="N364" s="36"/>
      <c r="O364" s="36"/>
      <c r="P364" s="36">
        <f t="shared" si="85"/>
        <v>0</v>
      </c>
      <c r="Q364" s="36"/>
      <c r="R364" s="36"/>
      <c r="S364" s="36">
        <f t="shared" si="86"/>
        <v>0</v>
      </c>
      <c r="T364" s="36"/>
      <c r="U364" s="36"/>
      <c r="V364" s="36">
        <f t="shared" si="87"/>
        <v>0</v>
      </c>
      <c r="W364" s="36"/>
      <c r="X364" s="36"/>
      <c r="Y364" s="36">
        <f t="shared" si="88"/>
        <v>0</v>
      </c>
      <c r="Z364" s="43"/>
      <c r="AA364" s="43"/>
      <c r="AB364" s="36">
        <f t="shared" si="89"/>
        <v>0</v>
      </c>
      <c r="FL364" s="28"/>
      <c r="FM364" s="28"/>
      <c r="FN364" s="28"/>
      <c r="FO364" s="28"/>
      <c r="FP364" s="28"/>
      <c r="FQ364" s="28"/>
      <c r="FR364" s="28"/>
      <c r="FS364" s="28"/>
      <c r="FT364" s="28"/>
      <c r="FU364" s="28"/>
      <c r="FV364" s="28"/>
      <c r="FW364" s="28"/>
      <c r="FX364" s="28"/>
      <c r="FY364" s="28"/>
      <c r="FZ364" s="28"/>
      <c r="GA364" s="28"/>
      <c r="GB364" s="28"/>
      <c r="GC364" s="28"/>
      <c r="GD364" s="28"/>
      <c r="GE364" s="28"/>
    </row>
    <row r="365" spans="1:188" s="11" customFormat="1">
      <c r="A365" s="44" t="s">
        <v>320</v>
      </c>
      <c r="B365" s="30">
        <f t="shared" si="67"/>
        <v>0</v>
      </c>
      <c r="C365" s="30">
        <f t="shared" si="67"/>
        <v>14400</v>
      </c>
      <c r="D365" s="30">
        <f t="shared" si="67"/>
        <v>14400</v>
      </c>
      <c r="E365" s="30">
        <f>SUM(E366)</f>
        <v>0</v>
      </c>
      <c r="F365" s="30">
        <f>SUM(F366)</f>
        <v>0</v>
      </c>
      <c r="G365" s="30">
        <f t="shared" si="82"/>
        <v>0</v>
      </c>
      <c r="H365" s="30">
        <f>SUM(H366)</f>
        <v>0</v>
      </c>
      <c r="I365" s="30">
        <f>SUM(I366)</f>
        <v>0</v>
      </c>
      <c r="J365" s="30">
        <f t="shared" si="83"/>
        <v>0</v>
      </c>
      <c r="K365" s="30">
        <f>SUM(K366)</f>
        <v>0</v>
      </c>
      <c r="L365" s="30">
        <f>SUM(L366)</f>
        <v>0</v>
      </c>
      <c r="M365" s="30">
        <f t="shared" si="84"/>
        <v>0</v>
      </c>
      <c r="N365" s="30">
        <f>SUM(N366)</f>
        <v>0</v>
      </c>
      <c r="O365" s="30">
        <f>SUM(O366)</f>
        <v>0</v>
      </c>
      <c r="P365" s="30">
        <f t="shared" si="85"/>
        <v>0</v>
      </c>
      <c r="Q365" s="30">
        <f>SUM(Q366)</f>
        <v>0</v>
      </c>
      <c r="R365" s="30">
        <f>SUM(R366)</f>
        <v>0</v>
      </c>
      <c r="S365" s="30">
        <f t="shared" si="86"/>
        <v>0</v>
      </c>
      <c r="T365" s="30">
        <f>SUM(T366)</f>
        <v>0</v>
      </c>
      <c r="U365" s="30">
        <f>SUM(U366)</f>
        <v>0</v>
      </c>
      <c r="V365" s="30">
        <f t="shared" si="87"/>
        <v>0</v>
      </c>
      <c r="W365" s="30">
        <f>SUM(W366)</f>
        <v>0</v>
      </c>
      <c r="X365" s="30">
        <f>SUM(X366)</f>
        <v>14400</v>
      </c>
      <c r="Y365" s="30">
        <f t="shared" si="88"/>
        <v>14400</v>
      </c>
      <c r="Z365" s="30">
        <f>SUM(Z366)</f>
        <v>0</v>
      </c>
      <c r="AA365" s="30">
        <f>SUM(AA366)</f>
        <v>0</v>
      </c>
      <c r="AB365" s="30">
        <f t="shared" si="89"/>
        <v>0</v>
      </c>
    </row>
    <row r="366" spans="1:188" s="11" customFormat="1">
      <c r="A366" s="29" t="s">
        <v>33</v>
      </c>
      <c r="B366" s="30">
        <f t="shared" si="67"/>
        <v>0</v>
      </c>
      <c r="C366" s="30">
        <f t="shared" si="67"/>
        <v>14400</v>
      </c>
      <c r="D366" s="30">
        <f t="shared" si="67"/>
        <v>14400</v>
      </c>
      <c r="E366" s="30">
        <f>SUM(E367)</f>
        <v>0</v>
      </c>
      <c r="F366" s="30">
        <f>SUM(F367)</f>
        <v>0</v>
      </c>
      <c r="G366" s="30">
        <f t="shared" si="82"/>
        <v>0</v>
      </c>
      <c r="H366" s="30">
        <f t="shared" ref="H366:I366" si="126">SUM(H367)</f>
        <v>0</v>
      </c>
      <c r="I366" s="30">
        <f t="shared" si="126"/>
        <v>0</v>
      </c>
      <c r="J366" s="30">
        <f t="shared" si="83"/>
        <v>0</v>
      </c>
      <c r="K366" s="30">
        <f t="shared" ref="K366:L366" si="127">SUM(K367)</f>
        <v>0</v>
      </c>
      <c r="L366" s="30">
        <f t="shared" si="127"/>
        <v>0</v>
      </c>
      <c r="M366" s="30">
        <f t="shared" si="84"/>
        <v>0</v>
      </c>
      <c r="N366" s="30">
        <f t="shared" ref="N366:O366" si="128">SUM(N367)</f>
        <v>0</v>
      </c>
      <c r="O366" s="30">
        <f t="shared" si="128"/>
        <v>0</v>
      </c>
      <c r="P366" s="30">
        <f t="shared" si="85"/>
        <v>0</v>
      </c>
      <c r="Q366" s="30">
        <f t="shared" ref="Q366:R366" si="129">SUM(Q367)</f>
        <v>0</v>
      </c>
      <c r="R366" s="30">
        <f t="shared" si="129"/>
        <v>0</v>
      </c>
      <c r="S366" s="30">
        <f t="shared" si="86"/>
        <v>0</v>
      </c>
      <c r="T366" s="30">
        <f t="shared" ref="T366:U366" si="130">SUM(T367)</f>
        <v>0</v>
      </c>
      <c r="U366" s="30">
        <f t="shared" si="130"/>
        <v>0</v>
      </c>
      <c r="V366" s="30">
        <f t="shared" si="87"/>
        <v>0</v>
      </c>
      <c r="W366" s="30">
        <f t="shared" ref="W366:X366" si="131">SUM(W367)</f>
        <v>0</v>
      </c>
      <c r="X366" s="30">
        <f t="shared" si="131"/>
        <v>14400</v>
      </c>
      <c r="Y366" s="30">
        <f t="shared" si="88"/>
        <v>14400</v>
      </c>
      <c r="Z366" s="30">
        <f t="shared" ref="Z366:AA366" si="132">SUM(Z367)</f>
        <v>0</v>
      </c>
      <c r="AA366" s="30">
        <f t="shared" si="132"/>
        <v>0</v>
      </c>
      <c r="AB366" s="30">
        <f t="shared" si="89"/>
        <v>0</v>
      </c>
    </row>
    <row r="367" spans="1:188" s="11" customFormat="1" ht="31.5">
      <c r="A367" s="29" t="s">
        <v>321</v>
      </c>
      <c r="B367" s="30">
        <f t="shared" si="67"/>
        <v>0</v>
      </c>
      <c r="C367" s="30">
        <f t="shared" si="67"/>
        <v>14400</v>
      </c>
      <c r="D367" s="30">
        <f t="shared" si="67"/>
        <v>14400</v>
      </c>
      <c r="E367" s="30">
        <f>E368</f>
        <v>0</v>
      </c>
      <c r="F367" s="30">
        <f>F368</f>
        <v>0</v>
      </c>
      <c r="G367" s="30">
        <f t="shared" si="82"/>
        <v>0</v>
      </c>
      <c r="H367" s="30">
        <f t="shared" ref="H367:I367" si="133">H368</f>
        <v>0</v>
      </c>
      <c r="I367" s="30">
        <f t="shared" si="133"/>
        <v>0</v>
      </c>
      <c r="J367" s="30">
        <f t="shared" si="83"/>
        <v>0</v>
      </c>
      <c r="K367" s="30">
        <f t="shared" ref="K367:L367" si="134">K368</f>
        <v>0</v>
      </c>
      <c r="L367" s="30">
        <f t="shared" si="134"/>
        <v>0</v>
      </c>
      <c r="M367" s="30">
        <f t="shared" si="84"/>
        <v>0</v>
      </c>
      <c r="N367" s="30">
        <f t="shared" ref="N367:O367" si="135">N368</f>
        <v>0</v>
      </c>
      <c r="O367" s="30">
        <f t="shared" si="135"/>
        <v>0</v>
      </c>
      <c r="P367" s="30">
        <f t="shared" si="85"/>
        <v>0</v>
      </c>
      <c r="Q367" s="30">
        <f t="shared" ref="Q367:R367" si="136">Q368</f>
        <v>0</v>
      </c>
      <c r="R367" s="30">
        <f t="shared" si="136"/>
        <v>0</v>
      </c>
      <c r="S367" s="30">
        <f t="shared" si="86"/>
        <v>0</v>
      </c>
      <c r="T367" s="30">
        <f t="shared" ref="T367:U367" si="137">T368</f>
        <v>0</v>
      </c>
      <c r="U367" s="30">
        <f t="shared" si="137"/>
        <v>0</v>
      </c>
      <c r="V367" s="30">
        <f t="shared" si="87"/>
        <v>0</v>
      </c>
      <c r="W367" s="30">
        <f t="shared" ref="W367:X367" si="138">W368</f>
        <v>0</v>
      </c>
      <c r="X367" s="30">
        <f t="shared" si="138"/>
        <v>14400</v>
      </c>
      <c r="Y367" s="30">
        <f t="shared" si="88"/>
        <v>14400</v>
      </c>
      <c r="Z367" s="30">
        <f t="shared" ref="Z367:AA367" si="139">Z368</f>
        <v>0</v>
      </c>
      <c r="AA367" s="30">
        <f t="shared" si="139"/>
        <v>0</v>
      </c>
      <c r="AB367" s="30">
        <f t="shared" si="89"/>
        <v>0</v>
      </c>
    </row>
    <row r="368" spans="1:188" s="11" customFormat="1" ht="63">
      <c r="A368" s="37" t="s">
        <v>38</v>
      </c>
      <c r="B368" s="36">
        <f t="shared" si="67"/>
        <v>0</v>
      </c>
      <c r="C368" s="36">
        <f t="shared" si="67"/>
        <v>14400</v>
      </c>
      <c r="D368" s="36">
        <f t="shared" si="67"/>
        <v>14400</v>
      </c>
      <c r="E368" s="36">
        <f>639749-639749</f>
        <v>0</v>
      </c>
      <c r="F368" s="36">
        <f>639749-639749</f>
        <v>0</v>
      </c>
      <c r="G368" s="36">
        <f t="shared" si="82"/>
        <v>0</v>
      </c>
      <c r="H368" s="36"/>
      <c r="I368" s="36"/>
      <c r="J368" s="36">
        <f t="shared" si="83"/>
        <v>0</v>
      </c>
      <c r="K368" s="36"/>
      <c r="L368" s="36"/>
      <c r="M368" s="36">
        <f t="shared" si="84"/>
        <v>0</v>
      </c>
      <c r="N368" s="36"/>
      <c r="O368" s="36"/>
      <c r="P368" s="36">
        <f t="shared" si="85"/>
        <v>0</v>
      </c>
      <c r="Q368" s="36"/>
      <c r="R368" s="36"/>
      <c r="S368" s="36">
        <f t="shared" si="86"/>
        <v>0</v>
      </c>
      <c r="T368" s="36"/>
      <c r="U368" s="36"/>
      <c r="V368" s="36">
        <f t="shared" si="87"/>
        <v>0</v>
      </c>
      <c r="W368" s="43">
        <v>0</v>
      </c>
      <c r="X368" s="43">
        <v>14400</v>
      </c>
      <c r="Y368" s="36">
        <f t="shared" si="88"/>
        <v>14400</v>
      </c>
      <c r="Z368" s="43">
        <v>0</v>
      </c>
      <c r="AA368" s="43">
        <v>0</v>
      </c>
      <c r="AB368" s="36">
        <f t="shared" si="89"/>
        <v>0</v>
      </c>
      <c r="FM368" s="28"/>
      <c r="FN368" s="28"/>
      <c r="FO368" s="28"/>
      <c r="FP368" s="28"/>
      <c r="FQ368" s="28"/>
      <c r="FR368" s="28"/>
      <c r="FS368" s="28"/>
      <c r="FT368" s="28"/>
      <c r="FU368" s="28"/>
      <c r="FV368" s="28"/>
      <c r="FW368" s="28"/>
      <c r="FX368" s="28"/>
      <c r="FY368" s="28"/>
      <c r="FZ368" s="28"/>
      <c r="GA368" s="28"/>
      <c r="GB368" s="28"/>
      <c r="GC368" s="28"/>
      <c r="GD368" s="28"/>
      <c r="GE368" s="28"/>
      <c r="GF368" s="28"/>
    </row>
    <row r="370" spans="1:187">
      <c r="E370" s="45"/>
    </row>
    <row r="372" spans="1:187" s="2" customFormat="1">
      <c r="A372" s="1" t="s">
        <v>1</v>
      </c>
      <c r="C372" s="3"/>
    </row>
    <row r="373" spans="1:187" s="2" customFormat="1">
      <c r="A373" s="4" t="s">
        <v>2</v>
      </c>
      <c r="B373" s="4"/>
      <c r="C373" s="5"/>
    </row>
    <row r="374" spans="1:187" s="47" customFormat="1">
      <c r="A374" s="46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9"/>
      <c r="AD374" s="9"/>
      <c r="AE374" s="9"/>
      <c r="AF374" s="9"/>
      <c r="AG374" s="9"/>
      <c r="AH374" s="9"/>
      <c r="AI374" s="9"/>
      <c r="AJ374" s="9"/>
      <c r="AK374" s="9"/>
      <c r="AL374" s="9"/>
      <c r="AM374" s="9"/>
      <c r="AN374" s="9"/>
      <c r="AO374" s="9"/>
      <c r="AP374" s="9"/>
      <c r="AQ374" s="9"/>
      <c r="AR374" s="9"/>
      <c r="AS374" s="9"/>
      <c r="AT374" s="9"/>
      <c r="AU374" s="9"/>
      <c r="AV374" s="9"/>
      <c r="AW374" s="9"/>
      <c r="AX374" s="9"/>
      <c r="AY374" s="9"/>
      <c r="AZ374" s="9"/>
      <c r="BA374" s="9"/>
      <c r="BB374" s="9"/>
      <c r="BC374" s="9"/>
      <c r="BD374" s="9"/>
      <c r="BE374" s="9"/>
      <c r="BF374" s="9"/>
      <c r="BG374" s="9"/>
      <c r="BH374" s="9"/>
      <c r="BI374" s="9"/>
      <c r="BJ374" s="9"/>
      <c r="BK374" s="9"/>
      <c r="BL374" s="9"/>
      <c r="BM374" s="9"/>
      <c r="BN374" s="9"/>
      <c r="BO374" s="9"/>
      <c r="BP374" s="9"/>
      <c r="BQ374" s="9"/>
      <c r="BR374" s="9"/>
      <c r="BS374" s="9"/>
      <c r="BT374" s="9"/>
      <c r="BU374" s="9"/>
      <c r="BV374" s="9"/>
      <c r="BW374" s="9"/>
      <c r="BX374" s="9"/>
      <c r="BY374" s="9"/>
      <c r="BZ374" s="9"/>
      <c r="CA374" s="9"/>
      <c r="CB374" s="9"/>
      <c r="CC374" s="9"/>
      <c r="CD374" s="9"/>
      <c r="CE374" s="9"/>
      <c r="CF374" s="9"/>
      <c r="CG374" s="9"/>
      <c r="CH374" s="9"/>
      <c r="CI374" s="9"/>
      <c r="CJ374" s="9"/>
      <c r="CK374" s="9"/>
      <c r="CL374" s="9"/>
      <c r="CM374" s="9"/>
      <c r="CN374" s="9"/>
      <c r="CO374" s="9"/>
      <c r="CP374" s="9"/>
      <c r="CQ374" s="9"/>
      <c r="CR374" s="9"/>
      <c r="CS374" s="9"/>
      <c r="CT374" s="9"/>
      <c r="CU374" s="9"/>
      <c r="CV374" s="9"/>
      <c r="CW374" s="9"/>
      <c r="CX374" s="9"/>
      <c r="CY374" s="9"/>
      <c r="CZ374" s="9"/>
      <c r="DA374" s="9"/>
      <c r="DB374" s="9"/>
      <c r="DC374" s="9"/>
      <c r="DD374" s="9"/>
      <c r="DE374" s="9"/>
      <c r="DF374" s="9"/>
      <c r="DG374" s="9"/>
      <c r="DH374" s="9"/>
      <c r="DI374" s="9"/>
      <c r="DJ374" s="9"/>
      <c r="DK374" s="9"/>
      <c r="DL374" s="9"/>
      <c r="DM374" s="9"/>
      <c r="DN374" s="9"/>
      <c r="DO374" s="9"/>
      <c r="DP374" s="9"/>
      <c r="DQ374" s="9"/>
      <c r="DR374" s="9"/>
      <c r="DS374" s="9"/>
      <c r="DT374" s="9"/>
      <c r="DU374" s="9"/>
      <c r="DV374" s="9"/>
      <c r="DW374" s="9"/>
      <c r="DX374" s="9"/>
      <c r="DY374" s="9"/>
      <c r="DZ374" s="9"/>
      <c r="EA374" s="9"/>
      <c r="EB374" s="9"/>
      <c r="EC374" s="9"/>
      <c r="ED374" s="9"/>
      <c r="EE374" s="9"/>
      <c r="EF374" s="9"/>
      <c r="EG374" s="9"/>
      <c r="EH374" s="9"/>
      <c r="EI374" s="9"/>
      <c r="EJ374" s="9"/>
      <c r="EK374" s="9"/>
      <c r="EL374" s="9"/>
      <c r="EM374" s="9"/>
      <c r="EN374" s="9"/>
      <c r="EO374" s="9"/>
      <c r="EP374" s="9"/>
      <c r="EQ374" s="9"/>
      <c r="ER374" s="9"/>
      <c r="ES374" s="9"/>
      <c r="ET374" s="9"/>
      <c r="EU374" s="9"/>
      <c r="EV374" s="9"/>
      <c r="EW374" s="9"/>
      <c r="EX374" s="9"/>
      <c r="EY374" s="9"/>
      <c r="EZ374" s="9"/>
      <c r="FA374" s="9"/>
      <c r="FB374" s="9"/>
      <c r="FC374" s="9"/>
      <c r="FD374" s="9"/>
      <c r="FE374" s="9"/>
      <c r="FF374" s="9"/>
      <c r="FG374" s="9"/>
      <c r="FH374" s="9"/>
      <c r="FI374" s="9"/>
      <c r="FJ374" s="9"/>
      <c r="FK374" s="9"/>
      <c r="FL374" s="9"/>
      <c r="FM374" s="9"/>
      <c r="FN374" s="9"/>
      <c r="FO374" s="9"/>
      <c r="FP374" s="9"/>
      <c r="FQ374" s="9"/>
      <c r="FR374" s="9"/>
      <c r="FS374" s="9"/>
      <c r="FT374" s="9"/>
      <c r="FU374" s="9"/>
      <c r="FV374" s="9"/>
      <c r="FW374" s="9"/>
      <c r="FX374" s="9"/>
      <c r="FY374" s="9"/>
      <c r="FZ374" s="9"/>
      <c r="GA374" s="9"/>
      <c r="GB374" s="9"/>
      <c r="GC374" s="9"/>
      <c r="GD374" s="9"/>
      <c r="GE374" s="9"/>
    </row>
    <row r="375" spans="1:187">
      <c r="A375" s="47" t="s">
        <v>3</v>
      </c>
    </row>
    <row r="376" spans="1:187">
      <c r="A376" s="48" t="s">
        <v>322</v>
      </c>
    </row>
    <row r="377" spans="1:187">
      <c r="A377" s="49" t="s">
        <v>323</v>
      </c>
    </row>
    <row r="378" spans="1:187" s="8" customFormat="1">
      <c r="A378" s="47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  <c r="AE378" s="9"/>
      <c r="AF378" s="9"/>
      <c r="AG378" s="9"/>
      <c r="AH378" s="9"/>
      <c r="AI378" s="9"/>
      <c r="AJ378" s="9"/>
      <c r="AK378" s="9"/>
      <c r="AL378" s="9"/>
      <c r="AM378" s="9"/>
      <c r="AN378" s="9"/>
      <c r="AO378" s="9"/>
      <c r="AP378" s="9"/>
      <c r="AQ378" s="9"/>
      <c r="AR378" s="9"/>
      <c r="AS378" s="9"/>
      <c r="AT378" s="9"/>
      <c r="AU378" s="9"/>
      <c r="AV378" s="9"/>
      <c r="AW378" s="9"/>
      <c r="AX378" s="9"/>
      <c r="AY378" s="9"/>
      <c r="AZ378" s="9"/>
      <c r="BA378" s="9"/>
      <c r="BB378" s="9"/>
      <c r="BC378" s="9"/>
      <c r="BD378" s="9"/>
      <c r="BE378" s="9"/>
      <c r="BF378" s="9"/>
      <c r="BG378" s="9"/>
      <c r="BH378" s="9"/>
      <c r="BI378" s="9"/>
      <c r="BJ378" s="9"/>
      <c r="BK378" s="9"/>
      <c r="BL378" s="9"/>
      <c r="BM378" s="9"/>
      <c r="BN378" s="9"/>
      <c r="BO378" s="9"/>
      <c r="BP378" s="9"/>
      <c r="BQ378" s="9"/>
      <c r="BR378" s="9"/>
      <c r="BS378" s="9"/>
      <c r="BT378" s="9"/>
      <c r="BU378" s="9"/>
      <c r="BV378" s="9"/>
      <c r="BW378" s="9"/>
      <c r="BX378" s="9"/>
      <c r="BY378" s="9"/>
      <c r="BZ378" s="9"/>
      <c r="CA378" s="9"/>
      <c r="CB378" s="9"/>
      <c r="CC378" s="9"/>
      <c r="CD378" s="9"/>
      <c r="CE378" s="9"/>
      <c r="CF378" s="9"/>
      <c r="CG378" s="9"/>
      <c r="CH378" s="9"/>
      <c r="CI378" s="9"/>
      <c r="CJ378" s="9"/>
      <c r="CK378" s="9"/>
      <c r="CL378" s="9"/>
      <c r="CM378" s="9"/>
      <c r="CN378" s="9"/>
      <c r="CO378" s="9"/>
      <c r="CP378" s="9"/>
      <c r="CQ378" s="9"/>
      <c r="CR378" s="9"/>
      <c r="CS378" s="9"/>
      <c r="CT378" s="9"/>
      <c r="CU378" s="9"/>
      <c r="CV378" s="9"/>
      <c r="CW378" s="9"/>
      <c r="CX378" s="9"/>
      <c r="CY378" s="9"/>
      <c r="CZ378" s="9"/>
      <c r="DA378" s="9"/>
      <c r="DB378" s="9"/>
      <c r="DC378" s="9"/>
      <c r="DD378" s="9"/>
      <c r="DE378" s="9"/>
      <c r="DF378" s="9"/>
      <c r="DG378" s="9"/>
      <c r="DH378" s="9"/>
      <c r="DI378" s="9"/>
      <c r="DJ378" s="9"/>
      <c r="DK378" s="9"/>
      <c r="DL378" s="9"/>
      <c r="DM378" s="9"/>
      <c r="DN378" s="9"/>
      <c r="DO378" s="9"/>
      <c r="DP378" s="9"/>
      <c r="DQ378" s="9"/>
      <c r="DR378" s="9"/>
      <c r="DS378" s="9"/>
      <c r="DT378" s="9"/>
      <c r="DU378" s="9"/>
      <c r="DV378" s="9"/>
      <c r="DW378" s="9"/>
      <c r="DX378" s="9"/>
      <c r="DY378" s="9"/>
      <c r="DZ378" s="9"/>
      <c r="EA378" s="9"/>
      <c r="EB378" s="9"/>
      <c r="EC378" s="9"/>
      <c r="ED378" s="9"/>
      <c r="EE378" s="9"/>
      <c r="EF378" s="9"/>
      <c r="EG378" s="9"/>
      <c r="EH378" s="9"/>
      <c r="EI378" s="9"/>
      <c r="EJ378" s="9"/>
      <c r="EK378" s="9"/>
      <c r="EL378" s="9"/>
      <c r="EM378" s="9"/>
      <c r="EN378" s="9"/>
      <c r="EO378" s="9"/>
      <c r="EP378" s="9"/>
      <c r="EQ378" s="9"/>
      <c r="ER378" s="9"/>
      <c r="ES378" s="9"/>
      <c r="ET378" s="9"/>
      <c r="EU378" s="9"/>
      <c r="EV378" s="9"/>
      <c r="EW378" s="9"/>
      <c r="EX378" s="9"/>
      <c r="EY378" s="9"/>
      <c r="EZ378" s="9"/>
      <c r="FA378" s="9"/>
      <c r="FB378" s="9"/>
      <c r="FC378" s="9"/>
      <c r="FD378" s="9"/>
      <c r="FE378" s="9"/>
      <c r="FF378" s="9"/>
      <c r="FG378" s="9"/>
      <c r="FH378" s="9"/>
      <c r="FI378" s="9"/>
      <c r="FJ378" s="9"/>
      <c r="FK378" s="9"/>
      <c r="FL378" s="9"/>
      <c r="FM378" s="9"/>
      <c r="FN378" s="9"/>
      <c r="FO378" s="9"/>
      <c r="FP378" s="9"/>
      <c r="FQ378" s="9"/>
      <c r="FR378" s="9"/>
      <c r="FS378" s="9"/>
      <c r="FT378" s="9"/>
      <c r="FU378" s="9"/>
      <c r="FV378" s="9"/>
      <c r="FW378" s="9"/>
      <c r="FX378" s="9"/>
      <c r="FY378" s="9"/>
      <c r="FZ378" s="9"/>
      <c r="GA378" s="9"/>
      <c r="GB378" s="9"/>
      <c r="GC378" s="9"/>
      <c r="GD378" s="9"/>
      <c r="GE378" s="9"/>
    </row>
    <row r="379" spans="1:187" s="8" customFormat="1">
      <c r="A379" s="50" t="s">
        <v>324</v>
      </c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9"/>
      <c r="AF379" s="9"/>
      <c r="AG379" s="9"/>
      <c r="AH379" s="9"/>
      <c r="AI379" s="9"/>
      <c r="AJ379" s="9"/>
      <c r="AK379" s="9"/>
      <c r="AL379" s="9"/>
      <c r="AM379" s="9"/>
      <c r="AN379" s="9"/>
      <c r="AO379" s="9"/>
      <c r="AP379" s="9"/>
      <c r="AQ379" s="9"/>
      <c r="AR379" s="9"/>
      <c r="AS379" s="9"/>
      <c r="AT379" s="9"/>
      <c r="AU379" s="9"/>
      <c r="AV379" s="9"/>
      <c r="AW379" s="9"/>
      <c r="AX379" s="9"/>
      <c r="AY379" s="9"/>
      <c r="AZ379" s="9"/>
      <c r="BA379" s="9"/>
      <c r="BB379" s="9"/>
      <c r="BC379" s="9"/>
      <c r="BD379" s="9"/>
      <c r="BE379" s="9"/>
      <c r="BF379" s="9"/>
      <c r="BG379" s="9"/>
      <c r="BH379" s="9"/>
      <c r="BI379" s="9"/>
      <c r="BJ379" s="9"/>
      <c r="BK379" s="9"/>
      <c r="BL379" s="9"/>
      <c r="BM379" s="9"/>
      <c r="BN379" s="9"/>
      <c r="BO379" s="9"/>
      <c r="BP379" s="9"/>
      <c r="BQ379" s="9"/>
      <c r="BR379" s="9"/>
      <c r="BS379" s="9"/>
      <c r="BT379" s="9"/>
      <c r="BU379" s="9"/>
      <c r="BV379" s="9"/>
      <c r="BW379" s="9"/>
      <c r="BX379" s="9"/>
      <c r="BY379" s="9"/>
      <c r="BZ379" s="9"/>
      <c r="CA379" s="9"/>
      <c r="CB379" s="9"/>
      <c r="CC379" s="9"/>
      <c r="CD379" s="9"/>
      <c r="CE379" s="9"/>
      <c r="CF379" s="9"/>
      <c r="CG379" s="9"/>
      <c r="CH379" s="9"/>
      <c r="CI379" s="9"/>
      <c r="CJ379" s="9"/>
      <c r="CK379" s="9"/>
      <c r="CL379" s="9"/>
      <c r="CM379" s="9"/>
      <c r="CN379" s="9"/>
      <c r="CO379" s="9"/>
      <c r="CP379" s="9"/>
      <c r="CQ379" s="9"/>
      <c r="CR379" s="9"/>
      <c r="CS379" s="9"/>
      <c r="CT379" s="9"/>
      <c r="CU379" s="9"/>
      <c r="CV379" s="9"/>
      <c r="CW379" s="9"/>
      <c r="CX379" s="9"/>
      <c r="CY379" s="9"/>
      <c r="CZ379" s="9"/>
      <c r="DA379" s="9"/>
      <c r="DB379" s="9"/>
      <c r="DC379" s="9"/>
      <c r="DD379" s="9"/>
      <c r="DE379" s="9"/>
      <c r="DF379" s="9"/>
      <c r="DG379" s="9"/>
      <c r="DH379" s="9"/>
      <c r="DI379" s="9"/>
      <c r="DJ379" s="9"/>
      <c r="DK379" s="9"/>
      <c r="DL379" s="9"/>
      <c r="DM379" s="9"/>
      <c r="DN379" s="9"/>
      <c r="DO379" s="9"/>
      <c r="DP379" s="9"/>
      <c r="DQ379" s="9"/>
      <c r="DR379" s="9"/>
      <c r="DS379" s="9"/>
      <c r="DT379" s="9"/>
      <c r="DU379" s="9"/>
      <c r="DV379" s="9"/>
      <c r="DW379" s="9"/>
      <c r="DX379" s="9"/>
      <c r="DY379" s="9"/>
      <c r="DZ379" s="9"/>
      <c r="EA379" s="9"/>
      <c r="EB379" s="9"/>
      <c r="EC379" s="9"/>
      <c r="ED379" s="9"/>
      <c r="EE379" s="9"/>
      <c r="EF379" s="9"/>
      <c r="EG379" s="9"/>
      <c r="EH379" s="9"/>
      <c r="EI379" s="9"/>
      <c r="EJ379" s="9"/>
      <c r="EK379" s="9"/>
      <c r="EL379" s="9"/>
      <c r="EM379" s="9"/>
      <c r="EN379" s="9"/>
      <c r="EO379" s="9"/>
      <c r="EP379" s="9"/>
      <c r="EQ379" s="9"/>
      <c r="ER379" s="9"/>
      <c r="ES379" s="9"/>
      <c r="ET379" s="9"/>
      <c r="EU379" s="9"/>
      <c r="EV379" s="9"/>
      <c r="EW379" s="9"/>
      <c r="EX379" s="9"/>
      <c r="EY379" s="9"/>
      <c r="EZ379" s="9"/>
      <c r="FA379" s="9"/>
      <c r="FB379" s="9"/>
      <c r="FC379" s="9"/>
      <c r="FD379" s="9"/>
      <c r="FE379" s="9"/>
      <c r="FF379" s="9"/>
      <c r="FG379" s="9"/>
      <c r="FH379" s="9"/>
      <c r="FI379" s="9"/>
      <c r="FJ379" s="9"/>
      <c r="FK379" s="9"/>
      <c r="FL379" s="9"/>
      <c r="FM379" s="9"/>
      <c r="FN379" s="9"/>
      <c r="FO379" s="9"/>
      <c r="FP379" s="9"/>
      <c r="FQ379" s="9"/>
      <c r="FR379" s="9"/>
      <c r="FS379" s="9"/>
      <c r="FT379" s="9"/>
      <c r="FU379" s="9"/>
      <c r="FV379" s="9"/>
      <c r="FW379" s="9"/>
      <c r="FX379" s="9"/>
      <c r="FY379" s="9"/>
      <c r="FZ379" s="9"/>
      <c r="GA379" s="9"/>
      <c r="GB379" s="9"/>
      <c r="GC379" s="9"/>
      <c r="GD379" s="9"/>
      <c r="GE379" s="9"/>
    </row>
    <row r="380" spans="1:187" s="8" customFormat="1">
      <c r="A380" s="51" t="s">
        <v>325</v>
      </c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D380" s="9"/>
      <c r="AE380" s="9"/>
      <c r="AF380" s="9"/>
      <c r="AG380" s="9"/>
      <c r="AH380" s="9"/>
      <c r="AI380" s="9"/>
      <c r="AJ380" s="9"/>
      <c r="AK380" s="9"/>
      <c r="AL380" s="9"/>
      <c r="AM380" s="9"/>
      <c r="AN380" s="9"/>
      <c r="AO380" s="9"/>
      <c r="AP380" s="9"/>
      <c r="AQ380" s="9"/>
      <c r="AR380" s="9"/>
      <c r="AS380" s="9"/>
      <c r="AT380" s="9"/>
      <c r="AU380" s="9"/>
      <c r="AV380" s="9"/>
      <c r="AW380" s="9"/>
      <c r="AX380" s="9"/>
      <c r="AY380" s="9"/>
      <c r="AZ380" s="9"/>
      <c r="BA380" s="9"/>
      <c r="BB380" s="9"/>
      <c r="BC380" s="9"/>
      <c r="BD380" s="9"/>
      <c r="BE380" s="9"/>
      <c r="BF380" s="9"/>
      <c r="BG380" s="9"/>
      <c r="BH380" s="9"/>
      <c r="BI380" s="9"/>
      <c r="BJ380" s="9"/>
      <c r="BK380" s="9"/>
      <c r="BL380" s="9"/>
      <c r="BM380" s="9"/>
      <c r="BN380" s="9"/>
      <c r="BO380" s="9"/>
      <c r="BP380" s="9"/>
      <c r="BQ380" s="9"/>
      <c r="BR380" s="9"/>
      <c r="BS380" s="9"/>
      <c r="BT380" s="9"/>
      <c r="BU380" s="9"/>
      <c r="BV380" s="9"/>
      <c r="BW380" s="9"/>
      <c r="BX380" s="9"/>
      <c r="BY380" s="9"/>
      <c r="BZ380" s="9"/>
      <c r="CA380" s="9"/>
      <c r="CB380" s="9"/>
      <c r="CC380" s="9"/>
      <c r="CD380" s="9"/>
      <c r="CE380" s="9"/>
      <c r="CF380" s="9"/>
      <c r="CG380" s="9"/>
      <c r="CH380" s="9"/>
      <c r="CI380" s="9"/>
      <c r="CJ380" s="9"/>
      <c r="CK380" s="9"/>
      <c r="CL380" s="9"/>
      <c r="CM380" s="9"/>
      <c r="CN380" s="9"/>
      <c r="CO380" s="9"/>
      <c r="CP380" s="9"/>
      <c r="CQ380" s="9"/>
      <c r="CR380" s="9"/>
      <c r="CS380" s="9"/>
      <c r="CT380" s="9"/>
      <c r="CU380" s="9"/>
      <c r="CV380" s="9"/>
      <c r="CW380" s="9"/>
      <c r="CX380" s="9"/>
      <c r="CY380" s="9"/>
      <c r="CZ380" s="9"/>
      <c r="DA380" s="9"/>
      <c r="DB380" s="9"/>
      <c r="DC380" s="9"/>
      <c r="DD380" s="9"/>
      <c r="DE380" s="9"/>
      <c r="DF380" s="9"/>
      <c r="DG380" s="9"/>
      <c r="DH380" s="9"/>
      <c r="DI380" s="9"/>
      <c r="DJ380" s="9"/>
      <c r="DK380" s="9"/>
      <c r="DL380" s="9"/>
      <c r="DM380" s="9"/>
      <c r="DN380" s="9"/>
      <c r="DO380" s="9"/>
      <c r="DP380" s="9"/>
      <c r="DQ380" s="9"/>
      <c r="DR380" s="9"/>
      <c r="DS380" s="9"/>
      <c r="DT380" s="9"/>
      <c r="DU380" s="9"/>
      <c r="DV380" s="9"/>
      <c r="DW380" s="9"/>
      <c r="DX380" s="9"/>
      <c r="DY380" s="9"/>
      <c r="DZ380" s="9"/>
      <c r="EA380" s="9"/>
      <c r="EB380" s="9"/>
      <c r="EC380" s="9"/>
      <c r="ED380" s="9"/>
      <c r="EE380" s="9"/>
      <c r="EF380" s="9"/>
      <c r="EG380" s="9"/>
      <c r="EH380" s="9"/>
      <c r="EI380" s="9"/>
      <c r="EJ380" s="9"/>
      <c r="EK380" s="9"/>
      <c r="EL380" s="9"/>
      <c r="EM380" s="9"/>
      <c r="EN380" s="9"/>
      <c r="EO380" s="9"/>
      <c r="EP380" s="9"/>
      <c r="EQ380" s="9"/>
      <c r="ER380" s="9"/>
      <c r="ES380" s="9"/>
      <c r="ET380" s="9"/>
      <c r="EU380" s="9"/>
      <c r="EV380" s="9"/>
      <c r="EW380" s="9"/>
      <c r="EX380" s="9"/>
      <c r="EY380" s="9"/>
      <c r="EZ380" s="9"/>
      <c r="FA380" s="9"/>
      <c r="FB380" s="9"/>
      <c r="FC380" s="9"/>
      <c r="FD380" s="9"/>
      <c r="FE380" s="9"/>
      <c r="FF380" s="9"/>
      <c r="FG380" s="9"/>
      <c r="FH380" s="9"/>
      <c r="FI380" s="9"/>
      <c r="FJ380" s="9"/>
      <c r="FK380" s="9"/>
      <c r="FL380" s="9"/>
      <c r="FM380" s="9"/>
      <c r="FN380" s="9"/>
      <c r="FO380" s="9"/>
      <c r="FP380" s="9"/>
      <c r="FQ380" s="9"/>
      <c r="FR380" s="9"/>
      <c r="FS380" s="9"/>
      <c r="FT380" s="9"/>
      <c r="FU380" s="9"/>
      <c r="FV380" s="9"/>
      <c r="FW380" s="9"/>
      <c r="FX380" s="9"/>
      <c r="FY380" s="9"/>
      <c r="FZ380" s="9"/>
      <c r="GA380" s="9"/>
      <c r="GB380" s="9"/>
      <c r="GC380" s="9"/>
      <c r="GD380" s="9"/>
      <c r="GE380" s="9"/>
    </row>
    <row r="381" spans="1:187" s="8" customFormat="1">
      <c r="A381" s="7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9"/>
      <c r="AF381" s="9"/>
      <c r="AG381" s="9"/>
      <c r="AH381" s="9"/>
      <c r="AI381" s="9"/>
      <c r="AJ381" s="9"/>
      <c r="AK381" s="9"/>
      <c r="AL381" s="9"/>
      <c r="AM381" s="9"/>
      <c r="AN381" s="9"/>
      <c r="AO381" s="9"/>
      <c r="AP381" s="9"/>
      <c r="AQ381" s="9"/>
      <c r="AR381" s="9"/>
      <c r="AS381" s="9"/>
      <c r="AT381" s="9"/>
      <c r="AU381" s="9"/>
      <c r="AV381" s="9"/>
      <c r="AW381" s="9"/>
      <c r="AX381" s="9"/>
      <c r="AY381" s="9"/>
      <c r="AZ381" s="9"/>
      <c r="BA381" s="9"/>
      <c r="BB381" s="9"/>
      <c r="BC381" s="9"/>
      <c r="BD381" s="9"/>
      <c r="BE381" s="9"/>
      <c r="BF381" s="9"/>
      <c r="BG381" s="9"/>
      <c r="BH381" s="9"/>
      <c r="BI381" s="9"/>
      <c r="BJ381" s="9"/>
      <c r="BK381" s="9"/>
      <c r="BL381" s="9"/>
      <c r="BM381" s="9"/>
      <c r="BN381" s="9"/>
      <c r="BO381" s="9"/>
      <c r="BP381" s="9"/>
      <c r="BQ381" s="9"/>
      <c r="BR381" s="9"/>
      <c r="BS381" s="9"/>
      <c r="BT381" s="9"/>
      <c r="BU381" s="9"/>
      <c r="BV381" s="9"/>
      <c r="BW381" s="9"/>
      <c r="BX381" s="9"/>
      <c r="BY381" s="9"/>
      <c r="BZ381" s="9"/>
      <c r="CA381" s="9"/>
      <c r="CB381" s="9"/>
      <c r="CC381" s="9"/>
      <c r="CD381" s="9"/>
      <c r="CE381" s="9"/>
      <c r="CF381" s="9"/>
      <c r="CG381" s="9"/>
      <c r="CH381" s="9"/>
      <c r="CI381" s="9"/>
      <c r="CJ381" s="9"/>
      <c r="CK381" s="9"/>
      <c r="CL381" s="9"/>
      <c r="CM381" s="9"/>
      <c r="CN381" s="9"/>
      <c r="CO381" s="9"/>
      <c r="CP381" s="9"/>
      <c r="CQ381" s="9"/>
      <c r="CR381" s="9"/>
      <c r="CS381" s="9"/>
      <c r="CT381" s="9"/>
      <c r="CU381" s="9"/>
      <c r="CV381" s="9"/>
      <c r="CW381" s="9"/>
      <c r="CX381" s="9"/>
      <c r="CY381" s="9"/>
      <c r="CZ381" s="9"/>
      <c r="DA381" s="9"/>
      <c r="DB381" s="9"/>
      <c r="DC381" s="9"/>
      <c r="DD381" s="9"/>
      <c r="DE381" s="9"/>
      <c r="DF381" s="9"/>
      <c r="DG381" s="9"/>
      <c r="DH381" s="9"/>
      <c r="DI381" s="9"/>
      <c r="DJ381" s="9"/>
      <c r="DK381" s="9"/>
      <c r="DL381" s="9"/>
      <c r="DM381" s="9"/>
      <c r="DN381" s="9"/>
      <c r="DO381" s="9"/>
      <c r="DP381" s="9"/>
      <c r="DQ381" s="9"/>
      <c r="DR381" s="9"/>
      <c r="DS381" s="9"/>
      <c r="DT381" s="9"/>
      <c r="DU381" s="9"/>
      <c r="DV381" s="9"/>
      <c r="DW381" s="9"/>
      <c r="DX381" s="9"/>
      <c r="DY381" s="9"/>
      <c r="DZ381" s="9"/>
      <c r="EA381" s="9"/>
      <c r="EB381" s="9"/>
      <c r="EC381" s="9"/>
      <c r="ED381" s="9"/>
      <c r="EE381" s="9"/>
      <c r="EF381" s="9"/>
      <c r="EG381" s="9"/>
      <c r="EH381" s="9"/>
      <c r="EI381" s="9"/>
      <c r="EJ381" s="9"/>
      <c r="EK381" s="9"/>
      <c r="EL381" s="9"/>
      <c r="EM381" s="9"/>
      <c r="EN381" s="9"/>
      <c r="EO381" s="9"/>
      <c r="EP381" s="9"/>
      <c r="EQ381" s="9"/>
      <c r="ER381" s="9"/>
      <c r="ES381" s="9"/>
      <c r="ET381" s="9"/>
      <c r="EU381" s="9"/>
      <c r="EV381" s="9"/>
      <c r="EW381" s="9"/>
      <c r="EX381" s="9"/>
      <c r="EY381" s="9"/>
      <c r="EZ381" s="9"/>
      <c r="FA381" s="9"/>
      <c r="FB381" s="9"/>
      <c r="FC381" s="9"/>
      <c r="FD381" s="9"/>
      <c r="FE381" s="9"/>
      <c r="FF381" s="9"/>
      <c r="FG381" s="9"/>
      <c r="FH381" s="9"/>
      <c r="FI381" s="9"/>
      <c r="FJ381" s="9"/>
      <c r="FK381" s="9"/>
      <c r="FL381" s="9"/>
      <c r="FM381" s="9"/>
      <c r="FN381" s="9"/>
      <c r="FO381" s="9"/>
      <c r="FP381" s="9"/>
      <c r="FQ381" s="9"/>
      <c r="FR381" s="9"/>
      <c r="FS381" s="9"/>
      <c r="FT381" s="9"/>
      <c r="FU381" s="9"/>
      <c r="FV381" s="9"/>
      <c r="FW381" s="9"/>
      <c r="FX381" s="9"/>
      <c r="FY381" s="9"/>
      <c r="FZ381" s="9"/>
      <c r="GA381" s="9"/>
      <c r="GB381" s="9"/>
      <c r="GC381" s="9"/>
      <c r="GD381" s="9"/>
      <c r="GE381" s="9"/>
    </row>
    <row r="382" spans="1:187" s="8" customFormat="1">
      <c r="A382" s="47" t="s">
        <v>4</v>
      </c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  <c r="AD382" s="9"/>
      <c r="AE382" s="9"/>
      <c r="AF382" s="9"/>
      <c r="AG382" s="9"/>
      <c r="AH382" s="9"/>
      <c r="AI382" s="9"/>
      <c r="AJ382" s="9"/>
      <c r="AK382" s="9"/>
      <c r="AL382" s="9"/>
      <c r="AM382" s="9"/>
      <c r="AN382" s="9"/>
      <c r="AO382" s="9"/>
      <c r="AP382" s="9"/>
      <c r="AQ382" s="9"/>
      <c r="AR382" s="9"/>
      <c r="AS382" s="9"/>
      <c r="AT382" s="9"/>
      <c r="AU382" s="9"/>
      <c r="AV382" s="9"/>
      <c r="AW382" s="9"/>
      <c r="AX382" s="9"/>
      <c r="AY382" s="9"/>
      <c r="AZ382" s="9"/>
      <c r="BA382" s="9"/>
      <c r="BB382" s="9"/>
      <c r="BC382" s="9"/>
      <c r="BD382" s="9"/>
      <c r="BE382" s="9"/>
      <c r="BF382" s="9"/>
      <c r="BG382" s="9"/>
      <c r="BH382" s="9"/>
      <c r="BI382" s="9"/>
      <c r="BJ382" s="9"/>
      <c r="BK382" s="9"/>
      <c r="BL382" s="9"/>
      <c r="BM382" s="9"/>
      <c r="BN382" s="9"/>
      <c r="BO382" s="9"/>
      <c r="BP382" s="9"/>
      <c r="BQ382" s="9"/>
      <c r="BR382" s="9"/>
      <c r="BS382" s="9"/>
      <c r="BT382" s="9"/>
      <c r="BU382" s="9"/>
      <c r="BV382" s="9"/>
      <c r="BW382" s="9"/>
      <c r="BX382" s="9"/>
      <c r="BY382" s="9"/>
      <c r="BZ382" s="9"/>
      <c r="CA382" s="9"/>
      <c r="CB382" s="9"/>
      <c r="CC382" s="9"/>
      <c r="CD382" s="9"/>
      <c r="CE382" s="9"/>
      <c r="CF382" s="9"/>
      <c r="CG382" s="9"/>
      <c r="CH382" s="9"/>
      <c r="CI382" s="9"/>
      <c r="CJ382" s="9"/>
      <c r="CK382" s="9"/>
      <c r="CL382" s="9"/>
      <c r="CM382" s="9"/>
      <c r="CN382" s="9"/>
      <c r="CO382" s="9"/>
      <c r="CP382" s="9"/>
      <c r="CQ382" s="9"/>
      <c r="CR382" s="9"/>
      <c r="CS382" s="9"/>
      <c r="CT382" s="9"/>
      <c r="CU382" s="9"/>
      <c r="CV382" s="9"/>
      <c r="CW382" s="9"/>
      <c r="CX382" s="9"/>
      <c r="CY382" s="9"/>
      <c r="CZ382" s="9"/>
      <c r="DA382" s="9"/>
      <c r="DB382" s="9"/>
      <c r="DC382" s="9"/>
      <c r="DD382" s="9"/>
      <c r="DE382" s="9"/>
      <c r="DF382" s="9"/>
      <c r="DG382" s="9"/>
      <c r="DH382" s="9"/>
      <c r="DI382" s="9"/>
      <c r="DJ382" s="9"/>
      <c r="DK382" s="9"/>
      <c r="DL382" s="9"/>
      <c r="DM382" s="9"/>
      <c r="DN382" s="9"/>
      <c r="DO382" s="9"/>
      <c r="DP382" s="9"/>
      <c r="DQ382" s="9"/>
      <c r="DR382" s="9"/>
      <c r="DS382" s="9"/>
      <c r="DT382" s="9"/>
      <c r="DU382" s="9"/>
      <c r="DV382" s="9"/>
      <c r="DW382" s="9"/>
      <c r="DX382" s="9"/>
      <c r="DY382" s="9"/>
      <c r="DZ382" s="9"/>
      <c r="EA382" s="9"/>
      <c r="EB382" s="9"/>
      <c r="EC382" s="9"/>
      <c r="ED382" s="9"/>
      <c r="EE382" s="9"/>
      <c r="EF382" s="9"/>
      <c r="EG382" s="9"/>
      <c r="EH382" s="9"/>
      <c r="EI382" s="9"/>
      <c r="EJ382" s="9"/>
      <c r="EK382" s="9"/>
      <c r="EL382" s="9"/>
      <c r="EM382" s="9"/>
      <c r="EN382" s="9"/>
      <c r="EO382" s="9"/>
      <c r="EP382" s="9"/>
      <c r="EQ382" s="9"/>
      <c r="ER382" s="9"/>
      <c r="ES382" s="9"/>
      <c r="ET382" s="9"/>
      <c r="EU382" s="9"/>
      <c r="EV382" s="9"/>
      <c r="EW382" s="9"/>
      <c r="EX382" s="9"/>
      <c r="EY382" s="9"/>
      <c r="EZ382" s="9"/>
      <c r="FA382" s="9"/>
      <c r="FB382" s="9"/>
      <c r="FC382" s="9"/>
      <c r="FD382" s="9"/>
      <c r="FE382" s="9"/>
      <c r="FF382" s="9"/>
      <c r="FG382" s="9"/>
      <c r="FH382" s="9"/>
      <c r="FI382" s="9"/>
      <c r="FJ382" s="9"/>
      <c r="FK382" s="9"/>
      <c r="FL382" s="9"/>
      <c r="FM382" s="9"/>
      <c r="FN382" s="9"/>
      <c r="FO382" s="9"/>
      <c r="FP382" s="9"/>
      <c r="FQ382" s="9"/>
      <c r="FR382" s="9"/>
      <c r="FS382" s="9"/>
      <c r="FT382" s="9"/>
      <c r="FU382" s="9"/>
      <c r="FV382" s="9"/>
      <c r="FW382" s="9"/>
      <c r="FX382" s="9"/>
      <c r="FY382" s="9"/>
      <c r="FZ382" s="9"/>
      <c r="GA382" s="9"/>
      <c r="GB382" s="9"/>
      <c r="GC382" s="9"/>
      <c r="GD382" s="9"/>
      <c r="GE382" s="9"/>
    </row>
    <row r="383" spans="1:187" s="8" customFormat="1">
      <c r="A383" s="47" t="s">
        <v>326</v>
      </c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D383" s="9"/>
      <c r="AE383" s="9"/>
      <c r="AF383" s="9"/>
      <c r="AG383" s="9"/>
      <c r="AH383" s="9"/>
      <c r="AI383" s="9"/>
      <c r="AJ383" s="9"/>
      <c r="AK383" s="9"/>
      <c r="AL383" s="9"/>
      <c r="AM383" s="9"/>
      <c r="AN383" s="9"/>
      <c r="AO383" s="9"/>
      <c r="AP383" s="9"/>
      <c r="AQ383" s="9"/>
      <c r="AR383" s="9"/>
      <c r="AS383" s="9"/>
      <c r="AT383" s="9"/>
      <c r="AU383" s="9"/>
      <c r="AV383" s="9"/>
      <c r="AW383" s="9"/>
      <c r="AX383" s="9"/>
      <c r="AY383" s="9"/>
      <c r="AZ383" s="9"/>
      <c r="BA383" s="9"/>
      <c r="BB383" s="9"/>
      <c r="BC383" s="9"/>
      <c r="BD383" s="9"/>
      <c r="BE383" s="9"/>
      <c r="BF383" s="9"/>
      <c r="BG383" s="9"/>
      <c r="BH383" s="9"/>
      <c r="BI383" s="9"/>
      <c r="BJ383" s="9"/>
      <c r="BK383" s="9"/>
      <c r="BL383" s="9"/>
      <c r="BM383" s="9"/>
      <c r="BN383" s="9"/>
      <c r="BO383" s="9"/>
      <c r="BP383" s="9"/>
      <c r="BQ383" s="9"/>
      <c r="BR383" s="9"/>
      <c r="BS383" s="9"/>
      <c r="BT383" s="9"/>
      <c r="BU383" s="9"/>
      <c r="BV383" s="9"/>
      <c r="BW383" s="9"/>
      <c r="BX383" s="9"/>
      <c r="BY383" s="9"/>
      <c r="BZ383" s="9"/>
      <c r="CA383" s="9"/>
      <c r="CB383" s="9"/>
      <c r="CC383" s="9"/>
      <c r="CD383" s="9"/>
      <c r="CE383" s="9"/>
      <c r="CF383" s="9"/>
      <c r="CG383" s="9"/>
      <c r="CH383" s="9"/>
      <c r="CI383" s="9"/>
      <c r="CJ383" s="9"/>
      <c r="CK383" s="9"/>
      <c r="CL383" s="9"/>
      <c r="CM383" s="9"/>
      <c r="CN383" s="9"/>
      <c r="CO383" s="9"/>
      <c r="CP383" s="9"/>
      <c r="CQ383" s="9"/>
      <c r="CR383" s="9"/>
      <c r="CS383" s="9"/>
      <c r="CT383" s="9"/>
      <c r="CU383" s="9"/>
      <c r="CV383" s="9"/>
      <c r="CW383" s="9"/>
      <c r="CX383" s="9"/>
      <c r="CY383" s="9"/>
      <c r="CZ383" s="9"/>
      <c r="DA383" s="9"/>
      <c r="DB383" s="9"/>
      <c r="DC383" s="9"/>
      <c r="DD383" s="9"/>
      <c r="DE383" s="9"/>
      <c r="DF383" s="9"/>
      <c r="DG383" s="9"/>
      <c r="DH383" s="9"/>
      <c r="DI383" s="9"/>
      <c r="DJ383" s="9"/>
      <c r="DK383" s="9"/>
      <c r="DL383" s="9"/>
      <c r="DM383" s="9"/>
      <c r="DN383" s="9"/>
      <c r="DO383" s="9"/>
      <c r="DP383" s="9"/>
      <c r="DQ383" s="9"/>
      <c r="DR383" s="9"/>
      <c r="DS383" s="9"/>
      <c r="DT383" s="9"/>
      <c r="DU383" s="9"/>
      <c r="DV383" s="9"/>
      <c r="DW383" s="9"/>
      <c r="DX383" s="9"/>
      <c r="DY383" s="9"/>
      <c r="DZ383" s="9"/>
      <c r="EA383" s="9"/>
      <c r="EB383" s="9"/>
      <c r="EC383" s="9"/>
      <c r="ED383" s="9"/>
      <c r="EE383" s="9"/>
      <c r="EF383" s="9"/>
      <c r="EG383" s="9"/>
      <c r="EH383" s="9"/>
      <c r="EI383" s="9"/>
      <c r="EJ383" s="9"/>
      <c r="EK383" s="9"/>
      <c r="EL383" s="9"/>
      <c r="EM383" s="9"/>
      <c r="EN383" s="9"/>
      <c r="EO383" s="9"/>
      <c r="EP383" s="9"/>
      <c r="EQ383" s="9"/>
      <c r="ER383" s="9"/>
      <c r="ES383" s="9"/>
      <c r="ET383" s="9"/>
      <c r="EU383" s="9"/>
      <c r="EV383" s="9"/>
      <c r="EW383" s="9"/>
      <c r="EX383" s="9"/>
      <c r="EY383" s="9"/>
      <c r="EZ383" s="9"/>
      <c r="FA383" s="9"/>
      <c r="FB383" s="9"/>
      <c r="FC383" s="9"/>
      <c r="FD383" s="9"/>
      <c r="FE383" s="9"/>
      <c r="FF383" s="9"/>
      <c r="FG383" s="9"/>
      <c r="FH383" s="9"/>
      <c r="FI383" s="9"/>
      <c r="FJ383" s="9"/>
      <c r="FK383" s="9"/>
      <c r="FL383" s="9"/>
      <c r="FM383" s="9"/>
      <c r="FN383" s="9"/>
      <c r="FO383" s="9"/>
      <c r="FP383" s="9"/>
      <c r="FQ383" s="9"/>
      <c r="FR383" s="9"/>
      <c r="FS383" s="9"/>
      <c r="FT383" s="9"/>
      <c r="FU383" s="9"/>
      <c r="FV383" s="9"/>
      <c r="FW383" s="9"/>
      <c r="FX383" s="9"/>
      <c r="FY383" s="9"/>
      <c r="FZ383" s="9"/>
      <c r="GA383" s="9"/>
      <c r="GB383" s="9"/>
      <c r="GC383" s="9"/>
      <c r="GD383" s="9"/>
      <c r="GE383" s="9"/>
    </row>
    <row r="384" spans="1:187" s="8" customFormat="1">
      <c r="A384" s="47" t="s">
        <v>327</v>
      </c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  <c r="AD384" s="9"/>
      <c r="AE384" s="9"/>
      <c r="AF384" s="9"/>
      <c r="AG384" s="9"/>
      <c r="AH384" s="9"/>
      <c r="AI384" s="9"/>
      <c r="AJ384" s="9"/>
      <c r="AK384" s="9"/>
      <c r="AL384" s="9"/>
      <c r="AM384" s="9"/>
      <c r="AN384" s="9"/>
      <c r="AO384" s="9"/>
      <c r="AP384" s="9"/>
      <c r="AQ384" s="9"/>
      <c r="AR384" s="9"/>
      <c r="AS384" s="9"/>
      <c r="AT384" s="9"/>
      <c r="AU384" s="9"/>
      <c r="AV384" s="9"/>
      <c r="AW384" s="9"/>
      <c r="AX384" s="9"/>
      <c r="AY384" s="9"/>
      <c r="AZ384" s="9"/>
      <c r="BA384" s="9"/>
      <c r="BB384" s="9"/>
      <c r="BC384" s="9"/>
      <c r="BD384" s="9"/>
      <c r="BE384" s="9"/>
      <c r="BF384" s="9"/>
      <c r="BG384" s="9"/>
      <c r="BH384" s="9"/>
      <c r="BI384" s="9"/>
      <c r="BJ384" s="9"/>
      <c r="BK384" s="9"/>
      <c r="BL384" s="9"/>
      <c r="BM384" s="9"/>
      <c r="BN384" s="9"/>
      <c r="BO384" s="9"/>
      <c r="BP384" s="9"/>
      <c r="BQ384" s="9"/>
      <c r="BR384" s="9"/>
      <c r="BS384" s="9"/>
      <c r="BT384" s="9"/>
      <c r="BU384" s="9"/>
      <c r="BV384" s="9"/>
      <c r="BW384" s="9"/>
      <c r="BX384" s="9"/>
      <c r="BY384" s="9"/>
      <c r="BZ384" s="9"/>
      <c r="CA384" s="9"/>
      <c r="CB384" s="9"/>
      <c r="CC384" s="9"/>
      <c r="CD384" s="9"/>
      <c r="CE384" s="9"/>
      <c r="CF384" s="9"/>
      <c r="CG384" s="9"/>
      <c r="CH384" s="9"/>
      <c r="CI384" s="9"/>
      <c r="CJ384" s="9"/>
      <c r="CK384" s="9"/>
      <c r="CL384" s="9"/>
      <c r="CM384" s="9"/>
      <c r="CN384" s="9"/>
      <c r="CO384" s="9"/>
      <c r="CP384" s="9"/>
      <c r="CQ384" s="9"/>
      <c r="CR384" s="9"/>
      <c r="CS384" s="9"/>
      <c r="CT384" s="9"/>
      <c r="CU384" s="9"/>
      <c r="CV384" s="9"/>
      <c r="CW384" s="9"/>
      <c r="CX384" s="9"/>
      <c r="CY384" s="9"/>
      <c r="CZ384" s="9"/>
      <c r="DA384" s="9"/>
      <c r="DB384" s="9"/>
      <c r="DC384" s="9"/>
      <c r="DD384" s="9"/>
      <c r="DE384" s="9"/>
      <c r="DF384" s="9"/>
      <c r="DG384" s="9"/>
      <c r="DH384" s="9"/>
      <c r="DI384" s="9"/>
      <c r="DJ384" s="9"/>
      <c r="DK384" s="9"/>
      <c r="DL384" s="9"/>
      <c r="DM384" s="9"/>
      <c r="DN384" s="9"/>
      <c r="DO384" s="9"/>
      <c r="DP384" s="9"/>
      <c r="DQ384" s="9"/>
      <c r="DR384" s="9"/>
      <c r="DS384" s="9"/>
      <c r="DT384" s="9"/>
      <c r="DU384" s="9"/>
      <c r="DV384" s="9"/>
      <c r="DW384" s="9"/>
      <c r="DX384" s="9"/>
      <c r="DY384" s="9"/>
      <c r="DZ384" s="9"/>
      <c r="EA384" s="9"/>
      <c r="EB384" s="9"/>
      <c r="EC384" s="9"/>
      <c r="ED384" s="9"/>
      <c r="EE384" s="9"/>
      <c r="EF384" s="9"/>
      <c r="EG384" s="9"/>
      <c r="EH384" s="9"/>
      <c r="EI384" s="9"/>
      <c r="EJ384" s="9"/>
      <c r="EK384" s="9"/>
      <c r="EL384" s="9"/>
      <c r="EM384" s="9"/>
      <c r="EN384" s="9"/>
      <c r="EO384" s="9"/>
      <c r="EP384" s="9"/>
      <c r="EQ384" s="9"/>
      <c r="ER384" s="9"/>
      <c r="ES384" s="9"/>
      <c r="ET384" s="9"/>
      <c r="EU384" s="9"/>
      <c r="EV384" s="9"/>
      <c r="EW384" s="9"/>
      <c r="EX384" s="9"/>
      <c r="EY384" s="9"/>
      <c r="EZ384" s="9"/>
      <c r="FA384" s="9"/>
      <c r="FB384" s="9"/>
      <c r="FC384" s="9"/>
      <c r="FD384" s="9"/>
      <c r="FE384" s="9"/>
      <c r="FF384" s="9"/>
      <c r="FG384" s="9"/>
      <c r="FH384" s="9"/>
      <c r="FI384" s="9"/>
      <c r="FJ384" s="9"/>
      <c r="FK384" s="9"/>
      <c r="FL384" s="9"/>
      <c r="FM384" s="9"/>
      <c r="FN384" s="9"/>
      <c r="FO384" s="9"/>
      <c r="FP384" s="9"/>
      <c r="FQ384" s="9"/>
      <c r="FR384" s="9"/>
      <c r="FS384" s="9"/>
      <c r="FT384" s="9"/>
      <c r="FU384" s="9"/>
      <c r="FV384" s="9"/>
      <c r="FW384" s="9"/>
      <c r="FX384" s="9"/>
      <c r="FY384" s="9"/>
      <c r="FZ384" s="9"/>
      <c r="GA384" s="9"/>
      <c r="GB384" s="9"/>
      <c r="GC384" s="9"/>
      <c r="GD384" s="9"/>
      <c r="GE384" s="9"/>
    </row>
  </sheetData>
  <autoFilter ref="A1:XBT384"/>
  <printOptions horizontalCentered="1"/>
  <pageMargins left="0" right="0" top="0.39370078740157483" bottom="0.39370078740157483" header="0" footer="0"/>
  <pageSetup paperSize="8" scale="47" fitToHeight="0" orientation="landscape" r:id="rId1"/>
  <headerFooter alignWithMargins="0">
    <oddFooter>Стр.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1</vt:i4>
      </vt:variant>
    </vt:vector>
  </HeadingPairs>
  <TitlesOfParts>
    <vt:vector size="2" baseType="lpstr">
      <vt:lpstr>ИП промяна декември 2022</vt:lpstr>
      <vt:lpstr>'ИП промяна декември 2022'!Печат_заглавия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Gavrailova</dc:creator>
  <cp:lastModifiedBy>Milena Filipova</cp:lastModifiedBy>
  <cp:lastPrinted>2023-02-10T07:31:55Z</cp:lastPrinted>
  <dcterms:created xsi:type="dcterms:W3CDTF">2023-02-08T13:40:57Z</dcterms:created>
  <dcterms:modified xsi:type="dcterms:W3CDTF">2023-02-10T13:45:32Z</dcterms:modified>
</cp:coreProperties>
</file>