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2\ZA VTOBS\30112022\"/>
    </mc:Choice>
  </mc:AlternateContent>
  <bookViews>
    <workbookView xWindow="0" yWindow="0" windowWidth="28800" windowHeight="11835"/>
  </bookViews>
  <sheets>
    <sheet name="ИП промяна ноември 202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xlfn_SUMIFS">NA()</definedName>
    <definedName name="__xlfn_SUMIFS">NA()</definedName>
    <definedName name="_xlnm._FilterDatabase" localSheetId="0" hidden="1">'ИП промяна ноември 2022'!$A$1:$XBT$360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0">'ИП промяна ноември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0" i="1" l="1"/>
  <c r="R180" i="1"/>
  <c r="AB344" i="1" l="1"/>
  <c r="Y344" i="1"/>
  <c r="V344" i="1"/>
  <c r="S344" i="1"/>
  <c r="P344" i="1"/>
  <c r="L344" i="1"/>
  <c r="K344" i="1"/>
  <c r="B344" i="1" s="1"/>
  <c r="J344" i="1"/>
  <c r="G344" i="1"/>
  <c r="C344" i="1"/>
  <c r="AB343" i="1"/>
  <c r="Y343" i="1"/>
  <c r="V343" i="1"/>
  <c r="S343" i="1"/>
  <c r="P343" i="1"/>
  <c r="M343" i="1"/>
  <c r="J343" i="1"/>
  <c r="G343" i="1"/>
  <c r="C343" i="1"/>
  <c r="B343" i="1"/>
  <c r="AA342" i="1"/>
  <c r="Z342" i="1"/>
  <c r="Z341" i="1" s="1"/>
  <c r="X342" i="1"/>
  <c r="X341" i="1" s="1"/>
  <c r="W342" i="1"/>
  <c r="U342" i="1"/>
  <c r="T342" i="1"/>
  <c r="T341" i="1" s="1"/>
  <c r="R342" i="1"/>
  <c r="Q342" i="1"/>
  <c r="O342" i="1"/>
  <c r="N342" i="1"/>
  <c r="N341" i="1" s="1"/>
  <c r="K342" i="1"/>
  <c r="K341" i="1" s="1"/>
  <c r="I342" i="1"/>
  <c r="J342" i="1" s="1"/>
  <c r="H342" i="1"/>
  <c r="F342" i="1"/>
  <c r="F341" i="1" s="1"/>
  <c r="E342" i="1"/>
  <c r="R341" i="1"/>
  <c r="H341" i="1"/>
  <c r="AB340" i="1"/>
  <c r="Y340" i="1"/>
  <c r="V340" i="1"/>
  <c r="S340" i="1"/>
  <c r="P340" i="1"/>
  <c r="M340" i="1"/>
  <c r="J340" i="1"/>
  <c r="G340" i="1"/>
  <c r="C340" i="1"/>
  <c r="B340" i="1"/>
  <c r="AB339" i="1"/>
  <c r="Y339" i="1"/>
  <c r="V339" i="1"/>
  <c r="S339" i="1"/>
  <c r="P339" i="1"/>
  <c r="M339" i="1"/>
  <c r="J339" i="1"/>
  <c r="G339" i="1"/>
  <c r="C339" i="1"/>
  <c r="B339" i="1"/>
  <c r="AA338" i="1"/>
  <c r="Z338" i="1"/>
  <c r="Z337" i="1" s="1"/>
  <c r="X338" i="1"/>
  <c r="X337" i="1" s="1"/>
  <c r="Y337" i="1" s="1"/>
  <c r="W338" i="1"/>
  <c r="W337" i="1" s="1"/>
  <c r="U338" i="1"/>
  <c r="T338" i="1"/>
  <c r="T337" i="1" s="1"/>
  <c r="R338" i="1"/>
  <c r="R337" i="1" s="1"/>
  <c r="Q338" i="1"/>
  <c r="O338" i="1"/>
  <c r="N338" i="1"/>
  <c r="N337" i="1" s="1"/>
  <c r="L338" i="1"/>
  <c r="L337" i="1" s="1"/>
  <c r="M337" i="1" s="1"/>
  <c r="K338" i="1"/>
  <c r="K337" i="1" s="1"/>
  <c r="I338" i="1"/>
  <c r="H338" i="1"/>
  <c r="H337" i="1" s="1"/>
  <c r="F338" i="1"/>
  <c r="F337" i="1" s="1"/>
  <c r="E338" i="1"/>
  <c r="AB336" i="1"/>
  <c r="Y336" i="1"/>
  <c r="V336" i="1"/>
  <c r="S336" i="1"/>
  <c r="P336" i="1"/>
  <c r="M336" i="1"/>
  <c r="J336" i="1"/>
  <c r="G336" i="1"/>
  <c r="C336" i="1"/>
  <c r="B336" i="1"/>
  <c r="AA335" i="1"/>
  <c r="Z335" i="1"/>
  <c r="Z334" i="1" s="1"/>
  <c r="X335" i="1"/>
  <c r="W335" i="1"/>
  <c r="W334" i="1" s="1"/>
  <c r="U335" i="1"/>
  <c r="U334" i="1" s="1"/>
  <c r="T335" i="1"/>
  <c r="T334" i="1" s="1"/>
  <c r="R335" i="1"/>
  <c r="Q335" i="1"/>
  <c r="Q334" i="1" s="1"/>
  <c r="O335" i="1"/>
  <c r="O334" i="1" s="1"/>
  <c r="N335" i="1"/>
  <c r="L335" i="1"/>
  <c r="K335" i="1"/>
  <c r="I335" i="1"/>
  <c r="I334" i="1" s="1"/>
  <c r="H335" i="1"/>
  <c r="H334" i="1" s="1"/>
  <c r="F335" i="1"/>
  <c r="E335" i="1"/>
  <c r="E334" i="1" s="1"/>
  <c r="M334" i="1"/>
  <c r="AB333" i="1"/>
  <c r="Y333" i="1"/>
  <c r="V333" i="1"/>
  <c r="S333" i="1"/>
  <c r="P333" i="1"/>
  <c r="M333" i="1"/>
  <c r="J333" i="1"/>
  <c r="G333" i="1"/>
  <c r="C333" i="1"/>
  <c r="B333" i="1"/>
  <c r="AB332" i="1"/>
  <c r="Y332" i="1"/>
  <c r="V332" i="1"/>
  <c r="S332" i="1"/>
  <c r="P332" i="1"/>
  <c r="M332" i="1"/>
  <c r="J332" i="1"/>
  <c r="G332" i="1"/>
  <c r="C332" i="1"/>
  <c r="B332" i="1"/>
  <c r="AB331" i="1"/>
  <c r="Y331" i="1"/>
  <c r="V331" i="1"/>
  <c r="S331" i="1"/>
  <c r="P331" i="1"/>
  <c r="M331" i="1"/>
  <c r="J331" i="1"/>
  <c r="G331" i="1"/>
  <c r="C331" i="1"/>
  <c r="B331" i="1"/>
  <c r="AA330" i="1"/>
  <c r="Z330" i="1"/>
  <c r="Z329" i="1" s="1"/>
  <c r="X330" i="1"/>
  <c r="W330" i="1"/>
  <c r="W329" i="1" s="1"/>
  <c r="U330" i="1"/>
  <c r="T330" i="1"/>
  <c r="T329" i="1" s="1"/>
  <c r="R330" i="1"/>
  <c r="R329" i="1" s="1"/>
  <c r="Q330" i="1"/>
  <c r="Q329" i="1" s="1"/>
  <c r="O330" i="1"/>
  <c r="N330" i="1"/>
  <c r="N329" i="1" s="1"/>
  <c r="L330" i="1"/>
  <c r="L329" i="1" s="1"/>
  <c r="K330" i="1"/>
  <c r="I330" i="1"/>
  <c r="H330" i="1"/>
  <c r="H329" i="1" s="1"/>
  <c r="F330" i="1"/>
  <c r="F329" i="1" s="1"/>
  <c r="E330" i="1"/>
  <c r="AB327" i="1"/>
  <c r="Y327" i="1"/>
  <c r="V327" i="1"/>
  <c r="S327" i="1"/>
  <c r="P327" i="1"/>
  <c r="M327" i="1"/>
  <c r="J327" i="1"/>
  <c r="G327" i="1"/>
  <c r="C327" i="1"/>
  <c r="B327" i="1"/>
  <c r="AB326" i="1"/>
  <c r="Y326" i="1"/>
  <c r="V326" i="1"/>
  <c r="S326" i="1"/>
  <c r="P326" i="1"/>
  <c r="M326" i="1"/>
  <c r="J326" i="1"/>
  <c r="G326" i="1"/>
  <c r="C326" i="1"/>
  <c r="B326" i="1"/>
  <c r="AA325" i="1"/>
  <c r="Z325" i="1"/>
  <c r="X325" i="1"/>
  <c r="W325" i="1"/>
  <c r="U325" i="1"/>
  <c r="T325" i="1"/>
  <c r="R325" i="1"/>
  <c r="Q325" i="1"/>
  <c r="O325" i="1"/>
  <c r="N325" i="1"/>
  <c r="L325" i="1"/>
  <c r="K325" i="1"/>
  <c r="I325" i="1"/>
  <c r="H325" i="1"/>
  <c r="F325" i="1"/>
  <c r="E325" i="1"/>
  <c r="AB324" i="1"/>
  <c r="Y324" i="1"/>
  <c r="V324" i="1"/>
  <c r="S324" i="1"/>
  <c r="P324" i="1"/>
  <c r="M324" i="1"/>
  <c r="J324" i="1"/>
  <c r="G324" i="1"/>
  <c r="C324" i="1"/>
  <c r="B324" i="1"/>
  <c r="AB323" i="1"/>
  <c r="Y323" i="1"/>
  <c r="V323" i="1"/>
  <c r="S323" i="1"/>
  <c r="O323" i="1"/>
  <c r="N323" i="1"/>
  <c r="M323" i="1"/>
  <c r="J323" i="1"/>
  <c r="G323" i="1"/>
  <c r="B323" i="1"/>
  <c r="AA322" i="1"/>
  <c r="Z322" i="1"/>
  <c r="X322" i="1"/>
  <c r="W322" i="1"/>
  <c r="U322" i="1"/>
  <c r="T322" i="1"/>
  <c r="R322" i="1"/>
  <c r="Q322" i="1"/>
  <c r="N322" i="1"/>
  <c r="L322" i="1"/>
  <c r="K322" i="1"/>
  <c r="I322" i="1"/>
  <c r="H322" i="1"/>
  <c r="F322" i="1"/>
  <c r="E322" i="1"/>
  <c r="AB321" i="1"/>
  <c r="Y321" i="1"/>
  <c r="V321" i="1"/>
  <c r="S321" i="1"/>
  <c r="O321" i="1"/>
  <c r="N321" i="1"/>
  <c r="N320" i="1" s="1"/>
  <c r="M321" i="1"/>
  <c r="J321" i="1"/>
  <c r="G321" i="1"/>
  <c r="B321" i="1"/>
  <c r="AA320" i="1"/>
  <c r="Z320" i="1"/>
  <c r="X320" i="1"/>
  <c r="W320" i="1"/>
  <c r="U320" i="1"/>
  <c r="T320" i="1"/>
  <c r="R320" i="1"/>
  <c r="Q320" i="1"/>
  <c r="L320" i="1"/>
  <c r="K320" i="1"/>
  <c r="I320" i="1"/>
  <c r="H320" i="1"/>
  <c r="F320" i="1"/>
  <c r="E320" i="1"/>
  <c r="AB319" i="1"/>
  <c r="Y319" i="1"/>
  <c r="V319" i="1"/>
  <c r="S319" i="1"/>
  <c r="P319" i="1"/>
  <c r="M319" i="1"/>
  <c r="J319" i="1"/>
  <c r="G319" i="1"/>
  <c r="C319" i="1"/>
  <c r="B319" i="1"/>
  <c r="AA318" i="1"/>
  <c r="Z318" i="1"/>
  <c r="X318" i="1"/>
  <c r="W318" i="1"/>
  <c r="U318" i="1"/>
  <c r="T318" i="1"/>
  <c r="R318" i="1"/>
  <c r="Q318" i="1"/>
  <c r="O318" i="1"/>
  <c r="N318" i="1"/>
  <c r="L318" i="1"/>
  <c r="K318" i="1"/>
  <c r="I318" i="1"/>
  <c r="H318" i="1"/>
  <c r="F318" i="1"/>
  <c r="E318" i="1"/>
  <c r="AB316" i="1"/>
  <c r="Y316" i="1"/>
  <c r="V316" i="1"/>
  <c r="S316" i="1"/>
  <c r="P316" i="1"/>
  <c r="L316" i="1"/>
  <c r="C316" i="1" s="1"/>
  <c r="J316" i="1"/>
  <c r="G316" i="1"/>
  <c r="B316" i="1"/>
  <c r="AB315" i="1"/>
  <c r="Y315" i="1"/>
  <c r="V315" i="1"/>
  <c r="S315" i="1"/>
  <c r="P315" i="1"/>
  <c r="M315" i="1"/>
  <c r="J315" i="1"/>
  <c r="G315" i="1"/>
  <c r="C315" i="1"/>
  <c r="B315" i="1"/>
  <c r="AA314" i="1"/>
  <c r="Z314" i="1"/>
  <c r="X314" i="1"/>
  <c r="W314" i="1"/>
  <c r="U314" i="1"/>
  <c r="T314" i="1"/>
  <c r="R314" i="1"/>
  <c r="Q314" i="1"/>
  <c r="O314" i="1"/>
  <c r="N314" i="1"/>
  <c r="K314" i="1"/>
  <c r="I314" i="1"/>
  <c r="H314" i="1"/>
  <c r="F314" i="1"/>
  <c r="E314" i="1"/>
  <c r="AB313" i="1"/>
  <c r="Y313" i="1"/>
  <c r="U313" i="1"/>
  <c r="T313" i="1"/>
  <c r="S313" i="1"/>
  <c r="P313" i="1"/>
  <c r="M313" i="1"/>
  <c r="J313" i="1"/>
  <c r="F313" i="1"/>
  <c r="E313" i="1"/>
  <c r="AB312" i="1"/>
  <c r="Y312" i="1"/>
  <c r="V312" i="1"/>
  <c r="S312" i="1"/>
  <c r="P312" i="1"/>
  <c r="M312" i="1"/>
  <c r="J312" i="1"/>
  <c r="G312" i="1"/>
  <c r="C312" i="1"/>
  <c r="B312" i="1"/>
  <c r="AB311" i="1"/>
  <c r="Y311" i="1"/>
  <c r="V311" i="1"/>
  <c r="S311" i="1"/>
  <c r="P311" i="1"/>
  <c r="L311" i="1"/>
  <c r="K311" i="1"/>
  <c r="K310" i="1" s="1"/>
  <c r="J311" i="1"/>
  <c r="G311" i="1"/>
  <c r="AA310" i="1"/>
  <c r="Z310" i="1"/>
  <c r="X310" i="1"/>
  <c r="W310" i="1"/>
  <c r="U310" i="1"/>
  <c r="R310" i="1"/>
  <c r="Q310" i="1"/>
  <c r="O310" i="1"/>
  <c r="N310" i="1"/>
  <c r="I310" i="1"/>
  <c r="H310" i="1"/>
  <c r="E310" i="1"/>
  <c r="AB309" i="1"/>
  <c r="Y309" i="1"/>
  <c r="V309" i="1"/>
  <c r="S309" i="1"/>
  <c r="P309" i="1"/>
  <c r="M309" i="1"/>
  <c r="J309" i="1"/>
  <c r="G309" i="1"/>
  <c r="C309" i="1"/>
  <c r="B309" i="1"/>
  <c r="AB308" i="1"/>
  <c r="Y308" i="1"/>
  <c r="V308" i="1"/>
  <c r="S308" i="1"/>
  <c r="P308" i="1"/>
  <c r="M308" i="1"/>
  <c r="J308" i="1"/>
  <c r="G308" i="1"/>
  <c r="C308" i="1"/>
  <c r="B308" i="1"/>
  <c r="AB307" i="1"/>
  <c r="Y307" i="1"/>
  <c r="V307" i="1"/>
  <c r="S307" i="1"/>
  <c r="O307" i="1"/>
  <c r="P307" i="1" s="1"/>
  <c r="M307" i="1"/>
  <c r="J307" i="1"/>
  <c r="G307" i="1"/>
  <c r="C307" i="1"/>
  <c r="B307" i="1"/>
  <c r="AA306" i="1"/>
  <c r="Z306" i="1"/>
  <c r="X306" i="1"/>
  <c r="W306" i="1"/>
  <c r="U306" i="1"/>
  <c r="T306" i="1"/>
  <c r="R306" i="1"/>
  <c r="Q306" i="1"/>
  <c r="O306" i="1"/>
  <c r="N306" i="1"/>
  <c r="L306" i="1"/>
  <c r="K306" i="1"/>
  <c r="I306" i="1"/>
  <c r="H306" i="1"/>
  <c r="F306" i="1"/>
  <c r="E306" i="1"/>
  <c r="AB305" i="1"/>
  <c r="Y305" i="1"/>
  <c r="V305" i="1"/>
  <c r="S305" i="1"/>
  <c r="P305" i="1"/>
  <c r="L305" i="1"/>
  <c r="K305" i="1"/>
  <c r="B305" i="1" s="1"/>
  <c r="J305" i="1"/>
  <c r="G305" i="1"/>
  <c r="C305" i="1"/>
  <c r="AB304" i="1"/>
  <c r="Y304" i="1"/>
  <c r="V304" i="1"/>
  <c r="S304" i="1"/>
  <c r="P304" i="1"/>
  <c r="M304" i="1"/>
  <c r="J304" i="1"/>
  <c r="G304" i="1"/>
  <c r="C304" i="1"/>
  <c r="B304" i="1"/>
  <c r="AB303" i="1"/>
  <c r="Y303" i="1"/>
  <c r="V303" i="1"/>
  <c r="S303" i="1"/>
  <c r="P303" i="1"/>
  <c r="M303" i="1"/>
  <c r="J303" i="1"/>
  <c r="G303" i="1"/>
  <c r="C303" i="1"/>
  <c r="B303" i="1"/>
  <c r="AB302" i="1"/>
  <c r="Y302" i="1"/>
  <c r="V302" i="1"/>
  <c r="S302" i="1"/>
  <c r="P302" i="1"/>
  <c r="M302" i="1"/>
  <c r="J302" i="1"/>
  <c r="G302" i="1"/>
  <c r="C302" i="1"/>
  <c r="B302" i="1"/>
  <c r="AB301" i="1"/>
  <c r="Y301" i="1"/>
  <c r="V301" i="1"/>
  <c r="S301" i="1"/>
  <c r="P301" i="1"/>
  <c r="M301" i="1"/>
  <c r="J301" i="1"/>
  <c r="G301" i="1"/>
  <c r="C301" i="1"/>
  <c r="B301" i="1"/>
  <c r="AB300" i="1"/>
  <c r="Y300" i="1"/>
  <c r="V300" i="1"/>
  <c r="S300" i="1"/>
  <c r="P300" i="1"/>
  <c r="L300" i="1"/>
  <c r="K300" i="1"/>
  <c r="J300" i="1"/>
  <c r="G300" i="1"/>
  <c r="AB299" i="1"/>
  <c r="Y299" i="1"/>
  <c r="V299" i="1"/>
  <c r="S299" i="1"/>
  <c r="P299" i="1"/>
  <c r="L299" i="1"/>
  <c r="K299" i="1"/>
  <c r="J299" i="1"/>
  <c r="F299" i="1"/>
  <c r="C299" i="1" s="1"/>
  <c r="AB298" i="1"/>
  <c r="Y298" i="1"/>
  <c r="V298" i="1"/>
  <c r="S298" i="1"/>
  <c r="P298" i="1"/>
  <c r="M298" i="1"/>
  <c r="J298" i="1"/>
  <c r="G298" i="1"/>
  <c r="C298" i="1"/>
  <c r="B298" i="1"/>
  <c r="AB297" i="1"/>
  <c r="Y297" i="1"/>
  <c r="V297" i="1"/>
  <c r="S297" i="1"/>
  <c r="P297" i="1"/>
  <c r="M297" i="1"/>
  <c r="J297" i="1"/>
  <c r="G297" i="1"/>
  <c r="C297" i="1"/>
  <c r="B297" i="1"/>
  <c r="AB296" i="1"/>
  <c r="Y296" i="1"/>
  <c r="V296" i="1"/>
  <c r="S296" i="1"/>
  <c r="P296" i="1"/>
  <c r="M296" i="1"/>
  <c r="J296" i="1"/>
  <c r="G296" i="1"/>
  <c r="C296" i="1"/>
  <c r="B296" i="1"/>
  <c r="AB295" i="1"/>
  <c r="Y295" i="1"/>
  <c r="V295" i="1"/>
  <c r="S295" i="1"/>
  <c r="P295" i="1"/>
  <c r="M295" i="1"/>
  <c r="J295" i="1"/>
  <c r="G295" i="1"/>
  <c r="C295" i="1"/>
  <c r="B295" i="1"/>
  <c r="AA294" i="1"/>
  <c r="Z294" i="1"/>
  <c r="X294" i="1"/>
  <c r="W294" i="1"/>
  <c r="U294" i="1"/>
  <c r="T294" i="1"/>
  <c r="R294" i="1"/>
  <c r="Q294" i="1"/>
  <c r="O294" i="1"/>
  <c r="N294" i="1"/>
  <c r="I294" i="1"/>
  <c r="H294" i="1"/>
  <c r="F294" i="1"/>
  <c r="E294" i="1"/>
  <c r="AB293" i="1"/>
  <c r="Y293" i="1"/>
  <c r="V293" i="1"/>
  <c r="S293" i="1"/>
  <c r="P293" i="1"/>
  <c r="M293" i="1"/>
  <c r="J293" i="1"/>
  <c r="G293" i="1"/>
  <c r="C293" i="1"/>
  <c r="B293" i="1"/>
  <c r="AB292" i="1"/>
  <c r="Y292" i="1"/>
  <c r="V292" i="1"/>
  <c r="S292" i="1"/>
  <c r="P292" i="1"/>
  <c r="L292" i="1"/>
  <c r="K292" i="1"/>
  <c r="J292" i="1"/>
  <c r="G292" i="1"/>
  <c r="AB291" i="1"/>
  <c r="Y291" i="1"/>
  <c r="V291" i="1"/>
  <c r="S291" i="1"/>
  <c r="P291" i="1"/>
  <c r="M291" i="1"/>
  <c r="J291" i="1"/>
  <c r="G291" i="1"/>
  <c r="C291" i="1"/>
  <c r="B291" i="1"/>
  <c r="AB290" i="1"/>
  <c r="Y290" i="1"/>
  <c r="V290" i="1"/>
  <c r="S290" i="1"/>
  <c r="O290" i="1"/>
  <c r="M290" i="1"/>
  <c r="J290" i="1"/>
  <c r="F290" i="1"/>
  <c r="B290" i="1"/>
  <c r="AA289" i="1"/>
  <c r="Z289" i="1"/>
  <c r="X289" i="1"/>
  <c r="W289" i="1"/>
  <c r="U289" i="1"/>
  <c r="T289" i="1"/>
  <c r="R289" i="1"/>
  <c r="Q289" i="1"/>
  <c r="N289" i="1"/>
  <c r="I289" i="1"/>
  <c r="H289" i="1"/>
  <c r="E289" i="1"/>
  <c r="AB287" i="1"/>
  <c r="Y287" i="1"/>
  <c r="V287" i="1"/>
  <c r="S287" i="1"/>
  <c r="P287" i="1"/>
  <c r="M287" i="1"/>
  <c r="J287" i="1"/>
  <c r="G287" i="1"/>
  <c r="C287" i="1"/>
  <c r="B287" i="1"/>
  <c r="AB286" i="1"/>
  <c r="Y286" i="1"/>
  <c r="V286" i="1"/>
  <c r="S286" i="1"/>
  <c r="P286" i="1"/>
  <c r="M286" i="1"/>
  <c r="J286" i="1"/>
  <c r="G286" i="1"/>
  <c r="C286" i="1"/>
  <c r="B286" i="1"/>
  <c r="AA285" i="1"/>
  <c r="Z285" i="1"/>
  <c r="X285" i="1"/>
  <c r="W285" i="1"/>
  <c r="U285" i="1"/>
  <c r="T285" i="1"/>
  <c r="R285" i="1"/>
  <c r="Q285" i="1"/>
  <c r="O285" i="1"/>
  <c r="N285" i="1"/>
  <c r="L285" i="1"/>
  <c r="K285" i="1"/>
  <c r="I285" i="1"/>
  <c r="H285" i="1"/>
  <c r="F285" i="1"/>
  <c r="E285" i="1"/>
  <c r="AB284" i="1"/>
  <c r="Y284" i="1"/>
  <c r="V284" i="1"/>
  <c r="S284" i="1"/>
  <c r="P284" i="1"/>
  <c r="M284" i="1"/>
  <c r="J284" i="1"/>
  <c r="G284" i="1"/>
  <c r="C284" i="1"/>
  <c r="B284" i="1"/>
  <c r="AB283" i="1"/>
  <c r="Y283" i="1"/>
  <c r="V283" i="1"/>
  <c r="S283" i="1"/>
  <c r="P283" i="1"/>
  <c r="M283" i="1"/>
  <c r="J283" i="1"/>
  <c r="G283" i="1"/>
  <c r="C283" i="1"/>
  <c r="B283" i="1"/>
  <c r="AB282" i="1"/>
  <c r="Y282" i="1"/>
  <c r="V282" i="1"/>
  <c r="S282" i="1"/>
  <c r="P282" i="1"/>
  <c r="M282" i="1"/>
  <c r="J282" i="1"/>
  <c r="F282" i="1"/>
  <c r="C282" i="1" s="1"/>
  <c r="E282" i="1"/>
  <c r="B282" i="1" s="1"/>
  <c r="AA281" i="1"/>
  <c r="Z281" i="1"/>
  <c r="B281" i="1" s="1"/>
  <c r="Y281" i="1"/>
  <c r="V281" i="1"/>
  <c r="S281" i="1"/>
  <c r="P281" i="1"/>
  <c r="M281" i="1"/>
  <c r="J281" i="1"/>
  <c r="F281" i="1"/>
  <c r="AB280" i="1"/>
  <c r="Y280" i="1"/>
  <c r="V280" i="1"/>
  <c r="S280" i="1"/>
  <c r="P280" i="1"/>
  <c r="M280" i="1"/>
  <c r="J280" i="1"/>
  <c r="G280" i="1"/>
  <c r="C280" i="1"/>
  <c r="B280" i="1"/>
  <c r="AB279" i="1"/>
  <c r="Y279" i="1"/>
  <c r="U279" i="1"/>
  <c r="T279" i="1"/>
  <c r="B279" i="1" s="1"/>
  <c r="S279" i="1"/>
  <c r="P279" i="1"/>
  <c r="M279" i="1"/>
  <c r="J279" i="1"/>
  <c r="G279" i="1"/>
  <c r="AB278" i="1"/>
  <c r="Y278" i="1"/>
  <c r="V278" i="1"/>
  <c r="S278" i="1"/>
  <c r="P278" i="1"/>
  <c r="M278" i="1"/>
  <c r="J278" i="1"/>
  <c r="G278" i="1"/>
  <c r="C278" i="1"/>
  <c r="B278" i="1"/>
  <c r="AB277" i="1"/>
  <c r="Y277" i="1"/>
  <c r="V277" i="1"/>
  <c r="S277" i="1"/>
  <c r="P277" i="1"/>
  <c r="L277" i="1"/>
  <c r="K277" i="1"/>
  <c r="K265" i="1" s="1"/>
  <c r="I277" i="1"/>
  <c r="H277" i="1"/>
  <c r="H265" i="1" s="1"/>
  <c r="G277" i="1"/>
  <c r="AB276" i="1"/>
  <c r="Y276" i="1"/>
  <c r="V276" i="1"/>
  <c r="S276" i="1"/>
  <c r="P276" i="1"/>
  <c r="M276" i="1"/>
  <c r="J276" i="1"/>
  <c r="G276" i="1"/>
  <c r="C276" i="1"/>
  <c r="B276" i="1"/>
  <c r="AB275" i="1"/>
  <c r="Y275" i="1"/>
  <c r="U275" i="1"/>
  <c r="T275" i="1"/>
  <c r="S275" i="1"/>
  <c r="P275" i="1"/>
  <c r="M275" i="1"/>
  <c r="J275" i="1"/>
  <c r="F275" i="1"/>
  <c r="E275" i="1"/>
  <c r="AB274" i="1"/>
  <c r="Y274" i="1"/>
  <c r="V274" i="1"/>
  <c r="S274" i="1"/>
  <c r="P274" i="1"/>
  <c r="M274" i="1"/>
  <c r="J274" i="1"/>
  <c r="G274" i="1"/>
  <c r="C274" i="1"/>
  <c r="B274" i="1"/>
  <c r="AB273" i="1"/>
  <c r="X273" i="1"/>
  <c r="W273" i="1"/>
  <c r="U273" i="1"/>
  <c r="T273" i="1"/>
  <c r="S273" i="1"/>
  <c r="P273" i="1"/>
  <c r="M273" i="1"/>
  <c r="J273" i="1"/>
  <c r="G273" i="1"/>
  <c r="AB272" i="1"/>
  <c r="Y272" i="1"/>
  <c r="U272" i="1"/>
  <c r="C272" i="1" s="1"/>
  <c r="T272" i="1"/>
  <c r="B272" i="1" s="1"/>
  <c r="S272" i="1"/>
  <c r="P272" i="1"/>
  <c r="M272" i="1"/>
  <c r="J272" i="1"/>
  <c r="G272" i="1"/>
  <c r="AB271" i="1"/>
  <c r="Y271" i="1"/>
  <c r="U271" i="1"/>
  <c r="T271" i="1"/>
  <c r="S271" i="1"/>
  <c r="P271" i="1"/>
  <c r="M271" i="1"/>
  <c r="J271" i="1"/>
  <c r="F271" i="1"/>
  <c r="E271" i="1"/>
  <c r="AB270" i="1"/>
  <c r="Y270" i="1"/>
  <c r="V270" i="1"/>
  <c r="S270" i="1"/>
  <c r="P270" i="1"/>
  <c r="M270" i="1"/>
  <c r="J270" i="1"/>
  <c r="G270" i="1"/>
  <c r="C270" i="1"/>
  <c r="B270" i="1"/>
  <c r="AB269" i="1"/>
  <c r="Y269" i="1"/>
  <c r="V269" i="1"/>
  <c r="S269" i="1"/>
  <c r="P269" i="1"/>
  <c r="M269" i="1"/>
  <c r="J269" i="1"/>
  <c r="G269" i="1"/>
  <c r="C269" i="1"/>
  <c r="B269" i="1"/>
  <c r="AB268" i="1"/>
  <c r="Y268" i="1"/>
  <c r="V268" i="1"/>
  <c r="S268" i="1"/>
  <c r="P268" i="1"/>
  <c r="M268" i="1"/>
  <c r="J268" i="1"/>
  <c r="G268" i="1"/>
  <c r="C268" i="1"/>
  <c r="B268" i="1"/>
  <c r="AB267" i="1"/>
  <c r="Y267" i="1"/>
  <c r="V267" i="1"/>
  <c r="S267" i="1"/>
  <c r="P267" i="1"/>
  <c r="M267" i="1"/>
  <c r="J267" i="1"/>
  <c r="G267" i="1"/>
  <c r="C267" i="1"/>
  <c r="B267" i="1"/>
  <c r="AB266" i="1"/>
  <c r="Y266" i="1"/>
  <c r="V266" i="1"/>
  <c r="S266" i="1"/>
  <c r="P266" i="1"/>
  <c r="M266" i="1"/>
  <c r="J266" i="1"/>
  <c r="G266" i="1"/>
  <c r="C266" i="1"/>
  <c r="B266" i="1"/>
  <c r="AA265" i="1"/>
  <c r="X265" i="1"/>
  <c r="R265" i="1"/>
  <c r="Q265" i="1"/>
  <c r="O265" i="1"/>
  <c r="N265" i="1"/>
  <c r="I265" i="1"/>
  <c r="AB264" i="1"/>
  <c r="Y264" i="1"/>
  <c r="V264" i="1"/>
  <c r="S264" i="1"/>
  <c r="P264" i="1"/>
  <c r="M264" i="1"/>
  <c r="J264" i="1"/>
  <c r="G264" i="1"/>
  <c r="C264" i="1"/>
  <c r="B264" i="1"/>
  <c r="AB263" i="1"/>
  <c r="Y263" i="1"/>
  <c r="V263" i="1"/>
  <c r="S263" i="1"/>
  <c r="P263" i="1"/>
  <c r="M263" i="1"/>
  <c r="J263" i="1"/>
  <c r="G263" i="1"/>
  <c r="C263" i="1"/>
  <c r="B263" i="1"/>
  <c r="AB262" i="1"/>
  <c r="Y262" i="1"/>
  <c r="V262" i="1"/>
  <c r="S262" i="1"/>
  <c r="P262" i="1"/>
  <c r="M262" i="1"/>
  <c r="J262" i="1"/>
  <c r="G262" i="1"/>
  <c r="C262" i="1"/>
  <c r="B262" i="1"/>
  <c r="AB261" i="1"/>
  <c r="Y261" i="1"/>
  <c r="V261" i="1"/>
  <c r="S261" i="1"/>
  <c r="P261" i="1"/>
  <c r="M261" i="1"/>
  <c r="J261" i="1"/>
  <c r="G261" i="1"/>
  <c r="C261" i="1"/>
  <c r="B261" i="1"/>
  <c r="AB260" i="1"/>
  <c r="Y260" i="1"/>
  <c r="V260" i="1"/>
  <c r="S260" i="1"/>
  <c r="P260" i="1"/>
  <c r="M260" i="1"/>
  <c r="J260" i="1"/>
  <c r="G260" i="1"/>
  <c r="C260" i="1"/>
  <c r="B260" i="1"/>
  <c r="AB259" i="1"/>
  <c r="Y259" i="1"/>
  <c r="V259" i="1"/>
  <c r="S259" i="1"/>
  <c r="P259" i="1"/>
  <c r="L259" i="1"/>
  <c r="M259" i="1" s="1"/>
  <c r="J259" i="1"/>
  <c r="G259" i="1"/>
  <c r="C259" i="1"/>
  <c r="B259" i="1"/>
  <c r="AB258" i="1"/>
  <c r="Y258" i="1"/>
  <c r="V258" i="1"/>
  <c r="S258" i="1"/>
  <c r="P258" i="1"/>
  <c r="L258" i="1"/>
  <c r="M258" i="1" s="1"/>
  <c r="J258" i="1"/>
  <c r="G258" i="1"/>
  <c r="B258" i="1"/>
  <c r="AA257" i="1"/>
  <c r="Z257" i="1"/>
  <c r="X257" i="1"/>
  <c r="W257" i="1"/>
  <c r="U257" i="1"/>
  <c r="T257" i="1"/>
  <c r="R257" i="1"/>
  <c r="Q257" i="1"/>
  <c r="O257" i="1"/>
  <c r="N257" i="1"/>
  <c r="K257" i="1"/>
  <c r="I257" i="1"/>
  <c r="H257" i="1"/>
  <c r="F257" i="1"/>
  <c r="E257" i="1"/>
  <c r="AB256" i="1"/>
  <c r="Y256" i="1"/>
  <c r="V256" i="1"/>
  <c r="S256" i="1"/>
  <c r="P256" i="1"/>
  <c r="M256" i="1"/>
  <c r="J256" i="1"/>
  <c r="G256" i="1"/>
  <c r="C256" i="1"/>
  <c r="B256" i="1"/>
  <c r="AB255" i="1"/>
  <c r="Y255" i="1"/>
  <c r="V255" i="1"/>
  <c r="S255" i="1"/>
  <c r="P255" i="1"/>
  <c r="M255" i="1"/>
  <c r="J255" i="1"/>
  <c r="G255" i="1"/>
  <c r="C255" i="1"/>
  <c r="B255" i="1"/>
  <c r="AB254" i="1"/>
  <c r="Y254" i="1"/>
  <c r="V254" i="1"/>
  <c r="S254" i="1"/>
  <c r="P254" i="1"/>
  <c r="M254" i="1"/>
  <c r="J254" i="1"/>
  <c r="G254" i="1"/>
  <c r="C254" i="1"/>
  <c r="B254" i="1"/>
  <c r="AA253" i="1"/>
  <c r="Z253" i="1"/>
  <c r="X253" i="1"/>
  <c r="W253" i="1"/>
  <c r="U253" i="1"/>
  <c r="T253" i="1"/>
  <c r="R253" i="1"/>
  <c r="Q253" i="1"/>
  <c r="O253" i="1"/>
  <c r="N253" i="1"/>
  <c r="L253" i="1"/>
  <c r="K253" i="1"/>
  <c r="I253" i="1"/>
  <c r="H253" i="1"/>
  <c r="F253" i="1"/>
  <c r="E253" i="1"/>
  <c r="AB252" i="1"/>
  <c r="Y252" i="1"/>
  <c r="V252" i="1"/>
  <c r="S252" i="1"/>
  <c r="P252" i="1"/>
  <c r="M252" i="1"/>
  <c r="J252" i="1"/>
  <c r="G252" i="1"/>
  <c r="C252" i="1"/>
  <c r="B252" i="1"/>
  <c r="AB251" i="1"/>
  <c r="Y251" i="1"/>
  <c r="V251" i="1"/>
  <c r="S251" i="1"/>
  <c r="P251" i="1"/>
  <c r="M251" i="1"/>
  <c r="J251" i="1"/>
  <c r="G251" i="1"/>
  <c r="C251" i="1"/>
  <c r="B251" i="1"/>
  <c r="AB250" i="1"/>
  <c r="Y250" i="1"/>
  <c r="V250" i="1"/>
  <c r="S250" i="1"/>
  <c r="P250" i="1"/>
  <c r="M250" i="1"/>
  <c r="J250" i="1"/>
  <c r="G250" i="1"/>
  <c r="C250" i="1"/>
  <c r="B250" i="1"/>
  <c r="AB249" i="1"/>
  <c r="Y249" i="1"/>
  <c r="V249" i="1"/>
  <c r="S249" i="1"/>
  <c r="P249" i="1"/>
  <c r="M249" i="1"/>
  <c r="J249" i="1"/>
  <c r="G249" i="1"/>
  <c r="C249" i="1"/>
  <c r="B249" i="1"/>
  <c r="AA248" i="1"/>
  <c r="Z248" i="1"/>
  <c r="X248" i="1"/>
  <c r="W248" i="1"/>
  <c r="U248" i="1"/>
  <c r="T248" i="1"/>
  <c r="R248" i="1"/>
  <c r="Q248" i="1"/>
  <c r="O248" i="1"/>
  <c r="N248" i="1"/>
  <c r="L248" i="1"/>
  <c r="K248" i="1"/>
  <c r="I248" i="1"/>
  <c r="H248" i="1"/>
  <c r="F248" i="1"/>
  <c r="E248" i="1"/>
  <c r="AB247" i="1"/>
  <c r="Y247" i="1"/>
  <c r="V247" i="1"/>
  <c r="S247" i="1"/>
  <c r="P247" i="1"/>
  <c r="M247" i="1"/>
  <c r="J247" i="1"/>
  <c r="G247" i="1"/>
  <c r="C247" i="1"/>
  <c r="B247" i="1"/>
  <c r="AA246" i="1"/>
  <c r="Z246" i="1"/>
  <c r="X246" i="1"/>
  <c r="W246" i="1"/>
  <c r="U246" i="1"/>
  <c r="T246" i="1"/>
  <c r="R246" i="1"/>
  <c r="Q246" i="1"/>
  <c r="O246" i="1"/>
  <c r="N246" i="1"/>
  <c r="L246" i="1"/>
  <c r="K246" i="1"/>
  <c r="I246" i="1"/>
  <c r="H246" i="1"/>
  <c r="F246" i="1"/>
  <c r="E246" i="1"/>
  <c r="AB244" i="1"/>
  <c r="Y244" i="1"/>
  <c r="V244" i="1"/>
  <c r="S244" i="1"/>
  <c r="P244" i="1"/>
  <c r="M244" i="1"/>
  <c r="J244" i="1"/>
  <c r="G244" i="1"/>
  <c r="C244" i="1"/>
  <c r="B244" i="1"/>
  <c r="AA243" i="1"/>
  <c r="Z243" i="1"/>
  <c r="X243" i="1"/>
  <c r="W243" i="1"/>
  <c r="U243" i="1"/>
  <c r="T243" i="1"/>
  <c r="R243" i="1"/>
  <c r="Q243" i="1"/>
  <c r="O243" i="1"/>
  <c r="N243" i="1"/>
  <c r="L243" i="1"/>
  <c r="K243" i="1"/>
  <c r="I243" i="1"/>
  <c r="H243" i="1"/>
  <c r="F243" i="1"/>
  <c r="E243" i="1"/>
  <c r="AB242" i="1"/>
  <c r="Y242" i="1"/>
  <c r="V242" i="1"/>
  <c r="S242" i="1"/>
  <c r="P242" i="1"/>
  <c r="M242" i="1"/>
  <c r="J242" i="1"/>
  <c r="G242" i="1"/>
  <c r="C242" i="1"/>
  <c r="B242" i="1"/>
  <c r="AB241" i="1"/>
  <c r="Y241" i="1"/>
  <c r="V241" i="1"/>
  <c r="S241" i="1"/>
  <c r="P241" i="1"/>
  <c r="M241" i="1"/>
  <c r="J241" i="1"/>
  <c r="G241" i="1"/>
  <c r="C241" i="1"/>
  <c r="B241" i="1"/>
  <c r="AB240" i="1"/>
  <c r="Y240" i="1"/>
  <c r="V240" i="1"/>
  <c r="S240" i="1"/>
  <c r="P240" i="1"/>
  <c r="M240" i="1"/>
  <c r="J240" i="1"/>
  <c r="G240" i="1"/>
  <c r="C240" i="1"/>
  <c r="B240" i="1"/>
  <c r="AB239" i="1"/>
  <c r="Y239" i="1"/>
  <c r="V239" i="1"/>
  <c r="R239" i="1"/>
  <c r="S239" i="1" s="1"/>
  <c r="P239" i="1"/>
  <c r="L239" i="1"/>
  <c r="M239" i="1" s="1"/>
  <c r="J239" i="1"/>
  <c r="G239" i="1"/>
  <c r="B239" i="1"/>
  <c r="AB238" i="1"/>
  <c r="Y238" i="1"/>
  <c r="V238" i="1"/>
  <c r="R238" i="1"/>
  <c r="S238" i="1" s="1"/>
  <c r="P238" i="1"/>
  <c r="L238" i="1"/>
  <c r="M238" i="1" s="1"/>
  <c r="J238" i="1"/>
  <c r="G238" i="1"/>
  <c r="B238" i="1"/>
  <c r="AB237" i="1"/>
  <c r="Y237" i="1"/>
  <c r="V237" i="1"/>
  <c r="S237" i="1"/>
  <c r="P237" i="1"/>
  <c r="M237" i="1"/>
  <c r="J237" i="1"/>
  <c r="G237" i="1"/>
  <c r="C237" i="1"/>
  <c r="B237" i="1"/>
  <c r="AB236" i="1"/>
  <c r="Y236" i="1"/>
  <c r="V236" i="1"/>
  <c r="R236" i="1"/>
  <c r="Q236" i="1"/>
  <c r="B236" i="1" s="1"/>
  <c r="P236" i="1"/>
  <c r="M236" i="1"/>
  <c r="J236" i="1"/>
  <c r="G236" i="1"/>
  <c r="AA235" i="1"/>
  <c r="Z235" i="1"/>
  <c r="X235" i="1"/>
  <c r="W235" i="1"/>
  <c r="U235" i="1"/>
  <c r="T235" i="1"/>
  <c r="O235" i="1"/>
  <c r="N235" i="1"/>
  <c r="K235" i="1"/>
  <c r="I235" i="1"/>
  <c r="H235" i="1"/>
  <c r="F235" i="1"/>
  <c r="E235" i="1"/>
  <c r="AB234" i="1"/>
  <c r="Y234" i="1"/>
  <c r="V234" i="1"/>
  <c r="S234" i="1"/>
  <c r="O234" i="1"/>
  <c r="N234" i="1"/>
  <c r="B234" i="1" s="1"/>
  <c r="M234" i="1"/>
  <c r="J234" i="1"/>
  <c r="G234" i="1"/>
  <c r="C234" i="1"/>
  <c r="AB233" i="1"/>
  <c r="Y233" i="1"/>
  <c r="V233" i="1"/>
  <c r="S233" i="1"/>
  <c r="P233" i="1"/>
  <c r="M233" i="1"/>
  <c r="J233" i="1"/>
  <c r="G233" i="1"/>
  <c r="C233" i="1"/>
  <c r="B233" i="1"/>
  <c r="AB232" i="1"/>
  <c r="Y232" i="1"/>
  <c r="V232" i="1"/>
  <c r="S232" i="1"/>
  <c r="P232" i="1"/>
  <c r="M232" i="1"/>
  <c r="J232" i="1"/>
  <c r="G232" i="1"/>
  <c r="C232" i="1"/>
  <c r="B232" i="1"/>
  <c r="AB231" i="1"/>
  <c r="Y231" i="1"/>
  <c r="V231" i="1"/>
  <c r="R231" i="1"/>
  <c r="P231" i="1"/>
  <c r="M231" i="1"/>
  <c r="J231" i="1"/>
  <c r="G231" i="1"/>
  <c r="B231" i="1"/>
  <c r="AA230" i="1"/>
  <c r="Z230" i="1"/>
  <c r="X230" i="1"/>
  <c r="W230" i="1"/>
  <c r="U230" i="1"/>
  <c r="T230" i="1"/>
  <c r="Q230" i="1"/>
  <c r="L230" i="1"/>
  <c r="K230" i="1"/>
  <c r="I230" i="1"/>
  <c r="H230" i="1"/>
  <c r="F230" i="1"/>
  <c r="E230" i="1"/>
  <c r="AA229" i="1"/>
  <c r="Y229" i="1"/>
  <c r="V229" i="1"/>
  <c r="R229" i="1"/>
  <c r="Q229" i="1"/>
  <c r="B229" i="1" s="1"/>
  <c r="P229" i="1"/>
  <c r="M229" i="1"/>
  <c r="J229" i="1"/>
  <c r="G229" i="1"/>
  <c r="AB228" i="1"/>
  <c r="Y228" i="1"/>
  <c r="V228" i="1"/>
  <c r="R228" i="1"/>
  <c r="Q228" i="1"/>
  <c r="B228" i="1" s="1"/>
  <c r="P228" i="1"/>
  <c r="L228" i="1"/>
  <c r="M228" i="1" s="1"/>
  <c r="J228" i="1"/>
  <c r="G228" i="1"/>
  <c r="AB227" i="1"/>
  <c r="Y227" i="1"/>
  <c r="V227" i="1"/>
  <c r="R227" i="1"/>
  <c r="P227" i="1"/>
  <c r="M227" i="1"/>
  <c r="J227" i="1"/>
  <c r="G227" i="1"/>
  <c r="B227" i="1"/>
  <c r="AB226" i="1"/>
  <c r="Y226" i="1"/>
  <c r="V226" i="1"/>
  <c r="R226" i="1"/>
  <c r="S226" i="1" s="1"/>
  <c r="P226" i="1"/>
  <c r="L226" i="1"/>
  <c r="M226" i="1" s="1"/>
  <c r="J226" i="1"/>
  <c r="G226" i="1"/>
  <c r="B226" i="1"/>
  <c r="AB225" i="1"/>
  <c r="Y225" i="1"/>
  <c r="V225" i="1"/>
  <c r="R225" i="1"/>
  <c r="Q225" i="1"/>
  <c r="B225" i="1" s="1"/>
  <c r="P225" i="1"/>
  <c r="M225" i="1"/>
  <c r="J225" i="1"/>
  <c r="G225" i="1"/>
  <c r="AB224" i="1"/>
  <c r="Y224" i="1"/>
  <c r="V224" i="1"/>
  <c r="S224" i="1"/>
  <c r="P224" i="1"/>
  <c r="M224" i="1"/>
  <c r="J224" i="1"/>
  <c r="G224" i="1"/>
  <c r="C224" i="1"/>
  <c r="B224" i="1"/>
  <c r="AB223" i="1"/>
  <c r="Y223" i="1"/>
  <c r="V223" i="1"/>
  <c r="R223" i="1"/>
  <c r="P223" i="1"/>
  <c r="M223" i="1"/>
  <c r="J223" i="1"/>
  <c r="G223" i="1"/>
  <c r="B223" i="1"/>
  <c r="AB222" i="1"/>
  <c r="Y222" i="1"/>
  <c r="V222" i="1"/>
  <c r="S222" i="1"/>
  <c r="P222" i="1"/>
  <c r="M222" i="1"/>
  <c r="J222" i="1"/>
  <c r="G222" i="1"/>
  <c r="C222" i="1"/>
  <c r="B222" i="1"/>
  <c r="AB221" i="1"/>
  <c r="Y221" i="1"/>
  <c r="V221" i="1"/>
  <c r="S221" i="1"/>
  <c r="P221" i="1"/>
  <c r="M221" i="1"/>
  <c r="J221" i="1"/>
  <c r="G221" i="1"/>
  <c r="C221" i="1"/>
  <c r="B221" i="1"/>
  <c r="AB220" i="1"/>
  <c r="Y220" i="1"/>
  <c r="V220" i="1"/>
  <c r="R220" i="1"/>
  <c r="Q220" i="1"/>
  <c r="B220" i="1" s="1"/>
  <c r="P220" i="1"/>
  <c r="L220" i="1"/>
  <c r="M220" i="1" s="1"/>
  <c r="J220" i="1"/>
  <c r="G220" i="1"/>
  <c r="AB219" i="1"/>
  <c r="Y219" i="1"/>
  <c r="V219" i="1"/>
  <c r="S219" i="1"/>
  <c r="P219" i="1"/>
  <c r="M219" i="1"/>
  <c r="J219" i="1"/>
  <c r="G219" i="1"/>
  <c r="C219" i="1"/>
  <c r="B219" i="1"/>
  <c r="AB218" i="1"/>
  <c r="Y218" i="1"/>
  <c r="V218" i="1"/>
  <c r="R218" i="1"/>
  <c r="C218" i="1" s="1"/>
  <c r="Q218" i="1"/>
  <c r="P218" i="1"/>
  <c r="M218" i="1"/>
  <c r="J218" i="1"/>
  <c r="G218" i="1"/>
  <c r="AA217" i="1"/>
  <c r="AB217" i="1" s="1"/>
  <c r="Y217" i="1"/>
  <c r="V217" i="1"/>
  <c r="R217" i="1"/>
  <c r="P217" i="1"/>
  <c r="M217" i="1"/>
  <c r="J217" i="1"/>
  <c r="G217" i="1"/>
  <c r="B217" i="1"/>
  <c r="AB216" i="1"/>
  <c r="Y216" i="1"/>
  <c r="V216" i="1"/>
  <c r="S216" i="1"/>
  <c r="P216" i="1"/>
  <c r="M216" i="1"/>
  <c r="J216" i="1"/>
  <c r="G216" i="1"/>
  <c r="C216" i="1"/>
  <c r="B216" i="1"/>
  <c r="AB215" i="1"/>
  <c r="Y215" i="1"/>
  <c r="V215" i="1"/>
  <c r="S215" i="1"/>
  <c r="P215" i="1"/>
  <c r="M215" i="1"/>
  <c r="J215" i="1"/>
  <c r="G215" i="1"/>
  <c r="C215" i="1"/>
  <c r="B215" i="1"/>
  <c r="AB214" i="1"/>
  <c r="Y214" i="1"/>
  <c r="V214" i="1"/>
  <c r="S214" i="1"/>
  <c r="P214" i="1"/>
  <c r="M214" i="1"/>
  <c r="J214" i="1"/>
  <c r="G214" i="1"/>
  <c r="C214" i="1"/>
  <c r="B214" i="1"/>
  <c r="AB213" i="1"/>
  <c r="Y213" i="1"/>
  <c r="V213" i="1"/>
  <c r="S213" i="1"/>
  <c r="P213" i="1"/>
  <c r="M213" i="1"/>
  <c r="J213" i="1"/>
  <c r="G213" i="1"/>
  <c r="C213" i="1"/>
  <c r="B213" i="1"/>
  <c r="AB212" i="1"/>
  <c r="Y212" i="1"/>
  <c r="V212" i="1"/>
  <c r="S212" i="1"/>
  <c r="O212" i="1"/>
  <c r="C212" i="1" s="1"/>
  <c r="N212" i="1"/>
  <c r="B212" i="1" s="1"/>
  <c r="M212" i="1"/>
  <c r="J212" i="1"/>
  <c r="G212" i="1"/>
  <c r="AB211" i="1"/>
  <c r="Y211" i="1"/>
  <c r="V211" i="1"/>
  <c r="S211" i="1"/>
  <c r="P211" i="1"/>
  <c r="M211" i="1"/>
  <c r="J211" i="1"/>
  <c r="G211" i="1"/>
  <c r="C211" i="1"/>
  <c r="B211" i="1"/>
  <c r="AB210" i="1"/>
  <c r="Y210" i="1"/>
  <c r="V210" i="1"/>
  <c r="S210" i="1"/>
  <c r="P210" i="1"/>
  <c r="M210" i="1"/>
  <c r="J210" i="1"/>
  <c r="G210" i="1"/>
  <c r="C210" i="1"/>
  <c r="B210" i="1"/>
  <c r="Z209" i="1"/>
  <c r="X209" i="1"/>
  <c r="W209" i="1"/>
  <c r="U209" i="1"/>
  <c r="T209" i="1"/>
  <c r="N209" i="1"/>
  <c r="L209" i="1"/>
  <c r="K209" i="1"/>
  <c r="I209" i="1"/>
  <c r="H209" i="1"/>
  <c r="F209" i="1"/>
  <c r="E209" i="1"/>
  <c r="AB208" i="1"/>
  <c r="Y208" i="1"/>
  <c r="V208" i="1"/>
  <c r="S208" i="1"/>
  <c r="P208" i="1"/>
  <c r="M208" i="1"/>
  <c r="J208" i="1"/>
  <c r="G208" i="1"/>
  <c r="C208" i="1"/>
  <c r="B208" i="1"/>
  <c r="AB207" i="1"/>
  <c r="Y207" i="1"/>
  <c r="V207" i="1"/>
  <c r="S207" i="1"/>
  <c r="P207" i="1"/>
  <c r="M207" i="1"/>
  <c r="J207" i="1"/>
  <c r="G207" i="1"/>
  <c r="C207" i="1"/>
  <c r="B207" i="1"/>
  <c r="AB206" i="1"/>
  <c r="Y206" i="1"/>
  <c r="V206" i="1"/>
  <c r="S206" i="1"/>
  <c r="P206" i="1"/>
  <c r="M206" i="1"/>
  <c r="J206" i="1"/>
  <c r="G206" i="1"/>
  <c r="C206" i="1"/>
  <c r="B206" i="1"/>
  <c r="AB205" i="1"/>
  <c r="Y205" i="1"/>
  <c r="V205" i="1"/>
  <c r="S205" i="1"/>
  <c r="P205" i="1"/>
  <c r="M205" i="1"/>
  <c r="J205" i="1"/>
  <c r="G205" i="1"/>
  <c r="C205" i="1"/>
  <c r="B205" i="1"/>
  <c r="AB204" i="1"/>
  <c r="Y204" i="1"/>
  <c r="V204" i="1"/>
  <c r="S204" i="1"/>
  <c r="P204" i="1"/>
  <c r="M204" i="1"/>
  <c r="J204" i="1"/>
  <c r="G204" i="1"/>
  <c r="C204" i="1"/>
  <c r="B204" i="1"/>
  <c r="AB203" i="1"/>
  <c r="Y203" i="1"/>
  <c r="V203" i="1"/>
  <c r="S203" i="1"/>
  <c r="P203" i="1"/>
  <c r="M203" i="1"/>
  <c r="J203" i="1"/>
  <c r="G203" i="1"/>
  <c r="C203" i="1"/>
  <c r="B203" i="1"/>
  <c r="AB202" i="1"/>
  <c r="Y202" i="1"/>
  <c r="V202" i="1"/>
  <c r="R202" i="1"/>
  <c r="C202" i="1" s="1"/>
  <c r="Q202" i="1"/>
  <c r="B202" i="1" s="1"/>
  <c r="P202" i="1"/>
  <c r="M202" i="1"/>
  <c r="J202" i="1"/>
  <c r="G202" i="1"/>
  <c r="AB201" i="1"/>
  <c r="Y201" i="1"/>
  <c r="V201" i="1"/>
  <c r="S201" i="1"/>
  <c r="P201" i="1"/>
  <c r="M201" i="1"/>
  <c r="J201" i="1"/>
  <c r="G201" i="1"/>
  <c r="C201" i="1"/>
  <c r="B201" i="1"/>
  <c r="AB200" i="1"/>
  <c r="Y200" i="1"/>
  <c r="V200" i="1"/>
  <c r="C200" i="1"/>
  <c r="P200" i="1"/>
  <c r="M200" i="1"/>
  <c r="J200" i="1"/>
  <c r="G200" i="1"/>
  <c r="B200" i="1"/>
  <c r="AB199" i="1"/>
  <c r="Y199" i="1"/>
  <c r="V199" i="1"/>
  <c r="R199" i="1"/>
  <c r="P199" i="1"/>
  <c r="M199" i="1"/>
  <c r="J199" i="1"/>
  <c r="G199" i="1"/>
  <c r="B199" i="1"/>
  <c r="AB198" i="1"/>
  <c r="Y198" i="1"/>
  <c r="V198" i="1"/>
  <c r="S198" i="1"/>
  <c r="P198" i="1"/>
  <c r="M198" i="1"/>
  <c r="J198" i="1"/>
  <c r="G198" i="1"/>
  <c r="C198" i="1"/>
  <c r="B198" i="1"/>
  <c r="AB197" i="1"/>
  <c r="Y197" i="1"/>
  <c r="V197" i="1"/>
  <c r="R197" i="1"/>
  <c r="P197" i="1"/>
  <c r="M197" i="1"/>
  <c r="J197" i="1"/>
  <c r="G197" i="1"/>
  <c r="B197" i="1"/>
  <c r="AA196" i="1"/>
  <c r="Z196" i="1"/>
  <c r="X196" i="1"/>
  <c r="W196" i="1"/>
  <c r="U196" i="1"/>
  <c r="T196" i="1"/>
  <c r="O196" i="1"/>
  <c r="N196" i="1"/>
  <c r="L196" i="1"/>
  <c r="K196" i="1"/>
  <c r="I196" i="1"/>
  <c r="H196" i="1"/>
  <c r="F196" i="1"/>
  <c r="E196" i="1"/>
  <c r="AB194" i="1"/>
  <c r="Y194" i="1"/>
  <c r="V194" i="1"/>
  <c r="R194" i="1"/>
  <c r="P194" i="1"/>
  <c r="M194" i="1"/>
  <c r="J194" i="1"/>
  <c r="G194" i="1"/>
  <c r="B194" i="1"/>
  <c r="AB193" i="1"/>
  <c r="Y193" i="1"/>
  <c r="V193" i="1"/>
  <c r="R193" i="1"/>
  <c r="P193" i="1"/>
  <c r="L193" i="1"/>
  <c r="M193" i="1" s="1"/>
  <c r="J193" i="1"/>
  <c r="G193" i="1"/>
  <c r="B193" i="1"/>
  <c r="AB192" i="1"/>
  <c r="Y192" i="1"/>
  <c r="V192" i="1"/>
  <c r="R192" i="1"/>
  <c r="S192" i="1" s="1"/>
  <c r="P192" i="1"/>
  <c r="L192" i="1"/>
  <c r="J192" i="1"/>
  <c r="G192" i="1"/>
  <c r="B192" i="1"/>
  <c r="AB191" i="1"/>
  <c r="Y191" i="1"/>
  <c r="V191" i="1"/>
  <c r="R191" i="1"/>
  <c r="P191" i="1"/>
  <c r="L191" i="1"/>
  <c r="M191" i="1" s="1"/>
  <c r="J191" i="1"/>
  <c r="G191" i="1"/>
  <c r="B191" i="1"/>
  <c r="AB190" i="1"/>
  <c r="Y190" i="1"/>
  <c r="V190" i="1"/>
  <c r="R190" i="1"/>
  <c r="S190" i="1" s="1"/>
  <c r="P190" i="1"/>
  <c r="L190" i="1"/>
  <c r="M190" i="1" s="1"/>
  <c r="J190" i="1"/>
  <c r="G190" i="1"/>
  <c r="B190" i="1"/>
  <c r="AB189" i="1"/>
  <c r="Y189" i="1"/>
  <c r="V189" i="1"/>
  <c r="R189" i="1"/>
  <c r="C189" i="1" s="1"/>
  <c r="Q189" i="1"/>
  <c r="Q188" i="1" s="1"/>
  <c r="P189" i="1"/>
  <c r="L189" i="1"/>
  <c r="M189" i="1" s="1"/>
  <c r="J189" i="1"/>
  <c r="G189" i="1"/>
  <c r="AA188" i="1"/>
  <c r="Z188" i="1"/>
  <c r="X188" i="1"/>
  <c r="W188" i="1"/>
  <c r="U188" i="1"/>
  <c r="T188" i="1"/>
  <c r="O188" i="1"/>
  <c r="N188" i="1"/>
  <c r="K188" i="1"/>
  <c r="I188" i="1"/>
  <c r="H188" i="1"/>
  <c r="F188" i="1"/>
  <c r="E188" i="1"/>
  <c r="AB187" i="1"/>
  <c r="Y187" i="1"/>
  <c r="V187" i="1"/>
  <c r="Q187" i="1"/>
  <c r="S187" i="1" s="1"/>
  <c r="P187" i="1"/>
  <c r="M187" i="1"/>
  <c r="J187" i="1"/>
  <c r="G187" i="1"/>
  <c r="C187" i="1"/>
  <c r="AB186" i="1"/>
  <c r="Y186" i="1"/>
  <c r="V186" i="1"/>
  <c r="S186" i="1"/>
  <c r="P186" i="1"/>
  <c r="M186" i="1"/>
  <c r="J186" i="1"/>
  <c r="G186" i="1"/>
  <c r="C186" i="1"/>
  <c r="B186" i="1"/>
  <c r="AB185" i="1"/>
  <c r="Y185" i="1"/>
  <c r="V185" i="1"/>
  <c r="S185" i="1"/>
  <c r="P185" i="1"/>
  <c r="M185" i="1"/>
  <c r="J185" i="1"/>
  <c r="G185" i="1"/>
  <c r="C185" i="1"/>
  <c r="B185" i="1"/>
  <c r="AB184" i="1"/>
  <c r="Y184" i="1"/>
  <c r="V184" i="1"/>
  <c r="R184" i="1"/>
  <c r="Q184" i="1"/>
  <c r="B184" i="1" s="1"/>
  <c r="P184" i="1"/>
  <c r="L184" i="1"/>
  <c r="J184" i="1"/>
  <c r="G184" i="1"/>
  <c r="AA183" i="1"/>
  <c r="Z183" i="1"/>
  <c r="X183" i="1"/>
  <c r="W183" i="1"/>
  <c r="U183" i="1"/>
  <c r="T183" i="1"/>
  <c r="O183" i="1"/>
  <c r="N183" i="1"/>
  <c r="K183" i="1"/>
  <c r="I183" i="1"/>
  <c r="H183" i="1"/>
  <c r="F183" i="1"/>
  <c r="E183" i="1"/>
  <c r="AB182" i="1"/>
  <c r="Y182" i="1"/>
  <c r="V182" i="1"/>
  <c r="S182" i="1"/>
  <c r="P182" i="1"/>
  <c r="M182" i="1"/>
  <c r="J182" i="1"/>
  <c r="G182" i="1"/>
  <c r="C182" i="1"/>
  <c r="B182" i="1"/>
  <c r="AA181" i="1"/>
  <c r="Z181" i="1"/>
  <c r="X181" i="1"/>
  <c r="W181" i="1"/>
  <c r="Y181" i="1" s="1"/>
  <c r="U181" i="1"/>
  <c r="T181" i="1"/>
  <c r="R181" i="1"/>
  <c r="Q181" i="1"/>
  <c r="O181" i="1"/>
  <c r="N181" i="1"/>
  <c r="L181" i="1"/>
  <c r="K181" i="1"/>
  <c r="I181" i="1"/>
  <c r="H181" i="1"/>
  <c r="F181" i="1"/>
  <c r="E181" i="1"/>
  <c r="AB180" i="1"/>
  <c r="Y180" i="1"/>
  <c r="V180" i="1"/>
  <c r="C180" i="1"/>
  <c r="P180" i="1"/>
  <c r="M180" i="1"/>
  <c r="J180" i="1"/>
  <c r="G180" i="1"/>
  <c r="B180" i="1"/>
  <c r="AB179" i="1"/>
  <c r="Y179" i="1"/>
  <c r="V179" i="1"/>
  <c r="S179" i="1"/>
  <c r="P179" i="1"/>
  <c r="M179" i="1"/>
  <c r="J179" i="1"/>
  <c r="G179" i="1"/>
  <c r="C179" i="1"/>
  <c r="B179" i="1"/>
  <c r="AB178" i="1"/>
  <c r="Y178" i="1"/>
  <c r="V178" i="1"/>
  <c r="R178" i="1"/>
  <c r="P178" i="1"/>
  <c r="M178" i="1"/>
  <c r="J178" i="1"/>
  <c r="G178" i="1"/>
  <c r="B178" i="1"/>
  <c r="AA177" i="1"/>
  <c r="Z177" i="1"/>
  <c r="X177" i="1"/>
  <c r="W177" i="1"/>
  <c r="U177" i="1"/>
  <c r="T177" i="1"/>
  <c r="Q177" i="1"/>
  <c r="O177" i="1"/>
  <c r="N177" i="1"/>
  <c r="L177" i="1"/>
  <c r="K177" i="1"/>
  <c r="I177" i="1"/>
  <c r="H177" i="1"/>
  <c r="F177" i="1"/>
  <c r="E177" i="1"/>
  <c r="AB175" i="1"/>
  <c r="Y175" i="1"/>
  <c r="V175" i="1"/>
  <c r="S175" i="1"/>
  <c r="P175" i="1"/>
  <c r="L175" i="1"/>
  <c r="K175" i="1"/>
  <c r="B175" i="1" s="1"/>
  <c r="J175" i="1"/>
  <c r="G175" i="1"/>
  <c r="AA174" i="1"/>
  <c r="Z174" i="1"/>
  <c r="X174" i="1"/>
  <c r="W174" i="1"/>
  <c r="Y174" i="1" s="1"/>
  <c r="U174" i="1"/>
  <c r="T174" i="1"/>
  <c r="R174" i="1"/>
  <c r="Q174" i="1"/>
  <c r="S174" i="1" s="1"/>
  <c r="O174" i="1"/>
  <c r="N174" i="1"/>
  <c r="I174" i="1"/>
  <c r="H174" i="1"/>
  <c r="F174" i="1"/>
  <c r="E174" i="1"/>
  <c r="AB173" i="1"/>
  <c r="Y173" i="1"/>
  <c r="V173" i="1"/>
  <c r="S173" i="1"/>
  <c r="P173" i="1"/>
  <c r="M173" i="1"/>
  <c r="J173" i="1"/>
  <c r="G173" i="1"/>
  <c r="C173" i="1"/>
  <c r="B173" i="1"/>
  <c r="AB172" i="1"/>
  <c r="Y172" i="1"/>
  <c r="V172" i="1"/>
  <c r="S172" i="1"/>
  <c r="P172" i="1"/>
  <c r="M172" i="1"/>
  <c r="J172" i="1"/>
  <c r="G172" i="1"/>
  <c r="C172" i="1"/>
  <c r="B172" i="1"/>
  <c r="AB171" i="1"/>
  <c r="Y171" i="1"/>
  <c r="V171" i="1"/>
  <c r="S171" i="1"/>
  <c r="P171" i="1"/>
  <c r="M171" i="1"/>
  <c r="J171" i="1"/>
  <c r="G171" i="1"/>
  <c r="C171" i="1"/>
  <c r="B171" i="1"/>
  <c r="AB170" i="1"/>
  <c r="Y170" i="1"/>
  <c r="V170" i="1"/>
  <c r="S170" i="1"/>
  <c r="P170" i="1"/>
  <c r="M170" i="1"/>
  <c r="J170" i="1"/>
  <c r="G170" i="1"/>
  <c r="C170" i="1"/>
  <c r="B170" i="1"/>
  <c r="AB169" i="1"/>
  <c r="Y169" i="1"/>
  <c r="V169" i="1"/>
  <c r="S169" i="1"/>
  <c r="P169" i="1"/>
  <c r="M169" i="1"/>
  <c r="J169" i="1"/>
  <c r="G169" i="1"/>
  <c r="C169" i="1"/>
  <c r="B169" i="1"/>
  <c r="AB168" i="1"/>
  <c r="Y168" i="1"/>
  <c r="V168" i="1"/>
  <c r="S168" i="1"/>
  <c r="P168" i="1"/>
  <c r="M168" i="1"/>
  <c r="J168" i="1"/>
  <c r="G168" i="1"/>
  <c r="C168" i="1"/>
  <c r="B168" i="1"/>
  <c r="AB167" i="1"/>
  <c r="Y167" i="1"/>
  <c r="V167" i="1"/>
  <c r="S167" i="1"/>
  <c r="P167" i="1"/>
  <c r="M167" i="1"/>
  <c r="J167" i="1"/>
  <c r="G167" i="1"/>
  <c r="C167" i="1"/>
  <c r="B167" i="1"/>
  <c r="AB166" i="1"/>
  <c r="Y166" i="1"/>
  <c r="V166" i="1"/>
  <c r="S166" i="1"/>
  <c r="P166" i="1"/>
  <c r="M166" i="1"/>
  <c r="J166" i="1"/>
  <c r="G166" i="1"/>
  <c r="C166" i="1"/>
  <c r="B166" i="1"/>
  <c r="AB165" i="1"/>
  <c r="Y165" i="1"/>
  <c r="V165" i="1"/>
  <c r="S165" i="1"/>
  <c r="P165" i="1"/>
  <c r="M165" i="1"/>
  <c r="J165" i="1"/>
  <c r="G165" i="1"/>
  <c r="C165" i="1"/>
  <c r="B165" i="1"/>
  <c r="AB164" i="1"/>
  <c r="Y164" i="1"/>
  <c r="V164" i="1"/>
  <c r="S164" i="1"/>
  <c r="P164" i="1"/>
  <c r="M164" i="1"/>
  <c r="J164" i="1"/>
  <c r="G164" i="1"/>
  <c r="C164" i="1"/>
  <c r="B164" i="1"/>
  <c r="AB163" i="1"/>
  <c r="Y163" i="1"/>
  <c r="V163" i="1"/>
  <c r="S163" i="1"/>
  <c r="P163" i="1"/>
  <c r="M163" i="1"/>
  <c r="J163" i="1"/>
  <c r="G163" i="1"/>
  <c r="C163" i="1"/>
  <c r="B163" i="1"/>
  <c r="AA162" i="1"/>
  <c r="Z162" i="1"/>
  <c r="X162" i="1"/>
  <c r="W162" i="1"/>
  <c r="U162" i="1"/>
  <c r="T162" i="1"/>
  <c r="R162" i="1"/>
  <c r="Q162" i="1"/>
  <c r="O162" i="1"/>
  <c r="N162" i="1"/>
  <c r="L162" i="1"/>
  <c r="K162" i="1"/>
  <c r="M162" i="1" s="1"/>
  <c r="I162" i="1"/>
  <c r="H162" i="1"/>
  <c r="F162" i="1"/>
  <c r="E162" i="1"/>
  <c r="G162" i="1" s="1"/>
  <c r="AB161" i="1"/>
  <c r="Y161" i="1"/>
  <c r="V161" i="1"/>
  <c r="S161" i="1"/>
  <c r="P161" i="1"/>
  <c r="M161" i="1"/>
  <c r="J161" i="1"/>
  <c r="G161" i="1"/>
  <c r="C161" i="1"/>
  <c r="B161" i="1"/>
  <c r="AB160" i="1"/>
  <c r="Y160" i="1"/>
  <c r="V160" i="1"/>
  <c r="S160" i="1"/>
  <c r="M160" i="1"/>
  <c r="J160" i="1"/>
  <c r="G160" i="1"/>
  <c r="C160" i="1"/>
  <c r="B160" i="1"/>
  <c r="AB159" i="1"/>
  <c r="Y159" i="1"/>
  <c r="V159" i="1"/>
  <c r="S159" i="1"/>
  <c r="M159" i="1"/>
  <c r="J159" i="1"/>
  <c r="G159" i="1"/>
  <c r="C159" i="1"/>
  <c r="B159" i="1"/>
  <c r="AB158" i="1"/>
  <c r="Y158" i="1"/>
  <c r="V158" i="1"/>
  <c r="R158" i="1"/>
  <c r="C158" i="1" s="1"/>
  <c r="Q158" i="1"/>
  <c r="B158" i="1" s="1"/>
  <c r="P158" i="1"/>
  <c r="K158" i="1"/>
  <c r="M158" i="1" s="1"/>
  <c r="J158" i="1"/>
  <c r="G158" i="1"/>
  <c r="AB157" i="1"/>
  <c r="Y157" i="1"/>
  <c r="V157" i="1"/>
  <c r="S157" i="1"/>
  <c r="P157" i="1"/>
  <c r="M157" i="1"/>
  <c r="J157" i="1"/>
  <c r="G157" i="1"/>
  <c r="C157" i="1"/>
  <c r="B157" i="1"/>
  <c r="AB156" i="1"/>
  <c r="Y156" i="1"/>
  <c r="V156" i="1"/>
  <c r="S156" i="1"/>
  <c r="P156" i="1"/>
  <c r="M156" i="1"/>
  <c r="J156" i="1"/>
  <c r="G156" i="1"/>
  <c r="C156" i="1"/>
  <c r="B156" i="1"/>
  <c r="AB155" i="1"/>
  <c r="X155" i="1"/>
  <c r="W155" i="1"/>
  <c r="B155" i="1" s="1"/>
  <c r="V155" i="1"/>
  <c r="S155" i="1"/>
  <c r="P155" i="1"/>
  <c r="M155" i="1"/>
  <c r="J155" i="1"/>
  <c r="G155" i="1"/>
  <c r="C155" i="1"/>
  <c r="AB154" i="1"/>
  <c r="Y154" i="1"/>
  <c r="V154" i="1"/>
  <c r="S154" i="1"/>
  <c r="P154" i="1"/>
  <c r="M154" i="1"/>
  <c r="J154" i="1"/>
  <c r="G154" i="1"/>
  <c r="C154" i="1"/>
  <c r="B154" i="1"/>
  <c r="AB153" i="1"/>
  <c r="X153" i="1"/>
  <c r="W153" i="1"/>
  <c r="B153" i="1" s="1"/>
  <c r="V153" i="1"/>
  <c r="S153" i="1"/>
  <c r="P153" i="1"/>
  <c r="M153" i="1"/>
  <c r="J153" i="1"/>
  <c r="G153" i="1"/>
  <c r="AB152" i="1"/>
  <c r="Y152" i="1"/>
  <c r="V152" i="1"/>
  <c r="R152" i="1"/>
  <c r="Q152" i="1"/>
  <c r="P152" i="1"/>
  <c r="M152" i="1"/>
  <c r="J152" i="1"/>
  <c r="G152" i="1"/>
  <c r="B152" i="1"/>
  <c r="AB151" i="1"/>
  <c r="Y151" i="1"/>
  <c r="V151" i="1"/>
  <c r="S151" i="1"/>
  <c r="P151" i="1"/>
  <c r="M151" i="1"/>
  <c r="J151" i="1"/>
  <c r="G151" i="1"/>
  <c r="C151" i="1"/>
  <c r="B151" i="1"/>
  <c r="AB150" i="1"/>
  <c r="Y150" i="1"/>
  <c r="V150" i="1"/>
  <c r="S150" i="1"/>
  <c r="P150" i="1"/>
  <c r="M150" i="1"/>
  <c r="J150" i="1"/>
  <c r="G150" i="1"/>
  <c r="C150" i="1"/>
  <c r="B150" i="1"/>
  <c r="AB149" i="1"/>
  <c r="Y149" i="1"/>
  <c r="V149" i="1"/>
  <c r="S149" i="1"/>
  <c r="P149" i="1"/>
  <c r="M149" i="1"/>
  <c r="J149" i="1"/>
  <c r="G149" i="1"/>
  <c r="C149" i="1"/>
  <c r="B149" i="1"/>
  <c r="AB148" i="1"/>
  <c r="Y148" i="1"/>
  <c r="V148" i="1"/>
  <c r="S148" i="1"/>
  <c r="P148" i="1"/>
  <c r="L148" i="1"/>
  <c r="K148" i="1"/>
  <c r="K141" i="1" s="1"/>
  <c r="J148" i="1"/>
  <c r="G148" i="1"/>
  <c r="AB147" i="1"/>
  <c r="Y147" i="1"/>
  <c r="V147" i="1"/>
  <c r="S147" i="1"/>
  <c r="P147" i="1"/>
  <c r="M147" i="1"/>
  <c r="J147" i="1"/>
  <c r="G147" i="1"/>
  <c r="C147" i="1"/>
  <c r="B147" i="1"/>
  <c r="AB146" i="1"/>
  <c r="Y146" i="1"/>
  <c r="V146" i="1"/>
  <c r="S146" i="1"/>
  <c r="P146" i="1"/>
  <c r="M146" i="1"/>
  <c r="J146" i="1"/>
  <c r="G146" i="1"/>
  <c r="C146" i="1"/>
  <c r="B146" i="1"/>
  <c r="AB145" i="1"/>
  <c r="Y145" i="1"/>
  <c r="V145" i="1"/>
  <c r="S145" i="1"/>
  <c r="P145" i="1"/>
  <c r="M145" i="1"/>
  <c r="J145" i="1"/>
  <c r="G145" i="1"/>
  <c r="C145" i="1"/>
  <c r="B145" i="1"/>
  <c r="AB144" i="1"/>
  <c r="Y144" i="1"/>
  <c r="V144" i="1"/>
  <c r="S144" i="1"/>
  <c r="P144" i="1"/>
  <c r="M144" i="1"/>
  <c r="J144" i="1"/>
  <c r="G144" i="1"/>
  <c r="C144" i="1"/>
  <c r="B144" i="1"/>
  <c r="AB143" i="1"/>
  <c r="Y143" i="1"/>
  <c r="V143" i="1"/>
  <c r="S143" i="1"/>
  <c r="P143" i="1"/>
  <c r="M143" i="1"/>
  <c r="J143" i="1"/>
  <c r="G143" i="1"/>
  <c r="C143" i="1"/>
  <c r="B143" i="1"/>
  <c r="AB142" i="1"/>
  <c r="Y142" i="1"/>
  <c r="V142" i="1"/>
  <c r="S142" i="1"/>
  <c r="P142" i="1"/>
  <c r="M142" i="1"/>
  <c r="J142" i="1"/>
  <c r="G142" i="1"/>
  <c r="C142" i="1"/>
  <c r="B142" i="1"/>
  <c r="AA141" i="1"/>
  <c r="Z141" i="1"/>
  <c r="U141" i="1"/>
  <c r="T141" i="1"/>
  <c r="O141" i="1"/>
  <c r="N141" i="1"/>
  <c r="I141" i="1"/>
  <c r="H141" i="1"/>
  <c r="G141" i="1"/>
  <c r="AB140" i="1"/>
  <c r="Y140" i="1"/>
  <c r="V140" i="1"/>
  <c r="S140" i="1"/>
  <c r="P140" i="1"/>
  <c r="M140" i="1"/>
  <c r="J140" i="1"/>
  <c r="G140" i="1"/>
  <c r="C140" i="1"/>
  <c r="B140" i="1"/>
  <c r="AA139" i="1"/>
  <c r="AA138" i="1" s="1"/>
  <c r="X139" i="1"/>
  <c r="Y139" i="1" s="1"/>
  <c r="V139" i="1"/>
  <c r="S139" i="1"/>
  <c r="P139" i="1"/>
  <c r="M139" i="1"/>
  <c r="J139" i="1"/>
  <c r="G139" i="1"/>
  <c r="B139" i="1"/>
  <c r="Z138" i="1"/>
  <c r="W138" i="1"/>
  <c r="U138" i="1"/>
  <c r="T138" i="1"/>
  <c r="R138" i="1"/>
  <c r="Q138" i="1"/>
  <c r="O138" i="1"/>
  <c r="N138" i="1"/>
  <c r="L138" i="1"/>
  <c r="K138" i="1"/>
  <c r="I138" i="1"/>
  <c r="H138" i="1"/>
  <c r="F138" i="1"/>
  <c r="E138" i="1"/>
  <c r="AB137" i="1"/>
  <c r="Y137" i="1"/>
  <c r="V137" i="1"/>
  <c r="R137" i="1"/>
  <c r="R119" i="1" s="1"/>
  <c r="P137" i="1"/>
  <c r="M137" i="1"/>
  <c r="J137" i="1"/>
  <c r="G137" i="1"/>
  <c r="B137" i="1"/>
  <c r="AB136" i="1"/>
  <c r="Y136" i="1"/>
  <c r="V136" i="1"/>
  <c r="S136" i="1"/>
  <c r="P136" i="1"/>
  <c r="M136" i="1"/>
  <c r="J136" i="1"/>
  <c r="G136" i="1"/>
  <c r="C136" i="1"/>
  <c r="B136" i="1"/>
  <c r="AB135" i="1"/>
  <c r="Y135" i="1"/>
  <c r="V135" i="1"/>
  <c r="S135" i="1"/>
  <c r="P135" i="1"/>
  <c r="M135" i="1"/>
  <c r="J135" i="1"/>
  <c r="G135" i="1"/>
  <c r="C135" i="1"/>
  <c r="B135" i="1"/>
  <c r="AB134" i="1"/>
  <c r="Y134" i="1"/>
  <c r="V134" i="1"/>
  <c r="S134" i="1"/>
  <c r="P134" i="1"/>
  <c r="M134" i="1"/>
  <c r="J134" i="1"/>
  <c r="G134" i="1"/>
  <c r="C134" i="1"/>
  <c r="B134" i="1"/>
  <c r="AB133" i="1"/>
  <c r="Y133" i="1"/>
  <c r="V133" i="1"/>
  <c r="S133" i="1"/>
  <c r="P133" i="1"/>
  <c r="M133" i="1"/>
  <c r="J133" i="1"/>
  <c r="G133" i="1"/>
  <c r="C133" i="1"/>
  <c r="B133" i="1"/>
  <c r="AB132" i="1"/>
  <c r="Y132" i="1"/>
  <c r="V132" i="1"/>
  <c r="S132" i="1"/>
  <c r="P132" i="1"/>
  <c r="M132" i="1"/>
  <c r="J132" i="1"/>
  <c r="G132" i="1"/>
  <c r="C132" i="1"/>
  <c r="B132" i="1"/>
  <c r="AB131" i="1"/>
  <c r="Y131" i="1"/>
  <c r="V131" i="1"/>
  <c r="S131" i="1"/>
  <c r="P131" i="1"/>
  <c r="M131" i="1"/>
  <c r="J131" i="1"/>
  <c r="G131" i="1"/>
  <c r="C131" i="1"/>
  <c r="B131" i="1"/>
  <c r="AB130" i="1"/>
  <c r="Y130" i="1"/>
  <c r="V130" i="1"/>
  <c r="S130" i="1"/>
  <c r="P130" i="1"/>
  <c r="L130" i="1"/>
  <c r="L119" i="1" s="1"/>
  <c r="K130" i="1"/>
  <c r="J130" i="1"/>
  <c r="G130" i="1"/>
  <c r="C130" i="1"/>
  <c r="AB129" i="1"/>
  <c r="Y129" i="1"/>
  <c r="V129" i="1"/>
  <c r="S129" i="1"/>
  <c r="P129" i="1"/>
  <c r="M129" i="1"/>
  <c r="J129" i="1"/>
  <c r="G129" i="1"/>
  <c r="C129" i="1"/>
  <c r="B129" i="1"/>
  <c r="AB128" i="1"/>
  <c r="Y128" i="1"/>
  <c r="V128" i="1"/>
  <c r="S128" i="1"/>
  <c r="P128" i="1"/>
  <c r="M128" i="1"/>
  <c r="J128" i="1"/>
  <c r="G128" i="1"/>
  <c r="C128" i="1"/>
  <c r="B128" i="1"/>
  <c r="AB127" i="1"/>
  <c r="Y127" i="1"/>
  <c r="V127" i="1"/>
  <c r="S127" i="1"/>
  <c r="P127" i="1"/>
  <c r="M127" i="1"/>
  <c r="J127" i="1"/>
  <c r="G127" i="1"/>
  <c r="C127" i="1"/>
  <c r="B127" i="1"/>
  <c r="AB126" i="1"/>
  <c r="Y126" i="1"/>
  <c r="V126" i="1"/>
  <c r="S126" i="1"/>
  <c r="P126" i="1"/>
  <c r="M126" i="1"/>
  <c r="J126" i="1"/>
  <c r="G126" i="1"/>
  <c r="C126" i="1"/>
  <c r="B126" i="1"/>
  <c r="AB125" i="1"/>
  <c r="Y125" i="1"/>
  <c r="V125" i="1"/>
  <c r="S125" i="1"/>
  <c r="P125" i="1"/>
  <c r="M125" i="1"/>
  <c r="J125" i="1"/>
  <c r="G125" i="1"/>
  <c r="C125" i="1"/>
  <c r="B125" i="1"/>
  <c r="AB124" i="1"/>
  <c r="Y124" i="1"/>
  <c r="V124" i="1"/>
  <c r="S124" i="1"/>
  <c r="P124" i="1"/>
  <c r="M124" i="1"/>
  <c r="J124" i="1"/>
  <c r="G124" i="1"/>
  <c r="C124" i="1"/>
  <c r="B124" i="1"/>
  <c r="AB123" i="1"/>
  <c r="Y123" i="1"/>
  <c r="V123" i="1"/>
  <c r="S123" i="1"/>
  <c r="P123" i="1"/>
  <c r="M123" i="1"/>
  <c r="J123" i="1"/>
  <c r="G123" i="1"/>
  <c r="C123" i="1"/>
  <c r="B123" i="1"/>
  <c r="AB122" i="1"/>
  <c r="Y122" i="1"/>
  <c r="V122" i="1"/>
  <c r="S122" i="1"/>
  <c r="P122" i="1"/>
  <c r="M122" i="1"/>
  <c r="J122" i="1"/>
  <c r="G122" i="1"/>
  <c r="C122" i="1"/>
  <c r="B122" i="1"/>
  <c r="AB121" i="1"/>
  <c r="Y121" i="1"/>
  <c r="V121" i="1"/>
  <c r="S121" i="1"/>
  <c r="P121" i="1"/>
  <c r="M121" i="1"/>
  <c r="J121" i="1"/>
  <c r="G121" i="1"/>
  <c r="C121" i="1"/>
  <c r="B121" i="1"/>
  <c r="AB120" i="1"/>
  <c r="Y120" i="1"/>
  <c r="V120" i="1"/>
  <c r="S120" i="1"/>
  <c r="P120" i="1"/>
  <c r="M120" i="1"/>
  <c r="J120" i="1"/>
  <c r="G120" i="1"/>
  <c r="C120" i="1"/>
  <c r="B120" i="1"/>
  <c r="AA119" i="1"/>
  <c r="Z119" i="1"/>
  <c r="X119" i="1"/>
  <c r="W119" i="1"/>
  <c r="U119" i="1"/>
  <c r="T119" i="1"/>
  <c r="Q119" i="1"/>
  <c r="O119" i="1"/>
  <c r="N119" i="1"/>
  <c r="I119" i="1"/>
  <c r="H119" i="1"/>
  <c r="F119" i="1"/>
  <c r="E119" i="1"/>
  <c r="AB117" i="1"/>
  <c r="Y117" i="1"/>
  <c r="U117" i="1"/>
  <c r="T117" i="1"/>
  <c r="B117" i="1" s="1"/>
  <c r="S117" i="1"/>
  <c r="P117" i="1"/>
  <c r="M117" i="1"/>
  <c r="J117" i="1"/>
  <c r="G117" i="1"/>
  <c r="AB116" i="1"/>
  <c r="Y116" i="1"/>
  <c r="V116" i="1"/>
  <c r="S116" i="1"/>
  <c r="P116" i="1"/>
  <c r="M116" i="1"/>
  <c r="J116" i="1"/>
  <c r="G116" i="1"/>
  <c r="C116" i="1"/>
  <c r="B116" i="1"/>
  <c r="AB115" i="1"/>
  <c r="Y115" i="1"/>
  <c r="V115" i="1"/>
  <c r="S115" i="1"/>
  <c r="P115" i="1"/>
  <c r="M115" i="1"/>
  <c r="J115" i="1"/>
  <c r="G115" i="1"/>
  <c r="C115" i="1"/>
  <c r="B115" i="1"/>
  <c r="AA114" i="1"/>
  <c r="Z114" i="1"/>
  <c r="X114" i="1"/>
  <c r="W114" i="1"/>
  <c r="R114" i="1"/>
  <c r="Q114" i="1"/>
  <c r="O114" i="1"/>
  <c r="N114" i="1"/>
  <c r="L114" i="1"/>
  <c r="K114" i="1"/>
  <c r="I114" i="1"/>
  <c r="H114" i="1"/>
  <c r="F114" i="1"/>
  <c r="E114" i="1"/>
  <c r="AB113" i="1"/>
  <c r="Y113" i="1"/>
  <c r="V113" i="1"/>
  <c r="S113" i="1"/>
  <c r="P113" i="1"/>
  <c r="M113" i="1"/>
  <c r="J113" i="1"/>
  <c r="G113" i="1"/>
  <c r="C113" i="1"/>
  <c r="B113" i="1"/>
  <c r="AB112" i="1"/>
  <c r="Y112" i="1"/>
  <c r="V112" i="1"/>
  <c r="S112" i="1"/>
  <c r="P112" i="1"/>
  <c r="L112" i="1"/>
  <c r="K112" i="1"/>
  <c r="K109" i="1" s="1"/>
  <c r="J112" i="1"/>
  <c r="G112" i="1"/>
  <c r="AB111" i="1"/>
  <c r="Y111" i="1"/>
  <c r="V111" i="1"/>
  <c r="S111" i="1"/>
  <c r="P111" i="1"/>
  <c r="M111" i="1"/>
  <c r="J111" i="1"/>
  <c r="G111" i="1"/>
  <c r="C111" i="1"/>
  <c r="B111" i="1"/>
  <c r="AB110" i="1"/>
  <c r="Y110" i="1"/>
  <c r="V110" i="1"/>
  <c r="R110" i="1"/>
  <c r="Q110" i="1"/>
  <c r="B110" i="1" s="1"/>
  <c r="P110" i="1"/>
  <c r="M110" i="1"/>
  <c r="J110" i="1"/>
  <c r="G110" i="1"/>
  <c r="AA109" i="1"/>
  <c r="Z109" i="1"/>
  <c r="X109" i="1"/>
  <c r="W109" i="1"/>
  <c r="U109" i="1"/>
  <c r="T109" i="1"/>
  <c r="Q109" i="1"/>
  <c r="O109" i="1"/>
  <c r="N109" i="1"/>
  <c r="I109" i="1"/>
  <c r="H109" i="1"/>
  <c r="F109" i="1"/>
  <c r="E109" i="1"/>
  <c r="AB108" i="1"/>
  <c r="Y108" i="1"/>
  <c r="V108" i="1"/>
  <c r="R108" i="1"/>
  <c r="S108" i="1" s="1"/>
  <c r="P108" i="1"/>
  <c r="L108" i="1"/>
  <c r="L107" i="1" s="1"/>
  <c r="K108" i="1"/>
  <c r="J108" i="1"/>
  <c r="G108" i="1"/>
  <c r="AA107" i="1"/>
  <c r="Z107" i="1"/>
  <c r="X107" i="1"/>
  <c r="W107" i="1"/>
  <c r="U107" i="1"/>
  <c r="T107" i="1"/>
  <c r="Q107" i="1"/>
  <c r="O107" i="1"/>
  <c r="N107" i="1"/>
  <c r="I107" i="1"/>
  <c r="H107" i="1"/>
  <c r="F107" i="1"/>
  <c r="E107" i="1"/>
  <c r="AB105" i="1"/>
  <c r="Y105" i="1"/>
  <c r="V105" i="1"/>
  <c r="S105" i="1"/>
  <c r="P105" i="1"/>
  <c r="M105" i="1"/>
  <c r="J105" i="1"/>
  <c r="G105" i="1"/>
  <c r="C105" i="1"/>
  <c r="B105" i="1"/>
  <c r="AA104" i="1"/>
  <c r="Z104" i="1"/>
  <c r="X104" i="1"/>
  <c r="W104" i="1"/>
  <c r="U104" i="1"/>
  <c r="T104" i="1"/>
  <c r="R104" i="1"/>
  <c r="Q104" i="1"/>
  <c r="O104" i="1"/>
  <c r="N104" i="1"/>
  <c r="L104" i="1"/>
  <c r="K104" i="1"/>
  <c r="I104" i="1"/>
  <c r="H104" i="1"/>
  <c r="F104" i="1"/>
  <c r="E104" i="1"/>
  <c r="AB103" i="1"/>
  <c r="Y103" i="1"/>
  <c r="V103" i="1"/>
  <c r="S103" i="1"/>
  <c r="P103" i="1"/>
  <c r="L103" i="1"/>
  <c r="M103" i="1" s="1"/>
  <c r="J103" i="1"/>
  <c r="G103" i="1"/>
  <c r="B103" i="1"/>
  <c r="AB102" i="1"/>
  <c r="Y102" i="1"/>
  <c r="V102" i="1"/>
  <c r="S102" i="1"/>
  <c r="P102" i="1"/>
  <c r="M102" i="1"/>
  <c r="I102" i="1"/>
  <c r="H102" i="1"/>
  <c r="B102" i="1" s="1"/>
  <c r="G102" i="1"/>
  <c r="AB101" i="1"/>
  <c r="Y101" i="1"/>
  <c r="V101" i="1"/>
  <c r="S101" i="1"/>
  <c r="P101" i="1"/>
  <c r="M101" i="1"/>
  <c r="J101" i="1"/>
  <c r="G101" i="1"/>
  <c r="C101" i="1"/>
  <c r="B101" i="1"/>
  <c r="AB100" i="1"/>
  <c r="Y100" i="1"/>
  <c r="V100" i="1"/>
  <c r="S100" i="1"/>
  <c r="P100" i="1"/>
  <c r="M100" i="1"/>
  <c r="I100" i="1"/>
  <c r="H100" i="1"/>
  <c r="B100" i="1" s="1"/>
  <c r="F100" i="1"/>
  <c r="G100" i="1" s="1"/>
  <c r="AA99" i="1"/>
  <c r="Z99" i="1"/>
  <c r="X99" i="1"/>
  <c r="W99" i="1"/>
  <c r="U99" i="1"/>
  <c r="T99" i="1"/>
  <c r="R99" i="1"/>
  <c r="Q99" i="1"/>
  <c r="O99" i="1"/>
  <c r="N99" i="1"/>
  <c r="L99" i="1"/>
  <c r="K99" i="1"/>
  <c r="E99" i="1"/>
  <c r="AB98" i="1"/>
  <c r="Y98" i="1"/>
  <c r="V98" i="1"/>
  <c r="S98" i="1"/>
  <c r="P98" i="1"/>
  <c r="M98" i="1"/>
  <c r="J98" i="1"/>
  <c r="G98" i="1"/>
  <c r="C98" i="1"/>
  <c r="B98" i="1"/>
  <c r="AA97" i="1"/>
  <c r="Z97" i="1"/>
  <c r="X97" i="1"/>
  <c r="W97" i="1"/>
  <c r="U97" i="1"/>
  <c r="T97" i="1"/>
  <c r="R97" i="1"/>
  <c r="Q97" i="1"/>
  <c r="O97" i="1"/>
  <c r="N97" i="1"/>
  <c r="L97" i="1"/>
  <c r="K97" i="1"/>
  <c r="I97" i="1"/>
  <c r="H97" i="1"/>
  <c r="F97" i="1"/>
  <c r="E97" i="1"/>
  <c r="AB96" i="1"/>
  <c r="Y96" i="1"/>
  <c r="V96" i="1"/>
  <c r="S96" i="1"/>
  <c r="P96" i="1"/>
  <c r="M96" i="1"/>
  <c r="J96" i="1"/>
  <c r="G96" i="1"/>
  <c r="C96" i="1"/>
  <c r="B96" i="1"/>
  <c r="AB95" i="1"/>
  <c r="Y95" i="1"/>
  <c r="V95" i="1"/>
  <c r="S95" i="1"/>
  <c r="P95" i="1"/>
  <c r="M95" i="1"/>
  <c r="J95" i="1"/>
  <c r="G95" i="1"/>
  <c r="C95" i="1"/>
  <c r="B95" i="1"/>
  <c r="AB94" i="1"/>
  <c r="Y94" i="1"/>
  <c r="V94" i="1"/>
  <c r="S94" i="1"/>
  <c r="P94" i="1"/>
  <c r="L94" i="1"/>
  <c r="L92" i="1" s="1"/>
  <c r="K94" i="1"/>
  <c r="B94" i="1" s="1"/>
  <c r="J94" i="1"/>
  <c r="G94" i="1"/>
  <c r="C94" i="1"/>
  <c r="AB93" i="1"/>
  <c r="Y93" i="1"/>
  <c r="V93" i="1"/>
  <c r="S93" i="1"/>
  <c r="P93" i="1"/>
  <c r="M93" i="1"/>
  <c r="J93" i="1"/>
  <c r="G93" i="1"/>
  <c r="C93" i="1"/>
  <c r="B93" i="1"/>
  <c r="AA92" i="1"/>
  <c r="Z92" i="1"/>
  <c r="X92" i="1"/>
  <c r="W92" i="1"/>
  <c r="U92" i="1"/>
  <c r="T92" i="1"/>
  <c r="R92" i="1"/>
  <c r="Q92" i="1"/>
  <c r="O92" i="1"/>
  <c r="N92" i="1"/>
  <c r="K92" i="1"/>
  <c r="I92" i="1"/>
  <c r="H92" i="1"/>
  <c r="F92" i="1"/>
  <c r="E92" i="1"/>
  <c r="AA89" i="1"/>
  <c r="Z89" i="1"/>
  <c r="Z87" i="1" s="1"/>
  <c r="Z86" i="1" s="1"/>
  <c r="Y89" i="1"/>
  <c r="V89" i="1"/>
  <c r="S89" i="1"/>
  <c r="O89" i="1"/>
  <c r="N89" i="1"/>
  <c r="M89" i="1"/>
  <c r="J89" i="1"/>
  <c r="F89" i="1"/>
  <c r="G89" i="1" s="1"/>
  <c r="AB88" i="1"/>
  <c r="Y88" i="1"/>
  <c r="V88" i="1"/>
  <c r="S88" i="1"/>
  <c r="P88" i="1"/>
  <c r="M88" i="1"/>
  <c r="J88" i="1"/>
  <c r="F88" i="1"/>
  <c r="E88" i="1"/>
  <c r="B88" i="1" s="1"/>
  <c r="X87" i="1"/>
  <c r="X86" i="1" s="1"/>
  <c r="W87" i="1"/>
  <c r="W86" i="1" s="1"/>
  <c r="U87" i="1"/>
  <c r="T87" i="1"/>
  <c r="T86" i="1" s="1"/>
  <c r="R87" i="1"/>
  <c r="R86" i="1" s="1"/>
  <c r="Q87" i="1"/>
  <c r="Q86" i="1" s="1"/>
  <c r="O87" i="1"/>
  <c r="L87" i="1"/>
  <c r="L86" i="1" s="1"/>
  <c r="K87" i="1"/>
  <c r="K86" i="1" s="1"/>
  <c r="I87" i="1"/>
  <c r="H87" i="1"/>
  <c r="H86" i="1" s="1"/>
  <c r="AB85" i="1"/>
  <c r="Y85" i="1"/>
  <c r="V85" i="1"/>
  <c r="S85" i="1"/>
  <c r="P85" i="1"/>
  <c r="M85" i="1"/>
  <c r="J85" i="1"/>
  <c r="G85" i="1"/>
  <c r="C85" i="1"/>
  <c r="B85" i="1"/>
  <c r="AB84" i="1"/>
  <c r="Y84" i="1"/>
  <c r="V84" i="1"/>
  <c r="S84" i="1"/>
  <c r="P84" i="1"/>
  <c r="M84" i="1"/>
  <c r="J84" i="1"/>
  <c r="G84" i="1"/>
  <c r="C84" i="1"/>
  <c r="B84" i="1"/>
  <c r="AB83" i="1"/>
  <c r="Y83" i="1"/>
  <c r="V83" i="1"/>
  <c r="S83" i="1"/>
  <c r="O83" i="1"/>
  <c r="N83" i="1"/>
  <c r="N76" i="1" s="1"/>
  <c r="N75" i="1" s="1"/>
  <c r="M83" i="1"/>
  <c r="J83" i="1"/>
  <c r="F83" i="1"/>
  <c r="E83" i="1"/>
  <c r="B83" i="1" s="1"/>
  <c r="AB82" i="1"/>
  <c r="Y82" i="1"/>
  <c r="V82" i="1"/>
  <c r="S82" i="1"/>
  <c r="P82" i="1"/>
  <c r="M82" i="1"/>
  <c r="J82" i="1"/>
  <c r="F82" i="1"/>
  <c r="E82" i="1"/>
  <c r="B82" i="1"/>
  <c r="AB81" i="1"/>
  <c r="Y81" i="1"/>
  <c r="V81" i="1"/>
  <c r="S81" i="1"/>
  <c r="P81" i="1"/>
  <c r="M81" i="1"/>
  <c r="J81" i="1"/>
  <c r="F81" i="1"/>
  <c r="C81" i="1" s="1"/>
  <c r="E81" i="1"/>
  <c r="AB80" i="1"/>
  <c r="Y80" i="1"/>
  <c r="V80" i="1"/>
  <c r="S80" i="1"/>
  <c r="P80" i="1"/>
  <c r="M80" i="1"/>
  <c r="J80" i="1"/>
  <c r="G80" i="1"/>
  <c r="C80" i="1"/>
  <c r="B80" i="1"/>
  <c r="AB79" i="1"/>
  <c r="Y79" i="1"/>
  <c r="V79" i="1"/>
  <c r="S79" i="1"/>
  <c r="P79" i="1"/>
  <c r="M79" i="1"/>
  <c r="J79" i="1"/>
  <c r="G79" i="1"/>
  <c r="C79" i="1"/>
  <c r="B79" i="1"/>
  <c r="H76" i="1"/>
  <c r="AB78" i="1"/>
  <c r="Y78" i="1"/>
  <c r="V78" i="1"/>
  <c r="S78" i="1"/>
  <c r="P78" i="1"/>
  <c r="M78" i="1"/>
  <c r="J78" i="1"/>
  <c r="G78" i="1"/>
  <c r="C78" i="1"/>
  <c r="B78" i="1"/>
  <c r="AB77" i="1"/>
  <c r="Y77" i="1"/>
  <c r="V77" i="1"/>
  <c r="S77" i="1"/>
  <c r="P77" i="1"/>
  <c r="M77" i="1"/>
  <c r="J77" i="1"/>
  <c r="G77" i="1"/>
  <c r="C77" i="1"/>
  <c r="B77" i="1"/>
  <c r="AA76" i="1"/>
  <c r="Z76" i="1"/>
  <c r="Z75" i="1" s="1"/>
  <c r="X76" i="1"/>
  <c r="W76" i="1"/>
  <c r="W75" i="1" s="1"/>
  <c r="U76" i="1"/>
  <c r="T76" i="1"/>
  <c r="T75" i="1" s="1"/>
  <c r="R76" i="1"/>
  <c r="R75" i="1" s="1"/>
  <c r="Q76" i="1"/>
  <c r="Q75" i="1" s="1"/>
  <c r="K76" i="1"/>
  <c r="K75" i="1" s="1"/>
  <c r="I76" i="1"/>
  <c r="I75" i="1" s="1"/>
  <c r="AB74" i="1"/>
  <c r="Y74" i="1"/>
  <c r="V74" i="1"/>
  <c r="S74" i="1"/>
  <c r="P74" i="1"/>
  <c r="L74" i="1"/>
  <c r="K74" i="1"/>
  <c r="J74" i="1"/>
  <c r="F74" i="1"/>
  <c r="E74" i="1"/>
  <c r="AB73" i="1"/>
  <c r="Y73" i="1"/>
  <c r="V73" i="1"/>
  <c r="S73" i="1"/>
  <c r="P73" i="1"/>
  <c r="L73" i="1"/>
  <c r="M73" i="1" s="1"/>
  <c r="K73" i="1"/>
  <c r="I73" i="1"/>
  <c r="H73" i="1"/>
  <c r="G73" i="1"/>
  <c r="AB72" i="1"/>
  <c r="Y72" i="1"/>
  <c r="V72" i="1"/>
  <c r="S72" i="1"/>
  <c r="P72" i="1"/>
  <c r="M72" i="1"/>
  <c r="J72" i="1"/>
  <c r="F72" i="1"/>
  <c r="E72" i="1"/>
  <c r="B72" i="1" s="1"/>
  <c r="AB71" i="1"/>
  <c r="Y71" i="1"/>
  <c r="U71" i="1"/>
  <c r="T71" i="1"/>
  <c r="S71" i="1"/>
  <c r="P71" i="1"/>
  <c r="M71" i="1"/>
  <c r="J71" i="1"/>
  <c r="F71" i="1"/>
  <c r="E71" i="1"/>
  <c r="AB70" i="1"/>
  <c r="Y70" i="1"/>
  <c r="V70" i="1"/>
  <c r="S70" i="1"/>
  <c r="P70" i="1"/>
  <c r="M70" i="1"/>
  <c r="J70" i="1"/>
  <c r="G70" i="1"/>
  <c r="C70" i="1"/>
  <c r="B70" i="1"/>
  <c r="AB69" i="1"/>
  <c r="Y69" i="1"/>
  <c r="V69" i="1"/>
  <c r="S69" i="1"/>
  <c r="P69" i="1"/>
  <c r="L69" i="1"/>
  <c r="M69" i="1" s="1"/>
  <c r="J69" i="1"/>
  <c r="G69" i="1"/>
  <c r="B69" i="1"/>
  <c r="AB68" i="1"/>
  <c r="Y68" i="1"/>
  <c r="U68" i="1"/>
  <c r="T68" i="1"/>
  <c r="B68" i="1" s="1"/>
  <c r="S68" i="1"/>
  <c r="P68" i="1"/>
  <c r="L68" i="1"/>
  <c r="M68" i="1" s="1"/>
  <c r="J68" i="1"/>
  <c r="G68" i="1"/>
  <c r="AB67" i="1"/>
  <c r="Y67" i="1"/>
  <c r="U67" i="1"/>
  <c r="T67" i="1"/>
  <c r="B67" i="1" s="1"/>
  <c r="S67" i="1"/>
  <c r="P67" i="1"/>
  <c r="M67" i="1"/>
  <c r="J67" i="1"/>
  <c r="G67" i="1"/>
  <c r="C67" i="1"/>
  <c r="AB66" i="1"/>
  <c r="Y66" i="1"/>
  <c r="U66" i="1"/>
  <c r="U60" i="1" s="1"/>
  <c r="T66" i="1"/>
  <c r="S66" i="1"/>
  <c r="P66" i="1"/>
  <c r="M66" i="1"/>
  <c r="J66" i="1"/>
  <c r="F66" i="1"/>
  <c r="E66" i="1"/>
  <c r="B66" i="1" s="1"/>
  <c r="AB65" i="1"/>
  <c r="Y65" i="1"/>
  <c r="V65" i="1"/>
  <c r="S65" i="1"/>
  <c r="P65" i="1"/>
  <c r="M65" i="1"/>
  <c r="J65" i="1"/>
  <c r="G65" i="1"/>
  <c r="C65" i="1"/>
  <c r="B65" i="1"/>
  <c r="AA64" i="1"/>
  <c r="Z64" i="1"/>
  <c r="Z60" i="1" s="1"/>
  <c r="Z59" i="1" s="1"/>
  <c r="Y64" i="1"/>
  <c r="V64" i="1"/>
  <c r="S64" i="1"/>
  <c r="P64" i="1"/>
  <c r="M64" i="1"/>
  <c r="J64" i="1"/>
  <c r="F64" i="1"/>
  <c r="E64" i="1"/>
  <c r="B64" i="1" s="1"/>
  <c r="AB63" i="1"/>
  <c r="Y63" i="1"/>
  <c r="V63" i="1"/>
  <c r="S63" i="1"/>
  <c r="P63" i="1"/>
  <c r="L63" i="1"/>
  <c r="K63" i="1"/>
  <c r="B63" i="1" s="1"/>
  <c r="J63" i="1"/>
  <c r="G63" i="1"/>
  <c r="C63" i="1"/>
  <c r="AB62" i="1"/>
  <c r="Y62" i="1"/>
  <c r="V62" i="1"/>
  <c r="S62" i="1"/>
  <c r="P62" i="1"/>
  <c r="K62" i="1"/>
  <c r="J62" i="1"/>
  <c r="G62" i="1"/>
  <c r="C62" i="1"/>
  <c r="AB61" i="1"/>
  <c r="Y61" i="1"/>
  <c r="V61" i="1"/>
  <c r="S61" i="1"/>
  <c r="P61" i="1"/>
  <c r="M61" i="1"/>
  <c r="I61" i="1"/>
  <c r="H61" i="1"/>
  <c r="G61" i="1"/>
  <c r="X60" i="1"/>
  <c r="X59" i="1" s="1"/>
  <c r="W60" i="1"/>
  <c r="W59" i="1" s="1"/>
  <c r="R60" i="1"/>
  <c r="R59" i="1" s="1"/>
  <c r="Q60" i="1"/>
  <c r="O60" i="1"/>
  <c r="N60" i="1"/>
  <c r="N59" i="1" s="1"/>
  <c r="AA58" i="1"/>
  <c r="Y58" i="1"/>
  <c r="V58" i="1"/>
  <c r="S58" i="1"/>
  <c r="O58" i="1"/>
  <c r="O52" i="1" s="1"/>
  <c r="O51" i="1" s="1"/>
  <c r="M58" i="1"/>
  <c r="J58" i="1"/>
  <c r="G58" i="1"/>
  <c r="C58" i="1"/>
  <c r="B58" i="1"/>
  <c r="AB57" i="1"/>
  <c r="Y57" i="1"/>
  <c r="V57" i="1"/>
  <c r="R57" i="1"/>
  <c r="R52" i="1" s="1"/>
  <c r="P57" i="1"/>
  <c r="L57" i="1"/>
  <c r="M57" i="1" s="1"/>
  <c r="J57" i="1"/>
  <c r="G57" i="1"/>
  <c r="B57" i="1"/>
  <c r="AB56" i="1"/>
  <c r="Y56" i="1"/>
  <c r="V56" i="1"/>
  <c r="S56" i="1"/>
  <c r="P56" i="1"/>
  <c r="M56" i="1"/>
  <c r="J56" i="1"/>
  <c r="G56" i="1"/>
  <c r="C56" i="1"/>
  <c r="B56" i="1"/>
  <c r="AB55" i="1"/>
  <c r="Y55" i="1"/>
  <c r="V55" i="1"/>
  <c r="S55" i="1"/>
  <c r="P55" i="1"/>
  <c r="L55" i="1"/>
  <c r="M55" i="1" s="1"/>
  <c r="J55" i="1"/>
  <c r="G55" i="1"/>
  <c r="B55" i="1"/>
  <c r="AB54" i="1"/>
  <c r="Y54" i="1"/>
  <c r="V54" i="1"/>
  <c r="S54" i="1"/>
  <c r="P54" i="1"/>
  <c r="M54" i="1"/>
  <c r="J54" i="1"/>
  <c r="G54" i="1"/>
  <c r="C54" i="1"/>
  <c r="B54" i="1"/>
  <c r="AB53" i="1"/>
  <c r="Y53" i="1"/>
  <c r="V53" i="1"/>
  <c r="S53" i="1"/>
  <c r="P53" i="1"/>
  <c r="M53" i="1"/>
  <c r="J53" i="1"/>
  <c r="G53" i="1"/>
  <c r="C53" i="1"/>
  <c r="B53" i="1"/>
  <c r="Z52" i="1"/>
  <c r="Z51" i="1" s="1"/>
  <c r="X52" i="1"/>
  <c r="W52" i="1"/>
  <c r="W51" i="1" s="1"/>
  <c r="U52" i="1"/>
  <c r="U51" i="1" s="1"/>
  <c r="T52" i="1"/>
  <c r="Q52" i="1"/>
  <c r="Q51" i="1" s="1"/>
  <c r="N52" i="1"/>
  <c r="K52" i="1"/>
  <c r="K51" i="1" s="1"/>
  <c r="I52" i="1"/>
  <c r="I51" i="1" s="1"/>
  <c r="H52" i="1"/>
  <c r="H51" i="1" s="1"/>
  <c r="F52" i="1"/>
  <c r="E52" i="1"/>
  <c r="E51" i="1" s="1"/>
  <c r="AB50" i="1"/>
  <c r="Y50" i="1"/>
  <c r="V50" i="1"/>
  <c r="R50" i="1"/>
  <c r="P50" i="1"/>
  <c r="M50" i="1"/>
  <c r="J50" i="1"/>
  <c r="G50" i="1"/>
  <c r="B50" i="1"/>
  <c r="AB49" i="1"/>
  <c r="Y49" i="1"/>
  <c r="V49" i="1"/>
  <c r="S49" i="1"/>
  <c r="P49" i="1"/>
  <c r="M49" i="1"/>
  <c r="J49" i="1"/>
  <c r="G49" i="1"/>
  <c r="C49" i="1"/>
  <c r="B49" i="1"/>
  <c r="AA48" i="1"/>
  <c r="AB48" i="1" s="1"/>
  <c r="Y48" i="1"/>
  <c r="V48" i="1"/>
  <c r="R48" i="1"/>
  <c r="Q48" i="1"/>
  <c r="B48" i="1" s="1"/>
  <c r="P48" i="1"/>
  <c r="M48" i="1"/>
  <c r="J48" i="1"/>
  <c r="G48" i="1"/>
  <c r="Z47" i="1"/>
  <c r="Z46" i="1" s="1"/>
  <c r="X47" i="1"/>
  <c r="W47" i="1"/>
  <c r="W46" i="1" s="1"/>
  <c r="U47" i="1"/>
  <c r="T47" i="1"/>
  <c r="T46" i="1" s="1"/>
  <c r="O47" i="1"/>
  <c r="N47" i="1"/>
  <c r="N46" i="1" s="1"/>
  <c r="L47" i="1"/>
  <c r="K47" i="1"/>
  <c r="K46" i="1" s="1"/>
  <c r="I47" i="1"/>
  <c r="H47" i="1"/>
  <c r="H46" i="1" s="1"/>
  <c r="F47" i="1"/>
  <c r="F46" i="1" s="1"/>
  <c r="E47" i="1"/>
  <c r="O46" i="1"/>
  <c r="AB45" i="1"/>
  <c r="Y45" i="1"/>
  <c r="V45" i="1"/>
  <c r="S45" i="1"/>
  <c r="P45" i="1"/>
  <c r="M45" i="1"/>
  <c r="J45" i="1"/>
  <c r="G45" i="1"/>
  <c r="C45" i="1"/>
  <c r="B45" i="1"/>
  <c r="AB44" i="1"/>
  <c r="Y44" i="1"/>
  <c r="V44" i="1"/>
  <c r="S44" i="1"/>
  <c r="P44" i="1"/>
  <c r="M44" i="1"/>
  <c r="J44" i="1"/>
  <c r="G44" i="1"/>
  <c r="C44" i="1"/>
  <c r="B44" i="1"/>
  <c r="AB43" i="1"/>
  <c r="Y43" i="1"/>
  <c r="V43" i="1"/>
  <c r="S43" i="1"/>
  <c r="P43" i="1"/>
  <c r="L43" i="1"/>
  <c r="M43" i="1" s="1"/>
  <c r="J43" i="1"/>
  <c r="G43" i="1"/>
  <c r="B43" i="1"/>
  <c r="AB42" i="1"/>
  <c r="Y42" i="1"/>
  <c r="U42" i="1"/>
  <c r="T42" i="1"/>
  <c r="T37" i="1" s="1"/>
  <c r="T36" i="1" s="1"/>
  <c r="S42" i="1"/>
  <c r="P42" i="1"/>
  <c r="M42" i="1"/>
  <c r="J42" i="1"/>
  <c r="F42" i="1"/>
  <c r="C42" i="1" s="1"/>
  <c r="E42" i="1"/>
  <c r="AB41" i="1"/>
  <c r="Y41" i="1"/>
  <c r="V41" i="1"/>
  <c r="S41" i="1"/>
  <c r="P41" i="1"/>
  <c r="M41" i="1"/>
  <c r="J41" i="1"/>
  <c r="G41" i="1"/>
  <c r="C41" i="1"/>
  <c r="B41" i="1"/>
  <c r="AB40" i="1"/>
  <c r="Y40" i="1"/>
  <c r="V40" i="1"/>
  <c r="S40" i="1"/>
  <c r="P40" i="1"/>
  <c r="M40" i="1"/>
  <c r="J40" i="1"/>
  <c r="G40" i="1"/>
  <c r="C40" i="1"/>
  <c r="B40" i="1"/>
  <c r="AB39" i="1"/>
  <c r="Y39" i="1"/>
  <c r="V39" i="1"/>
  <c r="S39" i="1"/>
  <c r="P39" i="1"/>
  <c r="M39" i="1"/>
  <c r="J39" i="1"/>
  <c r="G39" i="1"/>
  <c r="C39" i="1"/>
  <c r="B39" i="1"/>
  <c r="AA38" i="1"/>
  <c r="Z38" i="1"/>
  <c r="Z37" i="1" s="1"/>
  <c r="Z36" i="1" s="1"/>
  <c r="X38" i="1"/>
  <c r="W38" i="1"/>
  <c r="W37" i="1" s="1"/>
  <c r="W36" i="1" s="1"/>
  <c r="V38" i="1"/>
  <c r="S38" i="1"/>
  <c r="P38" i="1"/>
  <c r="M38" i="1"/>
  <c r="J38" i="1"/>
  <c r="G38" i="1"/>
  <c r="R37" i="1"/>
  <c r="Q37" i="1"/>
  <c r="Q36" i="1" s="1"/>
  <c r="O37" i="1"/>
  <c r="O36" i="1" s="1"/>
  <c r="N37" i="1"/>
  <c r="K37" i="1"/>
  <c r="K36" i="1" s="1"/>
  <c r="I37" i="1"/>
  <c r="I36" i="1" s="1"/>
  <c r="H37" i="1"/>
  <c r="H36" i="1" s="1"/>
  <c r="AA35" i="1"/>
  <c r="Z35" i="1"/>
  <c r="AB35" i="1" s="1"/>
  <c r="X35" i="1"/>
  <c r="W35" i="1"/>
  <c r="W23" i="1" s="1"/>
  <c r="W22" i="1" s="1"/>
  <c r="U35" i="1"/>
  <c r="T35" i="1"/>
  <c r="S35" i="1"/>
  <c r="P35" i="1"/>
  <c r="M35" i="1"/>
  <c r="J35" i="1"/>
  <c r="G35" i="1"/>
  <c r="AB34" i="1"/>
  <c r="Y34" i="1"/>
  <c r="U34" i="1"/>
  <c r="T34" i="1"/>
  <c r="S34" i="1"/>
  <c r="P34" i="1"/>
  <c r="M34" i="1"/>
  <c r="J34" i="1"/>
  <c r="F34" i="1"/>
  <c r="E34" i="1"/>
  <c r="AB33" i="1"/>
  <c r="Y33" i="1"/>
  <c r="U33" i="1"/>
  <c r="T33" i="1"/>
  <c r="B33" i="1" s="1"/>
  <c r="S33" i="1"/>
  <c r="P33" i="1"/>
  <c r="M33" i="1"/>
  <c r="J33" i="1"/>
  <c r="G33" i="1"/>
  <c r="AB32" i="1"/>
  <c r="Y32" i="1"/>
  <c r="V32" i="1"/>
  <c r="S32" i="1"/>
  <c r="P32" i="1"/>
  <c r="M32" i="1"/>
  <c r="J32" i="1"/>
  <c r="G32" i="1"/>
  <c r="C32" i="1"/>
  <c r="B32" i="1"/>
  <c r="AB31" i="1"/>
  <c r="Y31" i="1"/>
  <c r="V31" i="1"/>
  <c r="S31" i="1"/>
  <c r="P31" i="1"/>
  <c r="M31" i="1"/>
  <c r="J31" i="1"/>
  <c r="G31" i="1"/>
  <c r="C31" i="1"/>
  <c r="B31" i="1"/>
  <c r="AB30" i="1"/>
  <c r="Y30" i="1"/>
  <c r="V30" i="1"/>
  <c r="S30" i="1"/>
  <c r="P30" i="1"/>
  <c r="M30" i="1"/>
  <c r="J30" i="1"/>
  <c r="G30" i="1"/>
  <c r="C30" i="1"/>
  <c r="B30" i="1"/>
  <c r="AB29" i="1"/>
  <c r="Y29" i="1"/>
  <c r="V29" i="1"/>
  <c r="S29" i="1"/>
  <c r="P29" i="1"/>
  <c r="M29" i="1"/>
  <c r="J29" i="1"/>
  <c r="G29" i="1"/>
  <c r="C29" i="1"/>
  <c r="B29" i="1"/>
  <c r="AB28" i="1"/>
  <c r="Y28" i="1"/>
  <c r="V28" i="1"/>
  <c r="R28" i="1"/>
  <c r="Q28" i="1"/>
  <c r="Q23" i="1" s="1"/>
  <c r="Q22" i="1" s="1"/>
  <c r="P28" i="1"/>
  <c r="M28" i="1"/>
  <c r="J28" i="1"/>
  <c r="G28" i="1"/>
  <c r="AB27" i="1"/>
  <c r="Y27" i="1"/>
  <c r="V27" i="1"/>
  <c r="R27" i="1"/>
  <c r="C27" i="1" s="1"/>
  <c r="P27" i="1"/>
  <c r="M27" i="1"/>
  <c r="J27" i="1"/>
  <c r="G27" i="1"/>
  <c r="B27" i="1"/>
  <c r="AB26" i="1"/>
  <c r="Y26" i="1"/>
  <c r="V26" i="1"/>
  <c r="R26" i="1"/>
  <c r="C26" i="1" s="1"/>
  <c r="P26" i="1"/>
  <c r="M26" i="1"/>
  <c r="J26" i="1"/>
  <c r="G26" i="1"/>
  <c r="B26" i="1"/>
  <c r="AA25" i="1"/>
  <c r="Y25" i="1"/>
  <c r="V25" i="1"/>
  <c r="R25" i="1"/>
  <c r="P25" i="1"/>
  <c r="M25" i="1"/>
  <c r="J25" i="1"/>
  <c r="G25" i="1"/>
  <c r="B25" i="1"/>
  <c r="AA24" i="1"/>
  <c r="Z24" i="1"/>
  <c r="Z23" i="1" s="1"/>
  <c r="Z22" i="1" s="1"/>
  <c r="Y24" i="1"/>
  <c r="V24" i="1"/>
  <c r="S24" i="1"/>
  <c r="P24" i="1"/>
  <c r="M24" i="1"/>
  <c r="J24" i="1"/>
  <c r="G24" i="1"/>
  <c r="B24" i="1"/>
  <c r="O23" i="1"/>
  <c r="N23" i="1"/>
  <c r="N22" i="1" s="1"/>
  <c r="L23" i="1"/>
  <c r="L22" i="1" s="1"/>
  <c r="K23" i="1"/>
  <c r="K22" i="1" s="1"/>
  <c r="I23" i="1"/>
  <c r="H23" i="1"/>
  <c r="H22" i="1" s="1"/>
  <c r="E23" i="1"/>
  <c r="AB21" i="1"/>
  <c r="Y21" i="1"/>
  <c r="V21" i="1"/>
  <c r="S21" i="1"/>
  <c r="P21" i="1"/>
  <c r="M21" i="1"/>
  <c r="I21" i="1"/>
  <c r="C21" i="1" s="1"/>
  <c r="H21" i="1"/>
  <c r="B21" i="1" s="1"/>
  <c r="G21" i="1"/>
  <c r="AB20" i="1"/>
  <c r="Y20" i="1"/>
  <c r="V20" i="1"/>
  <c r="S20" i="1"/>
  <c r="P20" i="1"/>
  <c r="M20" i="1"/>
  <c r="J20" i="1"/>
  <c r="F20" i="1"/>
  <c r="B20" i="1"/>
  <c r="AB19" i="1"/>
  <c r="Y19" i="1"/>
  <c r="V19" i="1"/>
  <c r="S19" i="1"/>
  <c r="P19" i="1"/>
  <c r="M19" i="1"/>
  <c r="J19" i="1"/>
  <c r="F19" i="1"/>
  <c r="E19" i="1"/>
  <c r="E11" i="1" s="1"/>
  <c r="AB18" i="1"/>
  <c r="Y18" i="1"/>
  <c r="V18" i="1"/>
  <c r="S18" i="1"/>
  <c r="P18" i="1"/>
  <c r="M18" i="1"/>
  <c r="J18" i="1"/>
  <c r="G18" i="1"/>
  <c r="C18" i="1"/>
  <c r="B18" i="1"/>
  <c r="AB17" i="1"/>
  <c r="Y17" i="1"/>
  <c r="V17" i="1"/>
  <c r="S17" i="1"/>
  <c r="P17" i="1"/>
  <c r="L17" i="1"/>
  <c r="K17" i="1"/>
  <c r="K11" i="1" s="1"/>
  <c r="K10" i="1" s="1"/>
  <c r="J17" i="1"/>
  <c r="G17" i="1"/>
  <c r="AB16" i="1"/>
  <c r="Y16" i="1"/>
  <c r="V16" i="1"/>
  <c r="S16" i="1"/>
  <c r="P16" i="1"/>
  <c r="M16" i="1"/>
  <c r="J16" i="1"/>
  <c r="G16" i="1"/>
  <c r="C16" i="1"/>
  <c r="B16" i="1"/>
  <c r="AB15" i="1"/>
  <c r="Y15" i="1"/>
  <c r="V15" i="1"/>
  <c r="S15" i="1"/>
  <c r="P15" i="1"/>
  <c r="M15" i="1"/>
  <c r="J15" i="1"/>
  <c r="G15" i="1"/>
  <c r="C15" i="1"/>
  <c r="B15" i="1"/>
  <c r="AB14" i="1"/>
  <c r="Y14" i="1"/>
  <c r="V14" i="1"/>
  <c r="S14" i="1"/>
  <c r="P14" i="1"/>
  <c r="M14" i="1"/>
  <c r="J14" i="1"/>
  <c r="G14" i="1"/>
  <c r="C14" i="1"/>
  <c r="B14" i="1"/>
  <c r="AB13" i="1"/>
  <c r="Y13" i="1"/>
  <c r="V13" i="1"/>
  <c r="S13" i="1"/>
  <c r="P13" i="1"/>
  <c r="M13" i="1"/>
  <c r="J13" i="1"/>
  <c r="G13" i="1"/>
  <c r="C13" i="1"/>
  <c r="B13" i="1"/>
  <c r="AB12" i="1"/>
  <c r="Y12" i="1"/>
  <c r="V12" i="1"/>
  <c r="S12" i="1"/>
  <c r="P12" i="1"/>
  <c r="M12" i="1"/>
  <c r="J12" i="1"/>
  <c r="G12" i="1"/>
  <c r="C12" i="1"/>
  <c r="B12" i="1"/>
  <c r="AA11" i="1"/>
  <c r="AA10" i="1" s="1"/>
  <c r="Z11" i="1"/>
  <c r="Z10" i="1" s="1"/>
  <c r="X11" i="1"/>
  <c r="W11" i="1"/>
  <c r="W10" i="1" s="1"/>
  <c r="U11" i="1"/>
  <c r="U10" i="1" s="1"/>
  <c r="T11" i="1"/>
  <c r="R11" i="1"/>
  <c r="Q11" i="1"/>
  <c r="Q10" i="1" s="1"/>
  <c r="O11" i="1"/>
  <c r="O10" i="1" s="1"/>
  <c r="N11" i="1"/>
  <c r="N10" i="1" s="1"/>
  <c r="L11" i="1"/>
  <c r="AB89" i="1" l="1"/>
  <c r="B311" i="1"/>
  <c r="B17" i="1"/>
  <c r="M17" i="1"/>
  <c r="V33" i="1"/>
  <c r="C34" i="1"/>
  <c r="C273" i="1"/>
  <c r="J277" i="1"/>
  <c r="V279" i="1"/>
  <c r="G299" i="1"/>
  <c r="G313" i="1"/>
  <c r="C33" i="1"/>
  <c r="C35" i="1"/>
  <c r="Q47" i="1"/>
  <c r="Q46" i="1" s="1"/>
  <c r="AB97" i="1"/>
  <c r="P196" i="1"/>
  <c r="S228" i="1"/>
  <c r="Y243" i="1"/>
  <c r="P246" i="1"/>
  <c r="U265" i="1"/>
  <c r="M292" i="1"/>
  <c r="S26" i="1"/>
  <c r="G42" i="1"/>
  <c r="X23" i="1"/>
  <c r="X22" i="1" s="1"/>
  <c r="Y22" i="1" s="1"/>
  <c r="F37" i="1"/>
  <c r="F36" i="1" s="1"/>
  <c r="L37" i="1"/>
  <c r="H60" i="1"/>
  <c r="H59" i="1" s="1"/>
  <c r="F99" i="1"/>
  <c r="G99" i="1" s="1"/>
  <c r="B112" i="1"/>
  <c r="M112" i="1"/>
  <c r="K195" i="1"/>
  <c r="Y246" i="1"/>
  <c r="C258" i="1"/>
  <c r="M305" i="1"/>
  <c r="C55" i="1"/>
  <c r="J102" i="1"/>
  <c r="D102" i="1" s="1"/>
  <c r="B148" i="1"/>
  <c r="M148" i="1"/>
  <c r="B34" i="1"/>
  <c r="AB285" i="1"/>
  <c r="AB99" i="1"/>
  <c r="P188" i="1"/>
  <c r="G235" i="1"/>
  <c r="P248" i="1"/>
  <c r="P253" i="1"/>
  <c r="P314" i="1"/>
  <c r="V314" i="1"/>
  <c r="AB314" i="1"/>
  <c r="K317" i="1"/>
  <c r="Z328" i="1"/>
  <c r="D161" i="1"/>
  <c r="D105" i="1"/>
  <c r="D95" i="1"/>
  <c r="J183" i="1"/>
  <c r="X245" i="1"/>
  <c r="Y320" i="1"/>
  <c r="S27" i="1"/>
  <c r="D27" i="1" s="1"/>
  <c r="B28" i="1"/>
  <c r="V35" i="1"/>
  <c r="J36" i="1"/>
  <c r="Y38" i="1"/>
  <c r="AA47" i="1"/>
  <c r="AA46" i="1" s="1"/>
  <c r="L52" i="1"/>
  <c r="M52" i="1" s="1"/>
  <c r="M63" i="1"/>
  <c r="D63" i="1" s="1"/>
  <c r="C71" i="1"/>
  <c r="C73" i="1"/>
  <c r="C89" i="1"/>
  <c r="Z91" i="1"/>
  <c r="C102" i="1"/>
  <c r="Q106" i="1"/>
  <c r="J119" i="1"/>
  <c r="S189" i="1"/>
  <c r="D189" i="1" s="1"/>
  <c r="C217" i="1"/>
  <c r="Q235" i="1"/>
  <c r="V272" i="1"/>
  <c r="D272" i="1" s="1"/>
  <c r="AB294" i="1"/>
  <c r="G306" i="1"/>
  <c r="M306" i="1"/>
  <c r="S310" i="1"/>
  <c r="S318" i="1"/>
  <c r="C292" i="1"/>
  <c r="E87" i="1"/>
  <c r="AA87" i="1"/>
  <c r="AB87" i="1" s="1"/>
  <c r="M94" i="1"/>
  <c r="D94" i="1" s="1"/>
  <c r="J97" i="1"/>
  <c r="Q183" i="1"/>
  <c r="Q176" i="1" s="1"/>
  <c r="B189" i="1"/>
  <c r="S202" i="1"/>
  <c r="D202" i="1" s="1"/>
  <c r="C228" i="1"/>
  <c r="D242" i="1"/>
  <c r="L257" i="1"/>
  <c r="M257" i="1" s="1"/>
  <c r="C338" i="1"/>
  <c r="D33" i="1"/>
  <c r="G81" i="1"/>
  <c r="D81" i="1" s="1"/>
  <c r="E106" i="1"/>
  <c r="P174" i="1"/>
  <c r="V196" i="1"/>
  <c r="N230" i="1"/>
  <c r="N195" i="1" s="1"/>
  <c r="AB246" i="1"/>
  <c r="D264" i="1"/>
  <c r="L289" i="1"/>
  <c r="AB306" i="1"/>
  <c r="M320" i="1"/>
  <c r="G338" i="1"/>
  <c r="D165" i="1"/>
  <c r="D171" i="1"/>
  <c r="D173" i="1"/>
  <c r="F118" i="1"/>
  <c r="G177" i="1"/>
  <c r="D219" i="1"/>
  <c r="D283" i="1"/>
  <c r="P285" i="1"/>
  <c r="V306" i="1"/>
  <c r="D339" i="1"/>
  <c r="G342" i="1"/>
  <c r="F91" i="1"/>
  <c r="D122" i="1"/>
  <c r="D124" i="1"/>
  <c r="H176" i="1"/>
  <c r="D179" i="1"/>
  <c r="J181" i="1"/>
  <c r="J235" i="1"/>
  <c r="D238" i="1"/>
  <c r="S248" i="1"/>
  <c r="P257" i="1"/>
  <c r="J310" i="1"/>
  <c r="D319" i="1"/>
  <c r="B320" i="1"/>
  <c r="J322" i="1"/>
  <c r="Q317" i="1"/>
  <c r="AB325" i="1"/>
  <c r="V76" i="1"/>
  <c r="Y87" i="1"/>
  <c r="D145" i="1"/>
  <c r="D147" i="1"/>
  <c r="T176" i="1"/>
  <c r="S11" i="1"/>
  <c r="G104" i="1"/>
  <c r="S104" i="1"/>
  <c r="O106" i="1"/>
  <c r="W106" i="1"/>
  <c r="Y109" i="1"/>
  <c r="AA106" i="1"/>
  <c r="P119" i="1"/>
  <c r="V119" i="1"/>
  <c r="AA118" i="1"/>
  <c r="J107" i="1"/>
  <c r="P114" i="1"/>
  <c r="G181" i="1"/>
  <c r="M181" i="1"/>
  <c r="S181" i="1"/>
  <c r="D222" i="1"/>
  <c r="Y230" i="1"/>
  <c r="S243" i="1"/>
  <c r="V248" i="1"/>
  <c r="D249" i="1"/>
  <c r="S257" i="1"/>
  <c r="Y257" i="1"/>
  <c r="AB320" i="1"/>
  <c r="AA317" i="1"/>
  <c r="G330" i="1"/>
  <c r="D40" i="1"/>
  <c r="U75" i="1"/>
  <c r="V75" i="1" s="1"/>
  <c r="AB76" i="1"/>
  <c r="D93" i="1"/>
  <c r="M97" i="1"/>
  <c r="D136" i="1"/>
  <c r="D156" i="1"/>
  <c r="D169" i="1"/>
  <c r="J188" i="1"/>
  <c r="Y188" i="1"/>
  <c r="M209" i="1"/>
  <c r="D224" i="1"/>
  <c r="D254" i="1"/>
  <c r="J285" i="1"/>
  <c r="J289" i="1"/>
  <c r="Y289" i="1"/>
  <c r="D304" i="1"/>
  <c r="V325" i="1"/>
  <c r="S330" i="1"/>
  <c r="D44" i="1"/>
  <c r="D103" i="1"/>
  <c r="C104" i="1"/>
  <c r="N91" i="1"/>
  <c r="J114" i="1"/>
  <c r="E118" i="1"/>
  <c r="D131" i="1"/>
  <c r="M138" i="1"/>
  <c r="S138" i="1"/>
  <c r="D159" i="1"/>
  <c r="D163" i="1"/>
  <c r="AB181" i="1"/>
  <c r="AB183" i="1"/>
  <c r="D187" i="1"/>
  <c r="AB196" i="1"/>
  <c r="G230" i="1"/>
  <c r="M230" i="1"/>
  <c r="AB230" i="1"/>
  <c r="V235" i="1"/>
  <c r="AB235" i="1"/>
  <c r="M243" i="1"/>
  <c r="D250" i="1"/>
  <c r="D256" i="1"/>
  <c r="D259" i="1"/>
  <c r="D263" i="1"/>
  <c r="D267" i="1"/>
  <c r="D278" i="1"/>
  <c r="D302" i="1"/>
  <c r="P306" i="1"/>
  <c r="Y314" i="1"/>
  <c r="P318" i="1"/>
  <c r="M322" i="1"/>
  <c r="W317" i="1"/>
  <c r="J334" i="1"/>
  <c r="V334" i="1"/>
  <c r="D336" i="1"/>
  <c r="Y338" i="1"/>
  <c r="D343" i="1"/>
  <c r="W328" i="1"/>
  <c r="D30" i="1"/>
  <c r="D79" i="1"/>
  <c r="S97" i="1"/>
  <c r="G209" i="1"/>
  <c r="D215" i="1"/>
  <c r="AB243" i="1"/>
  <c r="B246" i="1"/>
  <c r="V246" i="1"/>
  <c r="AB257" i="1"/>
  <c r="D262" i="1"/>
  <c r="D270" i="1"/>
  <c r="P325" i="1"/>
  <c r="Y330" i="1"/>
  <c r="P11" i="1"/>
  <c r="AB11" i="1"/>
  <c r="D15" i="1"/>
  <c r="D26" i="1"/>
  <c r="AB46" i="1"/>
  <c r="D65" i="1"/>
  <c r="K91" i="1"/>
  <c r="S92" i="1"/>
  <c r="V97" i="1"/>
  <c r="H106" i="1"/>
  <c r="D111" i="1"/>
  <c r="D116" i="1"/>
  <c r="P138" i="1"/>
  <c r="AB138" i="1"/>
  <c r="D150" i="1"/>
  <c r="V162" i="1"/>
  <c r="AB162" i="1"/>
  <c r="Y183" i="1"/>
  <c r="J196" i="1"/>
  <c r="W195" i="1"/>
  <c r="D205" i="1"/>
  <c r="D207" i="1"/>
  <c r="I195" i="1"/>
  <c r="V209" i="1"/>
  <c r="S246" i="1"/>
  <c r="D252" i="1"/>
  <c r="M253" i="1"/>
  <c r="Y253" i="1"/>
  <c r="D274" i="1"/>
  <c r="D276" i="1"/>
  <c r="D280" i="1"/>
  <c r="D293" i="1"/>
  <c r="D295" i="1"/>
  <c r="S320" i="1"/>
  <c r="U317" i="1"/>
  <c r="AB322" i="1"/>
  <c r="S325" i="1"/>
  <c r="X329" i="1"/>
  <c r="V335" i="1"/>
  <c r="V342" i="1"/>
  <c r="P46" i="1"/>
  <c r="H11" i="1"/>
  <c r="H10" i="1" s="1"/>
  <c r="D17" i="1"/>
  <c r="U23" i="1"/>
  <c r="U22" i="1" s="1"/>
  <c r="AA60" i="1"/>
  <c r="AA59" i="1" s="1"/>
  <c r="AB59" i="1" s="1"/>
  <c r="AB64" i="1"/>
  <c r="S220" i="1"/>
  <c r="D220" i="1" s="1"/>
  <c r="C220" i="1"/>
  <c r="C227" i="1"/>
  <c r="S227" i="1"/>
  <c r="D227" i="1" s="1"/>
  <c r="O322" i="1"/>
  <c r="P322" i="1" s="1"/>
  <c r="C323" i="1"/>
  <c r="P323" i="1"/>
  <c r="D323" i="1" s="1"/>
  <c r="Z9" i="1"/>
  <c r="D13" i="1"/>
  <c r="J61" i="1"/>
  <c r="D61" i="1" s="1"/>
  <c r="S75" i="1"/>
  <c r="J138" i="1"/>
  <c r="D151" i="1"/>
  <c r="D172" i="1"/>
  <c r="M23" i="1"/>
  <c r="S50" i="1"/>
  <c r="D50" i="1" s="1"/>
  <c r="C50" i="1"/>
  <c r="C83" i="1"/>
  <c r="G83" i="1"/>
  <c r="D113" i="1"/>
  <c r="T114" i="1"/>
  <c r="B114" i="1" s="1"/>
  <c r="M130" i="1"/>
  <c r="C137" i="1"/>
  <c r="S137" i="1"/>
  <c r="D137" i="1" s="1"/>
  <c r="W141" i="1"/>
  <c r="W118" i="1" s="1"/>
  <c r="Y155" i="1"/>
  <c r="D155" i="1" s="1"/>
  <c r="X176" i="1"/>
  <c r="L183" i="1"/>
  <c r="M183" i="1" s="1"/>
  <c r="M184" i="1"/>
  <c r="C184" i="1"/>
  <c r="L265" i="1"/>
  <c r="M265" i="1" s="1"/>
  <c r="M277" i="1"/>
  <c r="D277" i="1" s="1"/>
  <c r="J294" i="1"/>
  <c r="I288" i="1"/>
  <c r="B300" i="1"/>
  <c r="K294" i="1"/>
  <c r="L342" i="1"/>
  <c r="L341" i="1" s="1"/>
  <c r="M341" i="1" s="1"/>
  <c r="M344" i="1"/>
  <c r="D344" i="1" s="1"/>
  <c r="C24" i="1"/>
  <c r="AB24" i="1"/>
  <c r="D24" i="1" s="1"/>
  <c r="D31" i="1"/>
  <c r="V34" i="1"/>
  <c r="Y35" i="1"/>
  <c r="AB47" i="1"/>
  <c r="Y59" i="1"/>
  <c r="B61" i="1"/>
  <c r="C92" i="1"/>
  <c r="G92" i="1"/>
  <c r="I99" i="1"/>
  <c r="I91" i="1" s="1"/>
  <c r="J100" i="1"/>
  <c r="D100" i="1" s="1"/>
  <c r="C100" i="1"/>
  <c r="V107" i="1"/>
  <c r="D127" i="1"/>
  <c r="C178" i="1"/>
  <c r="S178" i="1"/>
  <c r="D178" i="1" s="1"/>
  <c r="S184" i="1"/>
  <c r="R183" i="1"/>
  <c r="D12" i="1"/>
  <c r="P47" i="1"/>
  <c r="C61" i="1"/>
  <c r="Y97" i="1"/>
  <c r="D16" i="1"/>
  <c r="D18" i="1"/>
  <c r="B19" i="1"/>
  <c r="AB38" i="1"/>
  <c r="D43" i="1"/>
  <c r="J52" i="1"/>
  <c r="D54" i="1"/>
  <c r="P60" i="1"/>
  <c r="B62" i="1"/>
  <c r="K60" i="1"/>
  <c r="K59" i="1" s="1"/>
  <c r="K9" i="1" s="1"/>
  <c r="M62" i="1"/>
  <c r="D62" i="1" s="1"/>
  <c r="D70" i="1"/>
  <c r="G71" i="1"/>
  <c r="D77" i="1"/>
  <c r="D78" i="1"/>
  <c r="D80" i="1"/>
  <c r="Q91" i="1"/>
  <c r="W91" i="1"/>
  <c r="B97" i="1"/>
  <c r="Y104" i="1"/>
  <c r="Y107" i="1"/>
  <c r="D133" i="1"/>
  <c r="X138" i="1"/>
  <c r="Y138" i="1" s="1"/>
  <c r="C139" i="1"/>
  <c r="D140" i="1"/>
  <c r="H118" i="1"/>
  <c r="S162" i="1"/>
  <c r="P23" i="1"/>
  <c r="S28" i="1"/>
  <c r="D28" i="1" s="1"/>
  <c r="D39" i="1"/>
  <c r="Y60" i="1"/>
  <c r="C68" i="1"/>
  <c r="D69" i="1"/>
  <c r="B73" i="1"/>
  <c r="B74" i="1"/>
  <c r="M74" i="1"/>
  <c r="P83" i="1"/>
  <c r="D84" i="1"/>
  <c r="M99" i="1"/>
  <c r="S99" i="1"/>
  <c r="Y99" i="1"/>
  <c r="J104" i="1"/>
  <c r="P104" i="1"/>
  <c r="V109" i="1"/>
  <c r="Y114" i="1"/>
  <c r="V117" i="1"/>
  <c r="D117" i="1" s="1"/>
  <c r="T118" i="1"/>
  <c r="Y119" i="1"/>
  <c r="D123" i="1"/>
  <c r="D132" i="1"/>
  <c r="D135" i="1"/>
  <c r="V138" i="1"/>
  <c r="I118" i="1"/>
  <c r="AB141" i="1"/>
  <c r="D142" i="1"/>
  <c r="D146" i="1"/>
  <c r="D148" i="1"/>
  <c r="D157" i="1"/>
  <c r="Y162" i="1"/>
  <c r="J174" i="1"/>
  <c r="AB174" i="1"/>
  <c r="V181" i="1"/>
  <c r="C199" i="1"/>
  <c r="S199" i="1"/>
  <c r="D199" i="1" s="1"/>
  <c r="D228" i="1"/>
  <c r="S253" i="1"/>
  <c r="Q245" i="1"/>
  <c r="D287" i="1"/>
  <c r="V289" i="1"/>
  <c r="AA334" i="1"/>
  <c r="AB334" i="1" s="1"/>
  <c r="AB335" i="1"/>
  <c r="J21" i="1"/>
  <c r="D21" i="1" s="1"/>
  <c r="M22" i="1"/>
  <c r="T23" i="1"/>
  <c r="T22" i="1" s="1"/>
  <c r="G34" i="1"/>
  <c r="D34" i="1" s="1"/>
  <c r="AA37" i="1"/>
  <c r="B38" i="1"/>
  <c r="D41" i="1"/>
  <c r="C43" i="1"/>
  <c r="M47" i="1"/>
  <c r="D49" i="1"/>
  <c r="D56" i="1"/>
  <c r="P58" i="1"/>
  <c r="V68" i="1"/>
  <c r="D68" i="1" s="1"/>
  <c r="C69" i="1"/>
  <c r="B71" i="1"/>
  <c r="V71" i="1"/>
  <c r="F76" i="1"/>
  <c r="F75" i="1" s="1"/>
  <c r="Y86" i="1"/>
  <c r="D96" i="1"/>
  <c r="D98" i="1"/>
  <c r="P99" i="1"/>
  <c r="T91" i="1"/>
  <c r="M104" i="1"/>
  <c r="V104" i="1"/>
  <c r="AB104" i="1"/>
  <c r="P109" i="1"/>
  <c r="AB109" i="1"/>
  <c r="M114" i="1"/>
  <c r="S114" i="1"/>
  <c r="AB114" i="1"/>
  <c r="D115" i="1"/>
  <c r="C117" i="1"/>
  <c r="D121" i="1"/>
  <c r="D125" i="1"/>
  <c r="D129" i="1"/>
  <c r="D130" i="1"/>
  <c r="D144" i="1"/>
  <c r="D160" i="1"/>
  <c r="P162" i="1"/>
  <c r="D166" i="1"/>
  <c r="G174" i="1"/>
  <c r="K174" i="1"/>
  <c r="B174" i="1" s="1"/>
  <c r="M177" i="1"/>
  <c r="D182" i="1"/>
  <c r="D258" i="1"/>
  <c r="D260" i="1"/>
  <c r="G294" i="1"/>
  <c r="V294" i="1"/>
  <c r="U288" i="1"/>
  <c r="Q341" i="1"/>
  <c r="S341" i="1" s="1"/>
  <c r="S342" i="1"/>
  <c r="G183" i="1"/>
  <c r="B188" i="1"/>
  <c r="V188" i="1"/>
  <c r="Z195" i="1"/>
  <c r="R196" i="1"/>
  <c r="C196" i="1" s="1"/>
  <c r="D206" i="1"/>
  <c r="D208" i="1"/>
  <c r="D216" i="1"/>
  <c r="V230" i="1"/>
  <c r="P235" i="1"/>
  <c r="Y235" i="1"/>
  <c r="D237" i="1"/>
  <c r="D239" i="1"/>
  <c r="D240" i="1"/>
  <c r="P243" i="1"/>
  <c r="M246" i="1"/>
  <c r="J265" i="1"/>
  <c r="P265" i="1"/>
  <c r="T265" i="1"/>
  <c r="V273" i="1"/>
  <c r="M285" i="1"/>
  <c r="S285" i="1"/>
  <c r="Y285" i="1"/>
  <c r="AB289" i="1"/>
  <c r="R288" i="1"/>
  <c r="Y294" i="1"/>
  <c r="D297" i="1"/>
  <c r="M300" i="1"/>
  <c r="D300" i="1" s="1"/>
  <c r="D301" i="1"/>
  <c r="D303" i="1"/>
  <c r="D305" i="1"/>
  <c r="S306" i="1"/>
  <c r="D309" i="1"/>
  <c r="P310" i="1"/>
  <c r="AB310" i="1"/>
  <c r="AB318" i="1"/>
  <c r="V320" i="1"/>
  <c r="Y325" i="1"/>
  <c r="D327" i="1"/>
  <c r="D331" i="1"/>
  <c r="D333" i="1"/>
  <c r="M335" i="1"/>
  <c r="D185" i="1"/>
  <c r="D201" i="1"/>
  <c r="D211" i="1"/>
  <c r="D221" i="1"/>
  <c r="D233" i="1"/>
  <c r="B235" i="1"/>
  <c r="D244" i="1"/>
  <c r="J246" i="1"/>
  <c r="D268" i="1"/>
  <c r="C271" i="1"/>
  <c r="N288" i="1"/>
  <c r="S294" i="1"/>
  <c r="D296" i="1"/>
  <c r="D298" i="1"/>
  <c r="D308" i="1"/>
  <c r="G318" i="1"/>
  <c r="Y322" i="1"/>
  <c r="D326" i="1"/>
  <c r="D332" i="1"/>
  <c r="P183" i="1"/>
  <c r="B187" i="1"/>
  <c r="D190" i="1"/>
  <c r="D198" i="1"/>
  <c r="S200" i="1"/>
  <c r="D200" i="1" s="1"/>
  <c r="D203" i="1"/>
  <c r="Y209" i="1"/>
  <c r="D210" i="1"/>
  <c r="P212" i="1"/>
  <c r="D212" i="1" s="1"/>
  <c r="D213" i="1"/>
  <c r="S217" i="1"/>
  <c r="D217" i="1" s="1"/>
  <c r="C226" i="1"/>
  <c r="D232" i="1"/>
  <c r="P234" i="1"/>
  <c r="D234" i="1" s="1"/>
  <c r="S236" i="1"/>
  <c r="D236" i="1" s="1"/>
  <c r="H245" i="1"/>
  <c r="S265" i="1"/>
  <c r="G271" i="1"/>
  <c r="C277" i="1"/>
  <c r="B277" i="1"/>
  <c r="C279" i="1"/>
  <c r="S289" i="1"/>
  <c r="D291" i="1"/>
  <c r="D292" i="1"/>
  <c r="P294" i="1"/>
  <c r="D307" i="1"/>
  <c r="S314" i="1"/>
  <c r="D315" i="1"/>
  <c r="V322" i="1"/>
  <c r="Z317" i="1"/>
  <c r="AB317" i="1" s="1"/>
  <c r="G325" i="1"/>
  <c r="M325" i="1"/>
  <c r="D340" i="1"/>
  <c r="F11" i="1"/>
  <c r="G19" i="1"/>
  <c r="D19" i="1" s="1"/>
  <c r="C19" i="1"/>
  <c r="E22" i="1"/>
  <c r="AA23" i="1"/>
  <c r="AB25" i="1"/>
  <c r="P10" i="1"/>
  <c r="W9" i="1"/>
  <c r="D14" i="1"/>
  <c r="C20" i="1"/>
  <c r="G20" i="1"/>
  <c r="D20" i="1" s="1"/>
  <c r="C25" i="1"/>
  <c r="S25" i="1"/>
  <c r="R23" i="1"/>
  <c r="R36" i="1"/>
  <c r="S36" i="1" s="1"/>
  <c r="S37" i="1"/>
  <c r="B47" i="1"/>
  <c r="E46" i="1"/>
  <c r="B46" i="1" s="1"/>
  <c r="G47" i="1"/>
  <c r="B52" i="1"/>
  <c r="AB60" i="1"/>
  <c r="V11" i="1"/>
  <c r="T10" i="1"/>
  <c r="V10" i="1" s="1"/>
  <c r="J47" i="1"/>
  <c r="I46" i="1"/>
  <c r="J46" i="1" s="1"/>
  <c r="S48" i="1"/>
  <c r="D48" i="1" s="1"/>
  <c r="C48" i="1"/>
  <c r="R47" i="1"/>
  <c r="M11" i="1"/>
  <c r="L10" i="1"/>
  <c r="J23" i="1"/>
  <c r="I22" i="1"/>
  <c r="J22" i="1" s="1"/>
  <c r="D29" i="1"/>
  <c r="N36" i="1"/>
  <c r="P36" i="1" s="1"/>
  <c r="P37" i="1"/>
  <c r="X51" i="1"/>
  <c r="Y51" i="1" s="1"/>
  <c r="Y52" i="1"/>
  <c r="U59" i="1"/>
  <c r="H75" i="1"/>
  <c r="J75" i="1" s="1"/>
  <c r="J76" i="1"/>
  <c r="N51" i="1"/>
  <c r="P51" i="1" s="1"/>
  <c r="P52" i="1"/>
  <c r="Q59" i="1"/>
  <c r="S59" i="1" s="1"/>
  <c r="S60" i="1"/>
  <c r="AB10" i="1"/>
  <c r="Y11" i="1"/>
  <c r="X10" i="1"/>
  <c r="E10" i="1"/>
  <c r="X46" i="1"/>
  <c r="Y46" i="1" s="1"/>
  <c r="Y47" i="1"/>
  <c r="T51" i="1"/>
  <c r="V52" i="1"/>
  <c r="D55" i="1"/>
  <c r="T60" i="1"/>
  <c r="T59" i="1" s="1"/>
  <c r="V66" i="1"/>
  <c r="B89" i="1"/>
  <c r="N87" i="1"/>
  <c r="N86" i="1" s="1"/>
  <c r="C153" i="1"/>
  <c r="X141" i="1"/>
  <c r="Y153" i="1"/>
  <c r="D153" i="1" s="1"/>
  <c r="D167" i="1"/>
  <c r="S191" i="1"/>
  <c r="D191" i="1" s="1"/>
  <c r="C191" i="1"/>
  <c r="R188" i="1"/>
  <c r="S188" i="1" s="1"/>
  <c r="K245" i="1"/>
  <c r="I11" i="1"/>
  <c r="C17" i="1"/>
  <c r="F23" i="1"/>
  <c r="B35" i="1"/>
  <c r="J37" i="1"/>
  <c r="X37" i="1"/>
  <c r="C38" i="1"/>
  <c r="B42" i="1"/>
  <c r="E37" i="1"/>
  <c r="V42" i="1"/>
  <c r="U37" i="1"/>
  <c r="D45" i="1"/>
  <c r="L46" i="1"/>
  <c r="M46" i="1" s="1"/>
  <c r="G52" i="1"/>
  <c r="F51" i="1"/>
  <c r="O59" i="1"/>
  <c r="P59" i="1" s="1"/>
  <c r="I60" i="1"/>
  <c r="V67" i="1"/>
  <c r="D67" i="1" s="1"/>
  <c r="J73" i="1"/>
  <c r="D73" i="1" s="1"/>
  <c r="G74" i="1"/>
  <c r="C74" i="1"/>
  <c r="AA75" i="1"/>
  <c r="AB75" i="1" s="1"/>
  <c r="O76" i="1"/>
  <c r="S76" i="1"/>
  <c r="D85" i="1"/>
  <c r="S86" i="1"/>
  <c r="X91" i="1"/>
  <c r="B92" i="1"/>
  <c r="E91" i="1"/>
  <c r="J92" i="1"/>
  <c r="P92" i="1"/>
  <c r="O91" i="1"/>
  <c r="Y92" i="1"/>
  <c r="D101" i="1"/>
  <c r="B104" i="1"/>
  <c r="G107" i="1"/>
  <c r="F106" i="1"/>
  <c r="R107" i="1"/>
  <c r="C107" i="1" s="1"/>
  <c r="C108" i="1"/>
  <c r="S110" i="1"/>
  <c r="D110" i="1" s="1"/>
  <c r="C110" i="1"/>
  <c r="R109" i="1"/>
  <c r="S109" i="1" s="1"/>
  <c r="D112" i="1"/>
  <c r="G114" i="1"/>
  <c r="Z118" i="1"/>
  <c r="AB119" i="1"/>
  <c r="B138" i="1"/>
  <c r="P141" i="1"/>
  <c r="O118" i="1"/>
  <c r="D154" i="1"/>
  <c r="C162" i="1"/>
  <c r="V183" i="1"/>
  <c r="G196" i="1"/>
  <c r="F195" i="1"/>
  <c r="AB248" i="1"/>
  <c r="E86" i="1"/>
  <c r="D32" i="1"/>
  <c r="V47" i="1"/>
  <c r="U46" i="1"/>
  <c r="V46" i="1" s="1"/>
  <c r="D53" i="1"/>
  <c r="AB58" i="1"/>
  <c r="AA52" i="1"/>
  <c r="E60" i="1"/>
  <c r="F60" i="1"/>
  <c r="Y76" i="1"/>
  <c r="X75" i="1"/>
  <c r="Y75" i="1" s="1"/>
  <c r="M86" i="1"/>
  <c r="M87" i="1"/>
  <c r="S87" i="1"/>
  <c r="P89" i="1"/>
  <c r="D89" i="1" s="1"/>
  <c r="R91" i="1"/>
  <c r="V92" i="1"/>
  <c r="U91" i="1"/>
  <c r="G97" i="1"/>
  <c r="C97" i="1"/>
  <c r="P97" i="1"/>
  <c r="V99" i="1"/>
  <c r="P107" i="1"/>
  <c r="N106" i="1"/>
  <c r="J109" i="1"/>
  <c r="D126" i="1"/>
  <c r="AB177" i="1"/>
  <c r="AA176" i="1"/>
  <c r="P181" i="1"/>
  <c r="C181" i="1"/>
  <c r="G188" i="1"/>
  <c r="F176" i="1"/>
  <c r="S194" i="1"/>
  <c r="D194" i="1" s="1"/>
  <c r="C194" i="1"/>
  <c r="N334" i="1"/>
  <c r="P334" i="1" s="1"/>
  <c r="B335" i="1"/>
  <c r="P335" i="1"/>
  <c r="G72" i="1"/>
  <c r="D72" i="1" s="1"/>
  <c r="C72" i="1"/>
  <c r="G82" i="1"/>
  <c r="D82" i="1" s="1"/>
  <c r="C82" i="1"/>
  <c r="V87" i="1"/>
  <c r="U86" i="1"/>
  <c r="V86" i="1" s="1"/>
  <c r="G88" i="1"/>
  <c r="D88" i="1" s="1"/>
  <c r="C88" i="1"/>
  <c r="F87" i="1"/>
  <c r="B108" i="1"/>
  <c r="M108" i="1"/>
  <c r="D108" i="1" s="1"/>
  <c r="K107" i="1"/>
  <c r="R10" i="1"/>
  <c r="O22" i="1"/>
  <c r="P22" i="1" s="1"/>
  <c r="C28" i="1"/>
  <c r="M37" i="1"/>
  <c r="L36" i="1"/>
  <c r="J51" i="1"/>
  <c r="S52" i="1"/>
  <c r="R51" i="1"/>
  <c r="S51" i="1" s="1"/>
  <c r="S57" i="1"/>
  <c r="D57" i="1" s="1"/>
  <c r="C57" i="1"/>
  <c r="L60" i="1"/>
  <c r="C64" i="1"/>
  <c r="G64" i="1"/>
  <c r="D64" i="1" s="1"/>
  <c r="G66" i="1"/>
  <c r="C66" i="1"/>
  <c r="L76" i="1"/>
  <c r="B81" i="1"/>
  <c r="E76" i="1"/>
  <c r="J87" i="1"/>
  <c r="I86" i="1"/>
  <c r="J86" i="1" s="1"/>
  <c r="O86" i="1"/>
  <c r="L91" i="1"/>
  <c r="M92" i="1"/>
  <c r="AB92" i="1"/>
  <c r="AA91" i="1"/>
  <c r="H99" i="1"/>
  <c r="C103" i="1"/>
  <c r="I106" i="1"/>
  <c r="AB107" i="1"/>
  <c r="Z106" i="1"/>
  <c r="G109" i="1"/>
  <c r="B109" i="1"/>
  <c r="S158" i="1"/>
  <c r="D158" i="1" s="1"/>
  <c r="Q141" i="1"/>
  <c r="Q118" i="1" s="1"/>
  <c r="V174" i="1"/>
  <c r="U118" i="1"/>
  <c r="W176" i="1"/>
  <c r="Y177" i="1"/>
  <c r="Z176" i="1"/>
  <c r="AB188" i="1"/>
  <c r="M192" i="1"/>
  <c r="D192" i="1" s="1"/>
  <c r="C192" i="1"/>
  <c r="C231" i="1"/>
  <c r="R230" i="1"/>
  <c r="S230" i="1" s="1"/>
  <c r="S231" i="1"/>
  <c r="D231" i="1" s="1"/>
  <c r="G243" i="1"/>
  <c r="B243" i="1"/>
  <c r="E195" i="1"/>
  <c r="V243" i="1"/>
  <c r="U195" i="1"/>
  <c r="C112" i="1"/>
  <c r="N118" i="1"/>
  <c r="S119" i="1"/>
  <c r="D120" i="1"/>
  <c r="D134" i="1"/>
  <c r="G138" i="1"/>
  <c r="L141" i="1"/>
  <c r="V141" i="1"/>
  <c r="D143" i="1"/>
  <c r="C148" i="1"/>
  <c r="D168" i="1"/>
  <c r="N176" i="1"/>
  <c r="D186" i="1"/>
  <c r="L188" i="1"/>
  <c r="H195" i="1"/>
  <c r="M196" i="1"/>
  <c r="D214" i="1"/>
  <c r="D226" i="1"/>
  <c r="AA209" i="1"/>
  <c r="AB229" i="1"/>
  <c r="J230" i="1"/>
  <c r="D241" i="1"/>
  <c r="D266" i="1"/>
  <c r="Y310" i="1"/>
  <c r="W288" i="1"/>
  <c r="J325" i="1"/>
  <c r="B325" i="1"/>
  <c r="P330" i="1"/>
  <c r="O329" i="1"/>
  <c r="C330" i="1"/>
  <c r="P342" i="1"/>
  <c r="O341" i="1"/>
  <c r="P341" i="1" s="1"/>
  <c r="B130" i="1"/>
  <c r="K119" i="1"/>
  <c r="D149" i="1"/>
  <c r="D164" i="1"/>
  <c r="D170" i="1"/>
  <c r="B177" i="1"/>
  <c r="E176" i="1"/>
  <c r="J177" i="1"/>
  <c r="I176" i="1"/>
  <c r="R177" i="1"/>
  <c r="C177" i="1" s="1"/>
  <c r="S180" i="1"/>
  <c r="D180" i="1" s="1"/>
  <c r="S193" i="1"/>
  <c r="D193" i="1" s="1"/>
  <c r="C193" i="1"/>
  <c r="T195" i="1"/>
  <c r="Y196" i="1"/>
  <c r="X195" i="1"/>
  <c r="D204" i="1"/>
  <c r="J209" i="1"/>
  <c r="S218" i="1"/>
  <c r="D218" i="1" s="1"/>
  <c r="B218" i="1"/>
  <c r="Q209" i="1"/>
  <c r="B209" i="1" s="1"/>
  <c r="S229" i="1"/>
  <c r="C229" i="1"/>
  <c r="M248" i="1"/>
  <c r="J253" i="1"/>
  <c r="C253" i="1"/>
  <c r="I245" i="1"/>
  <c r="J257" i="1"/>
  <c r="U245" i="1"/>
  <c r="B273" i="1"/>
  <c r="Y273" i="1"/>
  <c r="W265" i="1"/>
  <c r="Y265" i="1" s="1"/>
  <c r="V275" i="1"/>
  <c r="C275" i="1"/>
  <c r="V285" i="1"/>
  <c r="B285" i="1"/>
  <c r="G290" i="1"/>
  <c r="C290" i="1"/>
  <c r="F289" i="1"/>
  <c r="M318" i="1"/>
  <c r="L317" i="1"/>
  <c r="I317" i="1"/>
  <c r="J320" i="1"/>
  <c r="B322" i="1"/>
  <c r="E317" i="1"/>
  <c r="V338" i="1"/>
  <c r="U337" i="1"/>
  <c r="V337" i="1" s="1"/>
  <c r="X106" i="1"/>
  <c r="L109" i="1"/>
  <c r="M109" i="1" s="1"/>
  <c r="U114" i="1"/>
  <c r="G119" i="1"/>
  <c r="C119" i="1"/>
  <c r="D128" i="1"/>
  <c r="AB139" i="1"/>
  <c r="D139" i="1" s="1"/>
  <c r="J141" i="1"/>
  <c r="S152" i="1"/>
  <c r="D152" i="1" s="1"/>
  <c r="C152" i="1"/>
  <c r="R141" i="1"/>
  <c r="B162" i="1"/>
  <c r="J162" i="1"/>
  <c r="M175" i="1"/>
  <c r="D175" i="1" s="1"/>
  <c r="L174" i="1"/>
  <c r="C175" i="1"/>
  <c r="K176" i="1"/>
  <c r="P177" i="1"/>
  <c r="O176" i="1"/>
  <c r="V177" i="1"/>
  <c r="U176" i="1"/>
  <c r="B181" i="1"/>
  <c r="C190" i="1"/>
  <c r="C197" i="1"/>
  <c r="S197" i="1"/>
  <c r="D197" i="1" s="1"/>
  <c r="C223" i="1"/>
  <c r="R209" i="1"/>
  <c r="S223" i="1"/>
  <c r="D223" i="1" s="1"/>
  <c r="S225" i="1"/>
  <c r="D225" i="1" s="1"/>
  <c r="C225" i="1"/>
  <c r="L235" i="1"/>
  <c r="L195" i="1" s="1"/>
  <c r="C239" i="1"/>
  <c r="C243" i="1"/>
  <c r="J243" i="1"/>
  <c r="J248" i="1"/>
  <c r="B248" i="1"/>
  <c r="B253" i="1"/>
  <c r="G253" i="1"/>
  <c r="AA245" i="1"/>
  <c r="AB253" i="1"/>
  <c r="B257" i="1"/>
  <c r="G257" i="1"/>
  <c r="B275" i="1"/>
  <c r="G275" i="1"/>
  <c r="E265" i="1"/>
  <c r="G281" i="1"/>
  <c r="C281" i="1"/>
  <c r="F265" i="1"/>
  <c r="F245" i="1" s="1"/>
  <c r="Q288" i="1"/>
  <c r="V313" i="1"/>
  <c r="D313" i="1" s="1"/>
  <c r="B313" i="1"/>
  <c r="T310" i="1"/>
  <c r="T288" i="1" s="1"/>
  <c r="G314" i="1"/>
  <c r="B314" i="1"/>
  <c r="E288" i="1"/>
  <c r="Q196" i="1"/>
  <c r="O245" i="1"/>
  <c r="N245" i="1"/>
  <c r="R245" i="1"/>
  <c r="Z265" i="1"/>
  <c r="Z245" i="1" s="1"/>
  <c r="AB281" i="1"/>
  <c r="G282" i="1"/>
  <c r="D282" i="1" s="1"/>
  <c r="G285" i="1"/>
  <c r="C285" i="1"/>
  <c r="AA288" i="1"/>
  <c r="Z288" i="1"/>
  <c r="M299" i="1"/>
  <c r="D299" i="1" s="1"/>
  <c r="B299" i="1"/>
  <c r="H288" i="1"/>
  <c r="J306" i="1"/>
  <c r="B306" i="1"/>
  <c r="X288" i="1"/>
  <c r="Y306" i="1"/>
  <c r="C311" i="1"/>
  <c r="M311" i="1"/>
  <c r="D311" i="1" s="1"/>
  <c r="L310" i="1"/>
  <c r="M310" i="1" s="1"/>
  <c r="D312" i="1"/>
  <c r="J318" i="1"/>
  <c r="B318" i="1"/>
  <c r="H317" i="1"/>
  <c r="N317" i="1"/>
  <c r="Y318" i="1"/>
  <c r="X317" i="1"/>
  <c r="S329" i="1"/>
  <c r="K329" i="1"/>
  <c r="K328" i="1" s="1"/>
  <c r="M330" i="1"/>
  <c r="Q337" i="1"/>
  <c r="Q328" i="1" s="1"/>
  <c r="S338" i="1"/>
  <c r="D247" i="1"/>
  <c r="D269" i="1"/>
  <c r="D284" i="1"/>
  <c r="D286" i="1"/>
  <c r="B292" i="1"/>
  <c r="K289" i="1"/>
  <c r="B289" i="1" s="1"/>
  <c r="V318" i="1"/>
  <c r="T317" i="1"/>
  <c r="O209" i="1"/>
  <c r="O230" i="1"/>
  <c r="R235" i="1"/>
  <c r="S235" i="1" s="1"/>
  <c r="C236" i="1"/>
  <c r="C238" i="1"/>
  <c r="G246" i="1"/>
  <c r="C246" i="1"/>
  <c r="C248" i="1"/>
  <c r="G248" i="1"/>
  <c r="Y248" i="1"/>
  <c r="D251" i="1"/>
  <c r="V253" i="1"/>
  <c r="D255" i="1"/>
  <c r="V257" i="1"/>
  <c r="D261" i="1"/>
  <c r="B271" i="1"/>
  <c r="V271" i="1"/>
  <c r="D279" i="1"/>
  <c r="P290" i="1"/>
  <c r="O289" i="1"/>
  <c r="J314" i="1"/>
  <c r="L314" i="1"/>
  <c r="M314" i="1" s="1"/>
  <c r="M316" i="1"/>
  <c r="D316" i="1" s="1"/>
  <c r="O320" i="1"/>
  <c r="C320" i="1" s="1"/>
  <c r="C321" i="1"/>
  <c r="P321" i="1"/>
  <c r="D321" i="1" s="1"/>
  <c r="S335" i="1"/>
  <c r="R334" i="1"/>
  <c r="S334" i="1" s="1"/>
  <c r="L294" i="1"/>
  <c r="C300" i="1"/>
  <c r="G322" i="1"/>
  <c r="L328" i="1"/>
  <c r="T328" i="1"/>
  <c r="V330" i="1"/>
  <c r="U329" i="1"/>
  <c r="J335" i="1"/>
  <c r="Y335" i="1"/>
  <c r="X334" i="1"/>
  <c r="Y334" i="1" s="1"/>
  <c r="M338" i="1"/>
  <c r="AB338" i="1"/>
  <c r="AA337" i="1"/>
  <c r="AB337" i="1" s="1"/>
  <c r="B342" i="1"/>
  <c r="AB342" i="1"/>
  <c r="AA341" i="1"/>
  <c r="AB341" i="1" s="1"/>
  <c r="G320" i="1"/>
  <c r="D324" i="1"/>
  <c r="N328" i="1"/>
  <c r="AB330" i="1"/>
  <c r="AA329" i="1"/>
  <c r="G335" i="1"/>
  <c r="C335" i="1"/>
  <c r="F334" i="1"/>
  <c r="F328" i="1" s="1"/>
  <c r="B338" i="1"/>
  <c r="E337" i="1"/>
  <c r="J338" i="1"/>
  <c r="I337" i="1"/>
  <c r="J337" i="1" s="1"/>
  <c r="Y342" i="1"/>
  <c r="W341" i="1"/>
  <c r="Y341" i="1" s="1"/>
  <c r="C306" i="1"/>
  <c r="F310" i="1"/>
  <c r="C313" i="1"/>
  <c r="F317" i="1"/>
  <c r="R317" i="1"/>
  <c r="S317" i="1" s="1"/>
  <c r="C318" i="1"/>
  <c r="S322" i="1"/>
  <c r="C325" i="1"/>
  <c r="H328" i="1"/>
  <c r="B330" i="1"/>
  <c r="E329" i="1"/>
  <c r="J330" i="1"/>
  <c r="I329" i="1"/>
  <c r="P338" i="1"/>
  <c r="O337" i="1"/>
  <c r="P337" i="1" s="1"/>
  <c r="E341" i="1"/>
  <c r="G341" i="1" s="1"/>
  <c r="I341" i="1"/>
  <c r="J341" i="1" s="1"/>
  <c r="U341" i="1"/>
  <c r="V341" i="1" s="1"/>
  <c r="V176" i="1" l="1"/>
  <c r="V265" i="1"/>
  <c r="D83" i="1"/>
  <c r="V317" i="1"/>
  <c r="Y23" i="1"/>
  <c r="AB106" i="1"/>
  <c r="L51" i="1"/>
  <c r="M51" i="1" s="1"/>
  <c r="D42" i="1"/>
  <c r="AA86" i="1"/>
  <c r="AB86" i="1" s="1"/>
  <c r="Y176" i="1"/>
  <c r="B11" i="1"/>
  <c r="C257" i="1"/>
  <c r="P230" i="1"/>
  <c r="B334" i="1"/>
  <c r="Y317" i="1"/>
  <c r="D273" i="1"/>
  <c r="L245" i="1"/>
  <c r="J176" i="1"/>
  <c r="B230" i="1"/>
  <c r="C47" i="1"/>
  <c r="D35" i="1"/>
  <c r="D275" i="1"/>
  <c r="B183" i="1"/>
  <c r="J288" i="1"/>
  <c r="S288" i="1"/>
  <c r="M317" i="1"/>
  <c r="C109" i="1"/>
  <c r="B51" i="1"/>
  <c r="G118" i="1"/>
  <c r="Y106" i="1"/>
  <c r="V288" i="1"/>
  <c r="D246" i="1"/>
  <c r="D38" i="1"/>
  <c r="D184" i="1"/>
  <c r="V195" i="1"/>
  <c r="P86" i="1"/>
  <c r="G76" i="1"/>
  <c r="P106" i="1"/>
  <c r="S141" i="1"/>
  <c r="D104" i="1"/>
  <c r="X328" i="1"/>
  <c r="Y328" i="1" s="1"/>
  <c r="J118" i="1"/>
  <c r="S183" i="1"/>
  <c r="B310" i="1"/>
  <c r="D306" i="1"/>
  <c r="D138" i="1"/>
  <c r="K288" i="1"/>
  <c r="B288" i="1" s="1"/>
  <c r="V22" i="1"/>
  <c r="Y329" i="1"/>
  <c r="AB265" i="1"/>
  <c r="B265" i="1"/>
  <c r="B86" i="1"/>
  <c r="V23" i="1"/>
  <c r="B22" i="1"/>
  <c r="T106" i="1"/>
  <c r="M342" i="1"/>
  <c r="D342" i="1" s="1"/>
  <c r="Y288" i="1"/>
  <c r="C209" i="1"/>
  <c r="D181" i="1"/>
  <c r="B23" i="1"/>
  <c r="F288" i="1"/>
  <c r="D325" i="1"/>
  <c r="C91" i="1"/>
  <c r="Q195" i="1"/>
  <c r="Q90" i="1" s="1"/>
  <c r="J106" i="1"/>
  <c r="D229" i="1"/>
  <c r="D271" i="1"/>
  <c r="D248" i="1"/>
  <c r="C230" i="1"/>
  <c r="V118" i="1"/>
  <c r="C329" i="1"/>
  <c r="D285" i="1"/>
  <c r="S245" i="1"/>
  <c r="S209" i="1"/>
  <c r="D162" i="1"/>
  <c r="C138" i="1"/>
  <c r="D71" i="1"/>
  <c r="C342" i="1"/>
  <c r="D183" i="1"/>
  <c r="D338" i="1"/>
  <c r="M328" i="1"/>
  <c r="M289" i="1"/>
  <c r="W245" i="1"/>
  <c r="W90" i="1" s="1"/>
  <c r="W8" i="1" s="1"/>
  <c r="B196" i="1"/>
  <c r="C99" i="1"/>
  <c r="D97" i="1"/>
  <c r="V59" i="1"/>
  <c r="D25" i="1"/>
  <c r="B337" i="1"/>
  <c r="D335" i="1"/>
  <c r="C337" i="1"/>
  <c r="C322" i="1"/>
  <c r="C314" i="1"/>
  <c r="D318" i="1"/>
  <c r="AB288" i="1"/>
  <c r="T245" i="1"/>
  <c r="J317" i="1"/>
  <c r="J245" i="1"/>
  <c r="Y195" i="1"/>
  <c r="D230" i="1"/>
  <c r="D243" i="1"/>
  <c r="D109" i="1"/>
  <c r="D92" i="1"/>
  <c r="C183" i="1"/>
  <c r="P118" i="1"/>
  <c r="Z90" i="1"/>
  <c r="Z8" i="1" s="1"/>
  <c r="D74" i="1"/>
  <c r="B294" i="1"/>
  <c r="B341" i="1"/>
  <c r="S337" i="1"/>
  <c r="D330" i="1"/>
  <c r="V310" i="1"/>
  <c r="E245" i="1"/>
  <c r="D58" i="1"/>
  <c r="AA36" i="1"/>
  <c r="AB36" i="1" s="1"/>
  <c r="AB37" i="1"/>
  <c r="G288" i="1"/>
  <c r="D341" i="1"/>
  <c r="R328" i="1"/>
  <c r="S328" i="1" s="1"/>
  <c r="C265" i="1"/>
  <c r="G265" i="1"/>
  <c r="B317" i="1"/>
  <c r="M76" i="1"/>
  <c r="L75" i="1"/>
  <c r="M75" i="1" s="1"/>
  <c r="M36" i="1"/>
  <c r="S10" i="1"/>
  <c r="V91" i="1"/>
  <c r="B60" i="1"/>
  <c r="E59" i="1"/>
  <c r="B59" i="1" s="1"/>
  <c r="G195" i="1"/>
  <c r="G106" i="1"/>
  <c r="P91" i="1"/>
  <c r="O75" i="1"/>
  <c r="P75" i="1" s="1"/>
  <c r="P76" i="1"/>
  <c r="G51" i="1"/>
  <c r="G37" i="1"/>
  <c r="B37" i="1"/>
  <c r="E36" i="1"/>
  <c r="J11" i="1"/>
  <c r="I10" i="1"/>
  <c r="F90" i="1"/>
  <c r="Y10" i="1"/>
  <c r="C76" i="1"/>
  <c r="AB23" i="1"/>
  <c r="AA22" i="1"/>
  <c r="AA328" i="1"/>
  <c r="AB328" i="1" s="1"/>
  <c r="AB329" i="1"/>
  <c r="G337" i="1"/>
  <c r="V329" i="1"/>
  <c r="U328" i="1"/>
  <c r="V328" i="1" s="1"/>
  <c r="M329" i="1"/>
  <c r="L288" i="1"/>
  <c r="M294" i="1"/>
  <c r="D294" i="1" s="1"/>
  <c r="C294" i="1"/>
  <c r="P320" i="1"/>
  <c r="D320" i="1" s="1"/>
  <c r="O317" i="1"/>
  <c r="P317" i="1" s="1"/>
  <c r="P245" i="1"/>
  <c r="D314" i="1"/>
  <c r="AB245" i="1"/>
  <c r="J195" i="1"/>
  <c r="L106" i="1"/>
  <c r="G289" i="1"/>
  <c r="C289" i="1"/>
  <c r="M245" i="1"/>
  <c r="R176" i="1"/>
  <c r="S176" i="1" s="1"/>
  <c r="S177" i="1"/>
  <c r="D177" i="1" s="1"/>
  <c r="B176" i="1"/>
  <c r="P329" i="1"/>
  <c r="O328" i="1"/>
  <c r="P328" i="1" s="1"/>
  <c r="AB209" i="1"/>
  <c r="AB195" i="1" s="1"/>
  <c r="AA195" i="1"/>
  <c r="AA90" i="1" s="1"/>
  <c r="L118" i="1"/>
  <c r="M141" i="1"/>
  <c r="C141" i="1"/>
  <c r="R195" i="1"/>
  <c r="P87" i="1"/>
  <c r="B76" i="1"/>
  <c r="E75" i="1"/>
  <c r="B75" i="1" s="1"/>
  <c r="C87" i="1"/>
  <c r="F86" i="1"/>
  <c r="G87" i="1"/>
  <c r="G176" i="1"/>
  <c r="AB52" i="1"/>
  <c r="D52" i="1" s="1"/>
  <c r="AA51" i="1"/>
  <c r="AB51" i="1" s="1"/>
  <c r="B87" i="1"/>
  <c r="B141" i="1"/>
  <c r="C52" i="1"/>
  <c r="V60" i="1"/>
  <c r="V51" i="1"/>
  <c r="Q9" i="1"/>
  <c r="Q8" i="1" s="1"/>
  <c r="T9" i="1"/>
  <c r="G11" i="1"/>
  <c r="C11" i="1"/>
  <c r="F10" i="1"/>
  <c r="I328" i="1"/>
  <c r="J328" i="1" s="1"/>
  <c r="J329" i="1"/>
  <c r="G317" i="1"/>
  <c r="B329" i="1"/>
  <c r="E328" i="1"/>
  <c r="B328" i="1" s="1"/>
  <c r="C334" i="1"/>
  <c r="G334" i="1"/>
  <c r="D334" i="1" s="1"/>
  <c r="G329" i="1"/>
  <c r="P289" i="1"/>
  <c r="O288" i="1"/>
  <c r="P288" i="1" s="1"/>
  <c r="D281" i="1"/>
  <c r="D257" i="1"/>
  <c r="M235" i="1"/>
  <c r="D235" i="1" s="1"/>
  <c r="C235" i="1"/>
  <c r="U106" i="1"/>
  <c r="V114" i="1"/>
  <c r="D114" i="1" s="1"/>
  <c r="V245" i="1"/>
  <c r="M188" i="1"/>
  <c r="D188" i="1" s="1"/>
  <c r="L176" i="1"/>
  <c r="M176" i="1" s="1"/>
  <c r="B195" i="1"/>
  <c r="S196" i="1"/>
  <c r="AB118" i="1"/>
  <c r="B99" i="1"/>
  <c r="J99" i="1"/>
  <c r="D99" i="1" s="1"/>
  <c r="L59" i="1"/>
  <c r="M59" i="1" s="1"/>
  <c r="M60" i="1"/>
  <c r="K106" i="1"/>
  <c r="B107" i="1"/>
  <c r="C188" i="1"/>
  <c r="AB176" i="1"/>
  <c r="C114" i="1"/>
  <c r="S107" i="1"/>
  <c r="R106" i="1"/>
  <c r="S106" i="1" s="1"/>
  <c r="I90" i="1"/>
  <c r="Y91" i="1"/>
  <c r="J60" i="1"/>
  <c r="I59" i="1"/>
  <c r="J59" i="1" s="1"/>
  <c r="V37" i="1"/>
  <c r="U36" i="1"/>
  <c r="V36" i="1" s="1"/>
  <c r="G23" i="1"/>
  <c r="F22" i="1"/>
  <c r="C23" i="1"/>
  <c r="X118" i="1"/>
  <c r="Y118" i="1" s="1"/>
  <c r="Y141" i="1"/>
  <c r="G91" i="1"/>
  <c r="B10" i="1"/>
  <c r="C37" i="1"/>
  <c r="C245" i="1"/>
  <c r="G310" i="1"/>
  <c r="D310" i="1" s="1"/>
  <c r="C310" i="1"/>
  <c r="C341" i="1"/>
  <c r="D322" i="1"/>
  <c r="P209" i="1"/>
  <c r="P195" i="1" s="1"/>
  <c r="O195" i="1"/>
  <c r="D253" i="1"/>
  <c r="P176" i="1"/>
  <c r="C174" i="1"/>
  <c r="M174" i="1"/>
  <c r="D174" i="1" s="1"/>
  <c r="D290" i="1"/>
  <c r="K118" i="1"/>
  <c r="B118" i="1" s="1"/>
  <c r="M119" i="1"/>
  <c r="D119" i="1" s="1"/>
  <c r="B119" i="1"/>
  <c r="R118" i="1"/>
  <c r="S118" i="1" s="1"/>
  <c r="AB91" i="1"/>
  <c r="M91" i="1"/>
  <c r="D66" i="1"/>
  <c r="S91" i="1"/>
  <c r="G60" i="1"/>
  <c r="F59" i="1"/>
  <c r="C60" i="1"/>
  <c r="N90" i="1"/>
  <c r="M107" i="1"/>
  <c r="D107" i="1" s="1"/>
  <c r="H91" i="1"/>
  <c r="H90" i="1" s="1"/>
  <c r="Y37" i="1"/>
  <c r="X36" i="1"/>
  <c r="Y36" i="1" s="1"/>
  <c r="G46" i="1"/>
  <c r="N9" i="1"/>
  <c r="N8" i="1" s="1"/>
  <c r="M10" i="1"/>
  <c r="R46" i="1"/>
  <c r="S46" i="1" s="1"/>
  <c r="S47" i="1"/>
  <c r="D47" i="1" s="1"/>
  <c r="H9" i="1"/>
  <c r="H8" i="1" s="1"/>
  <c r="S23" i="1"/>
  <c r="R22" i="1"/>
  <c r="S22" i="1" s="1"/>
  <c r="S195" i="1" l="1"/>
  <c r="T8" i="1"/>
  <c r="AB90" i="1"/>
  <c r="D76" i="1"/>
  <c r="D265" i="1"/>
  <c r="D141" i="1"/>
  <c r="O90" i="1"/>
  <c r="P90" i="1" s="1"/>
  <c r="D11" i="1"/>
  <c r="G75" i="1"/>
  <c r="D75" i="1" s="1"/>
  <c r="V106" i="1"/>
  <c r="M288" i="1"/>
  <c r="D288" i="1" s="1"/>
  <c r="R90" i="1"/>
  <c r="S90" i="1" s="1"/>
  <c r="T90" i="1"/>
  <c r="J90" i="1"/>
  <c r="B245" i="1"/>
  <c r="U9" i="1"/>
  <c r="D23" i="1"/>
  <c r="M195" i="1"/>
  <c r="D195" i="1" s="1"/>
  <c r="D337" i="1"/>
  <c r="Y245" i="1"/>
  <c r="E90" i="1"/>
  <c r="X90" i="1"/>
  <c r="Y90" i="1" s="1"/>
  <c r="B91" i="1"/>
  <c r="D196" i="1"/>
  <c r="U90" i="1"/>
  <c r="G245" i="1"/>
  <c r="L90" i="1"/>
  <c r="C195" i="1"/>
  <c r="G10" i="1"/>
  <c r="C10" i="1"/>
  <c r="F9" i="1"/>
  <c r="F8" i="1" s="1"/>
  <c r="C75" i="1"/>
  <c r="C317" i="1"/>
  <c r="D87" i="1"/>
  <c r="D289" i="1"/>
  <c r="C46" i="1"/>
  <c r="G36" i="1"/>
  <c r="D36" i="1" s="1"/>
  <c r="B36" i="1"/>
  <c r="C51" i="1"/>
  <c r="R9" i="1"/>
  <c r="C288" i="1"/>
  <c r="L9" i="1"/>
  <c r="D46" i="1"/>
  <c r="E9" i="1"/>
  <c r="E8" i="1" s="1"/>
  <c r="J91" i="1"/>
  <c r="D91" i="1" s="1"/>
  <c r="D317" i="1"/>
  <c r="O9" i="1"/>
  <c r="O8" i="1" s="1"/>
  <c r="P8" i="1" s="1"/>
  <c r="G86" i="1"/>
  <c r="D86" i="1" s="1"/>
  <c r="C86" i="1"/>
  <c r="M106" i="1"/>
  <c r="G90" i="1"/>
  <c r="G59" i="1"/>
  <c r="D59" i="1" s="1"/>
  <c r="C59" i="1"/>
  <c r="C176" i="1"/>
  <c r="M118" i="1"/>
  <c r="D118" i="1" s="1"/>
  <c r="C118" i="1"/>
  <c r="AB22" i="1"/>
  <c r="AA9" i="1"/>
  <c r="AA8" i="1" s="1"/>
  <c r="AB8" i="1" s="1"/>
  <c r="X9" i="1"/>
  <c r="J10" i="1"/>
  <c r="I9" i="1"/>
  <c r="I8" i="1" s="1"/>
  <c r="J8" i="1" s="1"/>
  <c r="D37" i="1"/>
  <c r="G328" i="1"/>
  <c r="D328" i="1" s="1"/>
  <c r="B106" i="1"/>
  <c r="K90" i="1"/>
  <c r="K8" i="1" s="1"/>
  <c r="D60" i="1"/>
  <c r="G22" i="1"/>
  <c r="C22" i="1"/>
  <c r="D329" i="1"/>
  <c r="D176" i="1"/>
  <c r="D51" i="1"/>
  <c r="C106" i="1"/>
  <c r="C36" i="1"/>
  <c r="D209" i="1"/>
  <c r="C328" i="1"/>
  <c r="R8" i="1" l="1"/>
  <c r="S8" i="1" s="1"/>
  <c r="L8" i="1"/>
  <c r="M8" i="1" s="1"/>
  <c r="V8" i="1"/>
  <c r="X8" i="1"/>
  <c r="Y8" i="1" s="1"/>
  <c r="V9" i="1"/>
  <c r="U8" i="1"/>
  <c r="D245" i="1"/>
  <c r="V90" i="1"/>
  <c r="D106" i="1"/>
  <c r="C90" i="1"/>
  <c r="B90" i="1"/>
  <c r="J9" i="1"/>
  <c r="B9" i="1"/>
  <c r="B8" i="1"/>
  <c r="G9" i="1"/>
  <c r="C9" i="1"/>
  <c r="M90" i="1"/>
  <c r="D90" i="1" s="1"/>
  <c r="D22" i="1"/>
  <c r="P9" i="1"/>
  <c r="S9" i="1"/>
  <c r="Y9" i="1"/>
  <c r="D10" i="1"/>
  <c r="AB9" i="1"/>
  <c r="M9" i="1"/>
  <c r="G8" i="1" l="1"/>
  <c r="D8" i="1" s="1"/>
  <c r="C8" i="1"/>
  <c r="D9" i="1"/>
</calcChain>
</file>

<file path=xl/sharedStrings.xml><?xml version="1.0" encoding="utf-8"?>
<sst xmlns="http://schemas.openxmlformats.org/spreadsheetml/2006/main" count="404" uniqueCount="310">
  <si>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</si>
  <si>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</si>
  <si>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</si>
  <si>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</si>
  <si>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</si>
  <si>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</si>
  <si>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</si>
  <si>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</si>
  <si>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</si>
  <si>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</si>
  <si>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</si>
  <si>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</si>
  <si>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</si>
  <si>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</si>
  <si>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</si>
  <si>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</si>
  <si>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</si>
  <si>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</si>
  <si>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</si>
  <si>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</si>
  <si>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</si>
  <si>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</si>
  <si>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</si>
  <si>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</si>
  <si>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</si>
  <si>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</si>
  <si>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</si>
  <si>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</si>
  <si>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</si>
  <si>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</si>
  <si>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</si>
  <si>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</si>
  <si>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</si>
  <si>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</si>
  <si>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</si>
  <si>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</si>
  <si>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</si>
  <si>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</si>
  <si>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</si>
  <si>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</si>
  <si>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</si>
  <si>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</si>
  <si>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</si>
  <si>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</si>
  <si>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</si>
  <si>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</si>
  <si>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</si>
  <si>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Енергийна ефективност ОУ "П.Р.Славейков", гр. В. Търново - собствено участие 315 044 лв. и            НДЕФ 621 164 лв.</t>
  </si>
  <si>
    <t>Изготвяне на архитектурно-строителен проект ОУ "Бачо Киро", гр. Велико Търново</t>
  </si>
  <si>
    <t>ДГ "Вяра, Надежда и Любов" с. Ресен- Довършителни дейности по подмяна на дограма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</si>
  <si>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</si>
  <si>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</si>
  <si>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</si>
  <si>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</si>
  <si>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</si>
  <si>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</si>
  <si>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</si>
  <si>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</si>
  <si>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</si>
  <si>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</si>
  <si>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</si>
  <si>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</si>
  <si>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</si>
  <si>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Възстановяване на покрива на общинска сграда, находяща се на ул. "Капитан Георги Мамарчев", гр. В. Търново</t>
  </si>
  <si>
    <t>Обособяване на складови помещения в сградата на бившето сержантско училище, находяща се в УПИ ХХ, стр. кв. 563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</si>
  <si>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</si>
  <si>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</si>
  <si>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</si>
  <si>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</si>
  <si>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</si>
  <si>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</si>
  <si>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</si>
  <si>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</si>
  <si>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</si>
  <si>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</si>
  <si>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</si>
  <si>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</si>
  <si>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</si>
  <si>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</si>
  <si>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</si>
  <si>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</si>
  <si>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 - ОП "Спортни имоти и прояви"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</si>
  <si>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</si>
  <si>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</si>
  <si>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</si>
  <si>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</si>
  <si>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</si>
  <si>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</si>
  <si>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98/, в т.ч. собствено участие 360 000 лева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</si>
  <si>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</si>
  <si>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</si>
  <si>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</si>
  <si>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</si>
  <si>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Кметство с. Самоводене - графична станция с ОС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</si>
  <si>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</si>
  <si>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</si>
  <si>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</si>
  <si>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</si>
  <si>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</si>
  <si>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Дрон за нуждите на Община Велико Търново</t>
  </si>
  <si>
    <t>Климатици за нуждите на общинска администрация и кметствата</t>
  </si>
  <si>
    <t>5204 Придобиване на транспортни средства</t>
  </si>
  <si>
    <t>Закупуване на лек автомобил за нуждите на Общински съвет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</si>
  <si>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</si>
  <si>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</si>
  <si>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</si>
  <si>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</si>
  <si>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</si>
  <si>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</si>
  <si>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</si>
  <si>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</si>
  <si>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</si>
  <si>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дисплеи,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</si>
  <si>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</si>
  <si>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</si>
  <si>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</si>
  <si>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ПМГ „Васил Друмев“, гр. Велико Търново - интерактивен мултитъч дисплей</t>
  </si>
  <si>
    <t>ПХГ "Св.Св. Кирил и Методий" - Wi-Fi мрежа</t>
  </si>
  <si>
    <t>СУ „Емилиян Станев“, гр. Велико Търново - компютърни конфигурации</t>
  </si>
  <si>
    <t>ОУ "Димитър Благоев", гр. В. Търново - компютърен модул с интерактивен дисплей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</si>
  <si>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</si>
  <si>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</si>
  <si>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</si>
  <si>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ОУ "Хр. Смирненски", с. Водолей - WiFi мрежа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</si>
  <si>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</si>
  <si>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ДГ "Детски свят", с. Церова кория - 1 бр. компютърна конфигурация</t>
  </si>
  <si>
    <t>ДГ "Здравец", гр. В. Търново - 2 бр. компютърни конфигурации</t>
  </si>
  <si>
    <t>ДГ "Евгения Кисимова", гр. В. Търново - мултимедиен проектор</t>
  </si>
  <si>
    <t>Център за подкрепа за личностно развитие - ОДК,   гр. В. Търново - лаптопи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</si>
  <si>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</si>
  <si>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</si>
  <si>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</si>
  <si>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</si>
  <si>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ДГ „Пролет“, гр. Велико Търново - доставка на уреди за детска площадка по програма ПУДООС</t>
  </si>
  <si>
    <t>ДГ „Първи юни“, гр. Велико Търново - доставка на оборудване за детски площадки по програма ПУДООС</t>
  </si>
  <si>
    <t>ПМГ „Васил Друмев“, гр. Велико Търново - универсален шкаф за зареждане на лаптопи и таблети</t>
  </si>
  <si>
    <t>ОУ „Св. Патриарх Евтимий“, гр. Велико Търново - пожароизвестителна система</t>
  </si>
  <si>
    <t>ОУ „Емилиян Станев“, гр. Велико Търново - климатични системи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</si>
  <si>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</si>
  <si>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</si>
  <si>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</si>
  <si>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</si>
  <si>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</si>
  <si>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Водолей- изграждане на беседка по проект ПУДООС</t>
  </si>
  <si>
    <t>ОУ „П. Р. Славейков", гр. Велико Търново - експериментална STEM оранжерия</t>
  </si>
  <si>
    <t>ОУ „П. Р. Славейков", гр. Велико Търново - площадки по ПУДООС</t>
  </si>
  <si>
    <t>ОУ "Д-р Петър Берон", гр. Дебелец - детски съоръжения за училищна площадка по проект на ПУДООС</t>
  </si>
  <si>
    <t>ДГ "Здравец", гр. В. Търново - Доставка и монтаж на детски съоръжения за детски площадки</t>
  </si>
  <si>
    <t>ДГ "Шарения замък" - тематичен детски кът за игра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</si>
  <si>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</si>
  <si>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</si>
  <si>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</si>
  <si>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</si>
  <si>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 - Подопочистваща машина, гр. Велико Търново</t>
  </si>
  <si>
    <t>СУ „Емилиян Станев“, гр. Велико Търново - бойлер</t>
  </si>
  <si>
    <t>СУ „Емилиян Станев“, гр. Велико Търново - акордеон</t>
  </si>
  <si>
    <t>СУ „Емилиян Станев“, гр. Велико Търново - обектив TAMRON 18-400 MM</t>
  </si>
  <si>
    <t>ОУ „Бачо Киро“, гр. Велико Търново - музикални инструменти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</si>
  <si>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</si>
  <si>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</si>
  <si>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"Пролет" - Доставка и монтаж на мебели</t>
  </si>
  <si>
    <t>ДГ "Соня" - Доставка на секция Молив</t>
  </si>
  <si>
    <t>ДГ "Здравец" - Доставка и монтаж на мебели</t>
  </si>
  <si>
    <t>ДГ "Шарения замък" - Доставка и монтаж на мебели</t>
  </si>
  <si>
    <t>5219 Придобиване на други ДМА</t>
  </si>
  <si>
    <t xml:space="preserve">ДГ "Шарения замък" - Доставка и монтаж на сенници за детски площадки 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</si>
  <si>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</si>
  <si>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</si>
  <si>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</si>
  <si>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</si>
  <si>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</si>
  <si>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</si>
  <si>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ДЯ "Пролет" - циркулационна помпа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</si>
  <si>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</si>
  <si>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</si>
  <si>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</si>
  <si>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</si>
  <si>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</si>
  <si>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</si>
  <si>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</si>
  <si>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</si>
  <si>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Домашен социален патронаж,  филиал с. Ново село - компютърни конфигурации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</si>
  <si>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</si>
  <si>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</si>
  <si>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</si>
  <si>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</si>
  <si>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</si>
  <si>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</si>
  <si>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</si>
  <si>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</si>
  <si>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</si>
  <si>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</si>
  <si>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</si>
  <si>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</si>
  <si>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</si>
  <si>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</si>
  <si>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</si>
  <si>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ЦРДМ, с. Малки чифлик - климатична система</t>
  </si>
  <si>
    <t>ЦРДМ, гр. Килифарево - климатична система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</si>
  <si>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</si>
  <si>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</si>
  <si>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</si>
  <si>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Климатични системи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</si>
  <si>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</si>
  <si>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Механизъм "Лична помощ"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</si>
  <si>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</si>
  <si>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</si>
  <si>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</si>
  <si>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</si>
  <si>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</si>
  <si>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</si>
  <si>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</si>
  <si>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ЦНСТ I ул. Ил. Драгостинов - Закупуване на МПС с рампа за инвалиди</t>
  </si>
  <si>
    <t>Закупуване на лек автомобил за Домашен социален патронаж - Фонд "Социална закрила" към МТСП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</si>
  <si>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</si>
  <si>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</si>
  <si>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</si>
  <si>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</si>
  <si>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</si>
  <si>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</si>
  <si>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</si>
  <si>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</si>
  <si>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</si>
  <si>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</si>
  <si>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Преносим компютър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</si>
  <si>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</si>
  <si>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ОП "Зелени системи" - климатични системи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</si>
  <si>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</si>
  <si>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</si>
  <si>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</si>
  <si>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</si>
  <si>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</si>
  <si>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</si>
  <si>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Храсторез Кметство с. Русаля</t>
  </si>
  <si>
    <t>Косачка Кметство с. Шемшево</t>
  </si>
  <si>
    <t>Косачки, клонорези, храсторези и бензинов аератор за нуждите на Отдел "Озеленяване" на ОП "Зелени системи"</t>
  </si>
  <si>
    <t>Пароструйка, клонорези, храсторези и листосъбирачи за нуждите на Отдел "Чистота" на ОП "Зелени системи"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</si>
  <si>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</si>
  <si>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</si>
  <si>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</si>
  <si>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</si>
  <si>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Изграждане на беседка и прилежаща инфраструктура,с. Ресен</t>
  </si>
  <si>
    <t>Изграждане на паркинг между ул. "Венета Ботева" и ДГ "Шарения замък", гр. В. Търново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</si>
  <si>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</si>
  <si>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</si>
  <si>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</si>
  <si>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</si>
  <si>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</si>
  <si>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</si>
  <si>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</si>
  <si>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</si>
  <si>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</si>
  <si>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</si>
  <si>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</si>
  <si>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</si>
  <si>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</si>
  <si>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Изграждане на фундамент за автомобилна везна в землището на с. Шереметя</t>
  </si>
  <si>
    <t>Ограда на площадка за разделно събиране на отпадъци, с. Ресен</t>
  </si>
  <si>
    <t>Направа на фундамент и доставка и монтаж на фургон за площадка за разделно събиране на отпадъци, с. Ресен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</si>
  <si>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</si>
  <si>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</si>
  <si>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</si>
  <si>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</si>
  <si>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</si>
  <si>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</si>
  <si>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ПЕГ "Проф. д-р Асен Златаров", гр. В. Търново - тенис маси</t>
  </si>
  <si>
    <t xml:space="preserve">Спортно училище "Г. Живков", гр. В. Търново - гребен тренажор 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</si>
  <si>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</si>
  <si>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</si>
  <si>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</si>
  <si>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Преместваем обект /павилион/ пред АМР "Царевец"</t>
  </si>
  <si>
    <t>ДКС "Васил Левски"- климатици</t>
  </si>
  <si>
    <t>ОП "Спортни имоти и прояви"- басейн "Радио"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</si>
  <si>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</si>
  <si>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</si>
  <si>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РИМ Велико Търново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</si>
  <si>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</si>
  <si>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</si>
  <si>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Макет на хълм "Царевец"</t>
  </si>
  <si>
    <t>Изграждане на асфалтов пъмп трак в УПИ XI-3779, кв. 237, гр. Велико Търново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</si>
  <si>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</si>
  <si>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</si>
  <si>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</si>
  <si>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</si>
  <si>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</si>
  <si>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</si>
  <si>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</si>
  <si>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</si>
  <si>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</si>
  <si>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</si>
  <si>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Внедряване на модул Archimed WebCheck</t>
  </si>
  <si>
    <t>Надграждане на интеграционната платформа за е-City</t>
  </si>
  <si>
    <t>Софтуерни лицензи в РБ „П.Р.Славейков“, гр. Велико Търново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</si>
  <si>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</si>
  <si>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</si>
  <si>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</si>
  <si>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</si>
  <si>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</si>
  <si>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</si>
  <si>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</si>
  <si>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</si>
  <si>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</si>
  <si>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</si>
  <si>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Изготвил,</t>
  </si>
  <si>
    <t>П. Христов</t>
  </si>
  <si>
    <t>Началник отдел ИТО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</si>
  <si>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</si>
  <si>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</si>
  <si>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инж. Даниел Панов</t>
  </si>
  <si>
    <t>Кмет на Община Велико Търново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</si>
</sst>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51">
    <xf numFmtId="0" fontId="0" fillId="0" borderId="0" xfId="0"/>
    <xf numFmtId="0" fontId="2" fillId="0" borderId="0" xfId="1" applyFont="1" applyFill="1" applyBorder="1" applyAlignment="1">
      <alignment wrapText="1"/>
    </xf>
    <xf numFmtId="0" fontId="2" fillId="0" borderId="0" xfId="2" applyFont="1" applyFill="1" applyAlignment="1"/>
    <xf numFmtId="0" fontId="2" fillId="0" borderId="0" xfId="2" applyFont="1" applyFill="1" applyAlignment="1">
      <alignment wrapText="1"/>
    </xf>
    <xf numFmtId="0" fontId="2" fillId="0" borderId="0" xfId="2" applyFont="1" applyFill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centerContinuous"/>
    </xf>
    <xf numFmtId="0" fontId="5" fillId="0" borderId="0" xfId="2" applyFont="1" applyFill="1"/>
    <xf numFmtId="0" fontId="5" fillId="0" borderId="0" xfId="2" applyNumberFormat="1" applyFont="1" applyFill="1" applyBorder="1" applyAlignment="1">
      <alignment horizontal="centerContinuous"/>
    </xf>
    <xf numFmtId="0" fontId="5" fillId="0" borderId="0" xfId="2" applyNumberFormat="1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1" xfId="3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wrapText="1"/>
    </xf>
    <xf numFmtId="3" fontId="5" fillId="0" borderId="2" xfId="1" applyNumberFormat="1" applyFont="1" applyFill="1" applyBorder="1" applyAlignment="1">
      <alignment horizontal="center" wrapText="1"/>
    </xf>
    <xf numFmtId="3" fontId="5" fillId="0" borderId="2" xfId="1" applyNumberFormat="1" applyFont="1" applyFill="1" applyBorder="1"/>
    <xf numFmtId="0" fontId="5" fillId="0" borderId="0" xfId="2" applyFont="1" applyFill="1" applyBorder="1"/>
    <xf numFmtId="0" fontId="5" fillId="0" borderId="1" xfId="1" applyFont="1" applyFill="1" applyBorder="1" applyAlignment="1">
      <alignment wrapText="1"/>
    </xf>
    <xf numFmtId="3" fontId="5" fillId="0" borderId="1" xfId="1" applyNumberFormat="1" applyFont="1" applyFill="1" applyBorder="1"/>
    <xf numFmtId="3" fontId="5" fillId="0" borderId="1" xfId="1" applyNumberFormat="1" applyFont="1" applyFill="1" applyBorder="1" applyAlignment="1"/>
    <xf numFmtId="0" fontId="2" fillId="0" borderId="1" xfId="2" applyFont="1" applyFill="1" applyBorder="1" applyAlignment="1">
      <alignment wrapText="1"/>
    </xf>
    <xf numFmtId="3" fontId="2" fillId="0" borderId="1" xfId="1" applyNumberFormat="1" applyFont="1" applyFill="1" applyBorder="1" applyAlignment="1"/>
    <xf numFmtId="0" fontId="5" fillId="0" borderId="1" xfId="2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3" fontId="2" fillId="0" borderId="1" xfId="1" applyNumberFormat="1" applyFont="1" applyFill="1" applyBorder="1"/>
    <xf numFmtId="0" fontId="2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right"/>
    </xf>
    <xf numFmtId="0" fontId="2" fillId="0" borderId="1" xfId="4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wrapText="1"/>
    </xf>
    <xf numFmtId="3" fontId="2" fillId="0" borderId="1" xfId="0" applyNumberFormat="1" applyFont="1" applyFill="1" applyBorder="1"/>
    <xf numFmtId="0" fontId="5" fillId="0" borderId="1" xfId="3" applyFont="1" applyFill="1" applyBorder="1" applyAlignment="1">
      <alignment wrapText="1"/>
    </xf>
    <xf numFmtId="3" fontId="2" fillId="0" borderId="0" xfId="2" applyNumberFormat="1" applyFont="1" applyFill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2" fillId="0" borderId="0" xfId="4" applyFont="1" applyFill="1" applyBorder="1" applyAlignment="1">
      <alignment vertical="center" wrapText="1"/>
    </xf>
    <xf numFmtId="0" fontId="2" fillId="0" borderId="0" xfId="5" applyFont="1" applyFill="1" applyAlignment="1"/>
    <xf numFmtId="0" fontId="5" fillId="0" borderId="0" xfId="5" applyFont="1" applyFill="1" applyAlignment="1"/>
    <xf numFmtId="0" fontId="7" fillId="0" borderId="0" xfId="5" applyFont="1" applyFill="1" applyAlignment="1"/>
    <xf numFmtId="0" fontId="5" fillId="0" borderId="0" xfId="5" applyFont="1" applyFill="1" applyBorder="1" applyAlignment="1"/>
    <xf numFmtId="0" fontId="7" fillId="0" borderId="0" xfId="2" applyFont="1" applyFill="1" applyAlignment="1"/>
  </cellXfs>
  <cellStyles count="6">
    <cellStyle name="Normal_Sheet1" xfId="4"/>
    <cellStyle name="Нормален" xfId="0" builtinId="0"/>
    <cellStyle name="Нормален 2" xfId="3"/>
    <cellStyle name="Нормален 3 2" xfId="5"/>
    <cellStyle name="Нормален_ИП-2011г-начална 2" xfId="2"/>
    <cellStyle name="Нормален_Лист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8/&#1057;&#1045;&#1057;&#1048;&#1071;%20&#1041;&#1070;&#1044;&#1046;&#1045;&#1058;%202018%20-%20&#1042;&#1053;&#1045;&#1057;&#1045;&#1053;&#1040;%20&#1042;&#1066;&#1042;%20&#1042;&#1058;&#1054;&#1041;&#1057;/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360"/>
  <sheetViews>
    <sheetView tabSelected="1" zoomScaleNormal="100" workbookViewId="0">
      <pane xSplit="1" ySplit="7" topLeftCell="E8" activePane="bottomRight" state="frozen"/>
      <selection activeCell="A206" sqref="A206"/>
      <selection pane="topRight" activeCell="A206" sqref="A206"/>
      <selection pane="bottomLeft" activeCell="A206" sqref="A206"/>
      <selection pane="bottomRight" activeCell="I17" sqref="I17"/>
    </sheetView>
  </sheetViews>
  <sheetFormatPr defaultColWidth="15.5703125" defaultRowHeight="15.75" x14ac:dyDescent="0.25"/>
  <cols>
    <col min="1" max="1" width="53.42578125" style="3" customWidth="1"/>
    <col min="2" max="4" width="12.5703125" style="4" customWidth="1"/>
    <col min="5" max="7" width="15.5703125" style="4" customWidth="1"/>
    <col min="8" max="10" width="17.7109375" style="4" customWidth="1"/>
    <col min="11" max="13" width="12" style="4" customWidth="1"/>
    <col min="14" max="16" width="14.7109375" style="4" customWidth="1"/>
    <col min="17" max="19" width="10.85546875" style="4" customWidth="1"/>
    <col min="20" max="22" width="16.28515625" style="4" customWidth="1"/>
    <col min="23" max="25" width="12.7109375" style="4" customWidth="1"/>
    <col min="26" max="27" width="15.28515625" style="4" customWidth="1"/>
    <col min="28" max="28" width="12.7109375" style="4" customWidth="1"/>
    <col min="29" max="167" width="29.28515625" style="4" customWidth="1"/>
    <col min="168" max="168" width="42.42578125" style="4" customWidth="1"/>
    <col min="169" max="171" width="12.42578125" style="4" customWidth="1"/>
    <col min="172" max="174" width="10.85546875" style="4" customWidth="1"/>
    <col min="175" max="177" width="14.5703125" style="4" bestFit="1" customWidth="1"/>
    <col min="178" max="180" width="11" style="4" customWidth="1"/>
    <col min="181" max="183" width="14.5703125" style="4" customWidth="1"/>
    <col min="184" max="186" width="15.28515625" style="4" customWidth="1"/>
    <col min="187" max="187" width="15.5703125" style="4"/>
    <col min="188" max="188" width="44.5703125" style="4" customWidth="1"/>
    <col min="189" max="189" width="13.85546875" style="4" customWidth="1"/>
    <col min="190" max="190" width="10.85546875" style="4" customWidth="1"/>
    <col min="191" max="191" width="14.5703125" style="4" customWidth="1"/>
    <col min="192" max="192" width="11" style="4" customWidth="1"/>
    <col min="193" max="193" width="10.85546875" style="4" customWidth="1"/>
    <col min="194" max="194" width="14.5703125" style="4" customWidth="1"/>
    <col min="195" max="196" width="15.5703125" style="4" customWidth="1"/>
    <col min="197" max="197" width="17.7109375" style="4" customWidth="1"/>
    <col min="198" max="423" width="29.28515625" style="4" customWidth="1"/>
    <col min="424" max="424" width="42.42578125" style="4" customWidth="1"/>
    <col min="425" max="427" width="12.42578125" style="4" customWidth="1"/>
    <col min="428" max="430" width="10.85546875" style="4" customWidth="1"/>
    <col min="431" max="433" width="14.5703125" style="4" bestFit="1" customWidth="1"/>
    <col min="434" max="436" width="11" style="4" customWidth="1"/>
    <col min="437" max="439" width="14.5703125" style="4" customWidth="1"/>
    <col min="440" max="442" width="15.28515625" style="4" customWidth="1"/>
    <col min="443" max="443" width="15.5703125" style="4"/>
    <col min="444" max="444" width="44.5703125" style="4" customWidth="1"/>
    <col min="445" max="445" width="13.85546875" style="4" customWidth="1"/>
    <col min="446" max="446" width="10.85546875" style="4" customWidth="1"/>
    <col min="447" max="447" width="14.5703125" style="4" customWidth="1"/>
    <col min="448" max="448" width="11" style="4" customWidth="1"/>
    <col min="449" max="449" width="10.85546875" style="4" customWidth="1"/>
    <col min="450" max="450" width="14.5703125" style="4" customWidth="1"/>
    <col min="451" max="452" width="15.5703125" style="4" customWidth="1"/>
    <col min="453" max="453" width="17.7109375" style="4" customWidth="1"/>
    <col min="454" max="679" width="29.28515625" style="4" customWidth="1"/>
    <col min="680" max="680" width="42.42578125" style="4" customWidth="1"/>
    <col min="681" max="683" width="12.42578125" style="4" customWidth="1"/>
    <col min="684" max="686" width="10.85546875" style="4" customWidth="1"/>
    <col min="687" max="689" width="14.5703125" style="4" bestFit="1" customWidth="1"/>
    <col min="690" max="692" width="11" style="4" customWidth="1"/>
    <col min="693" max="695" width="14.5703125" style="4" customWidth="1"/>
    <col min="696" max="698" width="15.28515625" style="4" customWidth="1"/>
    <col min="699" max="699" width="15.5703125" style="4"/>
    <col min="700" max="700" width="44.5703125" style="4" customWidth="1"/>
    <col min="701" max="701" width="13.85546875" style="4" customWidth="1"/>
    <col min="702" max="702" width="10.85546875" style="4" customWidth="1"/>
    <col min="703" max="703" width="14.5703125" style="4" customWidth="1"/>
    <col min="704" max="704" width="11" style="4" customWidth="1"/>
    <col min="705" max="705" width="10.85546875" style="4" customWidth="1"/>
    <col min="706" max="706" width="14.5703125" style="4" customWidth="1"/>
    <col min="707" max="708" width="15.5703125" style="4" customWidth="1"/>
    <col min="709" max="709" width="17.7109375" style="4" customWidth="1"/>
    <col min="710" max="935" width="29.28515625" style="4" customWidth="1"/>
    <col min="936" max="936" width="42.42578125" style="4" customWidth="1"/>
    <col min="937" max="939" width="12.42578125" style="4" customWidth="1"/>
    <col min="940" max="942" width="10.85546875" style="4" customWidth="1"/>
    <col min="943" max="945" width="14.5703125" style="4" bestFit="1" customWidth="1"/>
    <col min="946" max="948" width="11" style="4" customWidth="1"/>
    <col min="949" max="951" width="14.5703125" style="4" customWidth="1"/>
    <col min="952" max="954" width="15.28515625" style="4" customWidth="1"/>
    <col min="955" max="955" width="15.5703125" style="4"/>
    <col min="956" max="956" width="44.5703125" style="4" customWidth="1"/>
    <col min="957" max="957" width="13.85546875" style="4" customWidth="1"/>
    <col min="958" max="958" width="10.85546875" style="4" customWidth="1"/>
    <col min="959" max="959" width="14.5703125" style="4" customWidth="1"/>
    <col min="960" max="960" width="11" style="4" customWidth="1"/>
    <col min="961" max="961" width="10.85546875" style="4" customWidth="1"/>
    <col min="962" max="962" width="14.5703125" style="4" customWidth="1"/>
    <col min="963" max="964" width="15.5703125" style="4" customWidth="1"/>
    <col min="965" max="965" width="17.7109375" style="4" customWidth="1"/>
    <col min="966" max="1191" width="29.28515625" style="4" customWidth="1"/>
    <col min="1192" max="1192" width="42.42578125" style="4" customWidth="1"/>
    <col min="1193" max="1195" width="12.42578125" style="4" customWidth="1"/>
    <col min="1196" max="1198" width="10.85546875" style="4" customWidth="1"/>
    <col min="1199" max="1201" width="14.5703125" style="4" bestFit="1" customWidth="1"/>
    <col min="1202" max="1204" width="11" style="4" customWidth="1"/>
    <col min="1205" max="1207" width="14.5703125" style="4" customWidth="1"/>
    <col min="1208" max="1210" width="15.28515625" style="4" customWidth="1"/>
    <col min="1211" max="1211" width="15.5703125" style="4"/>
    <col min="1212" max="1212" width="44.5703125" style="4" customWidth="1"/>
    <col min="1213" max="1213" width="13.85546875" style="4" customWidth="1"/>
    <col min="1214" max="1214" width="10.85546875" style="4" customWidth="1"/>
    <col min="1215" max="1215" width="14.5703125" style="4" customWidth="1"/>
    <col min="1216" max="1216" width="11" style="4" customWidth="1"/>
    <col min="1217" max="1217" width="10.85546875" style="4" customWidth="1"/>
    <col min="1218" max="1218" width="14.5703125" style="4" customWidth="1"/>
    <col min="1219" max="1220" width="15.5703125" style="4" customWidth="1"/>
    <col min="1221" max="1221" width="17.7109375" style="4" customWidth="1"/>
    <col min="1222" max="1447" width="29.28515625" style="4" customWidth="1"/>
    <col min="1448" max="1448" width="42.42578125" style="4" customWidth="1"/>
    <col min="1449" max="1451" width="12.42578125" style="4" customWidth="1"/>
    <col min="1452" max="1454" width="10.85546875" style="4" customWidth="1"/>
    <col min="1455" max="1457" width="14.5703125" style="4" bestFit="1" customWidth="1"/>
    <col min="1458" max="1460" width="11" style="4" customWidth="1"/>
    <col min="1461" max="1463" width="14.5703125" style="4" customWidth="1"/>
    <col min="1464" max="1466" width="15.28515625" style="4" customWidth="1"/>
    <col min="1467" max="1467" width="15.5703125" style="4"/>
    <col min="1468" max="1468" width="44.5703125" style="4" customWidth="1"/>
    <col min="1469" max="1469" width="13.85546875" style="4" customWidth="1"/>
    <col min="1470" max="1470" width="10.85546875" style="4" customWidth="1"/>
    <col min="1471" max="1471" width="14.5703125" style="4" customWidth="1"/>
    <col min="1472" max="1472" width="11" style="4" customWidth="1"/>
    <col min="1473" max="1473" width="10.85546875" style="4" customWidth="1"/>
    <col min="1474" max="1474" width="14.5703125" style="4" customWidth="1"/>
    <col min="1475" max="1476" width="15.5703125" style="4" customWidth="1"/>
    <col min="1477" max="1477" width="17.7109375" style="4" customWidth="1"/>
    <col min="1478" max="1703" width="29.28515625" style="4" customWidth="1"/>
    <col min="1704" max="1704" width="42.42578125" style="4" customWidth="1"/>
    <col min="1705" max="1707" width="12.42578125" style="4" customWidth="1"/>
    <col min="1708" max="1710" width="10.85546875" style="4" customWidth="1"/>
    <col min="1711" max="1713" width="14.5703125" style="4" bestFit="1" customWidth="1"/>
    <col min="1714" max="1716" width="11" style="4" customWidth="1"/>
    <col min="1717" max="1719" width="14.5703125" style="4" customWidth="1"/>
    <col min="1720" max="1722" width="15.28515625" style="4" customWidth="1"/>
    <col min="1723" max="1723" width="15.5703125" style="4"/>
    <col min="1724" max="1724" width="44.5703125" style="4" customWidth="1"/>
    <col min="1725" max="1725" width="13.85546875" style="4" customWidth="1"/>
    <col min="1726" max="1726" width="10.85546875" style="4" customWidth="1"/>
    <col min="1727" max="1727" width="14.5703125" style="4" customWidth="1"/>
    <col min="1728" max="1728" width="11" style="4" customWidth="1"/>
    <col min="1729" max="1729" width="10.85546875" style="4" customWidth="1"/>
    <col min="1730" max="1730" width="14.5703125" style="4" customWidth="1"/>
    <col min="1731" max="1732" width="15.5703125" style="4" customWidth="1"/>
    <col min="1733" max="1733" width="17.7109375" style="4" customWidth="1"/>
    <col min="1734" max="1959" width="29.28515625" style="4" customWidth="1"/>
    <col min="1960" max="1960" width="42.42578125" style="4" customWidth="1"/>
    <col min="1961" max="1963" width="12.42578125" style="4" customWidth="1"/>
    <col min="1964" max="1966" width="10.85546875" style="4" customWidth="1"/>
    <col min="1967" max="1969" width="14.5703125" style="4" bestFit="1" customWidth="1"/>
    <col min="1970" max="1972" width="11" style="4" customWidth="1"/>
    <col min="1973" max="1975" width="14.5703125" style="4" customWidth="1"/>
    <col min="1976" max="1978" width="15.28515625" style="4" customWidth="1"/>
    <col min="1979" max="1979" width="15.5703125" style="4"/>
    <col min="1980" max="1980" width="44.5703125" style="4" customWidth="1"/>
    <col min="1981" max="1981" width="13.85546875" style="4" customWidth="1"/>
    <col min="1982" max="1982" width="10.85546875" style="4" customWidth="1"/>
    <col min="1983" max="1983" width="14.5703125" style="4" customWidth="1"/>
    <col min="1984" max="1984" width="11" style="4" customWidth="1"/>
    <col min="1985" max="1985" width="10.85546875" style="4" customWidth="1"/>
    <col min="1986" max="1986" width="14.5703125" style="4" customWidth="1"/>
    <col min="1987" max="1988" width="15.5703125" style="4" customWidth="1"/>
    <col min="1989" max="1989" width="17.7109375" style="4" customWidth="1"/>
    <col min="1990" max="2215" width="29.28515625" style="4" customWidth="1"/>
    <col min="2216" max="2216" width="42.42578125" style="4" customWidth="1"/>
    <col min="2217" max="2219" width="12.42578125" style="4" customWidth="1"/>
    <col min="2220" max="2222" width="10.85546875" style="4" customWidth="1"/>
    <col min="2223" max="2225" width="14.5703125" style="4" bestFit="1" customWidth="1"/>
    <col min="2226" max="2228" width="11" style="4" customWidth="1"/>
    <col min="2229" max="2231" width="14.5703125" style="4" customWidth="1"/>
    <col min="2232" max="2234" width="15.28515625" style="4" customWidth="1"/>
    <col min="2235" max="2235" width="15.5703125" style="4"/>
    <col min="2236" max="2236" width="44.5703125" style="4" customWidth="1"/>
    <col min="2237" max="2237" width="13.85546875" style="4" customWidth="1"/>
    <col min="2238" max="2238" width="10.85546875" style="4" customWidth="1"/>
    <col min="2239" max="2239" width="14.5703125" style="4" customWidth="1"/>
    <col min="2240" max="2240" width="11" style="4" customWidth="1"/>
    <col min="2241" max="2241" width="10.85546875" style="4" customWidth="1"/>
    <col min="2242" max="2242" width="14.5703125" style="4" customWidth="1"/>
    <col min="2243" max="2244" width="15.5703125" style="4" customWidth="1"/>
    <col min="2245" max="2245" width="17.7109375" style="4" customWidth="1"/>
    <col min="2246" max="2471" width="29.28515625" style="4" customWidth="1"/>
    <col min="2472" max="2472" width="42.42578125" style="4" customWidth="1"/>
    <col min="2473" max="2475" width="12.42578125" style="4" customWidth="1"/>
    <col min="2476" max="2478" width="10.85546875" style="4" customWidth="1"/>
    <col min="2479" max="2481" width="14.5703125" style="4" bestFit="1" customWidth="1"/>
    <col min="2482" max="2484" width="11" style="4" customWidth="1"/>
    <col min="2485" max="2487" width="14.5703125" style="4" customWidth="1"/>
    <col min="2488" max="2490" width="15.28515625" style="4" customWidth="1"/>
    <col min="2491" max="2491" width="15.5703125" style="4"/>
    <col min="2492" max="2492" width="44.5703125" style="4" customWidth="1"/>
    <col min="2493" max="2493" width="13.85546875" style="4" customWidth="1"/>
    <col min="2494" max="2494" width="10.85546875" style="4" customWidth="1"/>
    <col min="2495" max="2495" width="14.5703125" style="4" customWidth="1"/>
    <col min="2496" max="2496" width="11" style="4" customWidth="1"/>
    <col min="2497" max="2497" width="10.85546875" style="4" customWidth="1"/>
    <col min="2498" max="2498" width="14.5703125" style="4" customWidth="1"/>
    <col min="2499" max="2500" width="15.5703125" style="4" customWidth="1"/>
    <col min="2501" max="2501" width="17.7109375" style="4" customWidth="1"/>
    <col min="2502" max="2727" width="29.28515625" style="4" customWidth="1"/>
    <col min="2728" max="2728" width="42.42578125" style="4" customWidth="1"/>
    <col min="2729" max="2731" width="12.42578125" style="4" customWidth="1"/>
    <col min="2732" max="2734" width="10.85546875" style="4" customWidth="1"/>
    <col min="2735" max="2737" width="14.5703125" style="4" bestFit="1" customWidth="1"/>
    <col min="2738" max="2740" width="11" style="4" customWidth="1"/>
    <col min="2741" max="2743" width="14.5703125" style="4" customWidth="1"/>
    <col min="2744" max="2746" width="15.28515625" style="4" customWidth="1"/>
    <col min="2747" max="2747" width="15.5703125" style="4"/>
    <col min="2748" max="2748" width="44.5703125" style="4" customWidth="1"/>
    <col min="2749" max="2749" width="13.85546875" style="4" customWidth="1"/>
    <col min="2750" max="2750" width="10.85546875" style="4" customWidth="1"/>
    <col min="2751" max="2751" width="14.5703125" style="4" customWidth="1"/>
    <col min="2752" max="2752" width="11" style="4" customWidth="1"/>
    <col min="2753" max="2753" width="10.85546875" style="4" customWidth="1"/>
    <col min="2754" max="2754" width="14.5703125" style="4" customWidth="1"/>
    <col min="2755" max="2756" width="15.5703125" style="4" customWidth="1"/>
    <col min="2757" max="2757" width="17.7109375" style="4" customWidth="1"/>
    <col min="2758" max="2983" width="29.28515625" style="4" customWidth="1"/>
    <col min="2984" max="2984" width="42.42578125" style="4" customWidth="1"/>
    <col min="2985" max="2987" width="12.42578125" style="4" customWidth="1"/>
    <col min="2988" max="2990" width="10.85546875" style="4" customWidth="1"/>
    <col min="2991" max="2993" width="14.5703125" style="4" bestFit="1" customWidth="1"/>
    <col min="2994" max="2996" width="11" style="4" customWidth="1"/>
    <col min="2997" max="2999" width="14.5703125" style="4" customWidth="1"/>
    <col min="3000" max="3002" width="15.28515625" style="4" customWidth="1"/>
    <col min="3003" max="3003" width="15.5703125" style="4"/>
    <col min="3004" max="3004" width="44.5703125" style="4" customWidth="1"/>
    <col min="3005" max="3005" width="13.85546875" style="4" customWidth="1"/>
    <col min="3006" max="3006" width="10.85546875" style="4" customWidth="1"/>
    <col min="3007" max="3007" width="14.5703125" style="4" customWidth="1"/>
    <col min="3008" max="3008" width="11" style="4" customWidth="1"/>
    <col min="3009" max="3009" width="10.85546875" style="4" customWidth="1"/>
    <col min="3010" max="3010" width="14.5703125" style="4" customWidth="1"/>
    <col min="3011" max="3012" width="15.5703125" style="4" customWidth="1"/>
    <col min="3013" max="3013" width="17.7109375" style="4" customWidth="1"/>
    <col min="3014" max="3239" width="29.28515625" style="4" customWidth="1"/>
    <col min="3240" max="3240" width="42.42578125" style="4" customWidth="1"/>
    <col min="3241" max="3243" width="12.42578125" style="4" customWidth="1"/>
    <col min="3244" max="3246" width="10.85546875" style="4" customWidth="1"/>
    <col min="3247" max="3249" width="14.5703125" style="4" bestFit="1" customWidth="1"/>
    <col min="3250" max="3252" width="11" style="4" customWidth="1"/>
    <col min="3253" max="3255" width="14.5703125" style="4" customWidth="1"/>
    <col min="3256" max="3258" width="15.28515625" style="4" customWidth="1"/>
    <col min="3259" max="3259" width="15.5703125" style="4"/>
    <col min="3260" max="3260" width="44.5703125" style="4" customWidth="1"/>
    <col min="3261" max="3261" width="13.85546875" style="4" customWidth="1"/>
    <col min="3262" max="3262" width="10.85546875" style="4" customWidth="1"/>
    <col min="3263" max="3263" width="14.5703125" style="4" customWidth="1"/>
    <col min="3264" max="3264" width="11" style="4" customWidth="1"/>
    <col min="3265" max="3265" width="10.85546875" style="4" customWidth="1"/>
    <col min="3266" max="3266" width="14.5703125" style="4" customWidth="1"/>
    <col min="3267" max="3268" width="15.5703125" style="4" customWidth="1"/>
    <col min="3269" max="3269" width="17.7109375" style="4" customWidth="1"/>
    <col min="3270" max="3495" width="29.28515625" style="4" customWidth="1"/>
    <col min="3496" max="3496" width="42.42578125" style="4" customWidth="1"/>
    <col min="3497" max="3499" width="12.42578125" style="4" customWidth="1"/>
    <col min="3500" max="3502" width="10.85546875" style="4" customWidth="1"/>
    <col min="3503" max="3505" width="14.5703125" style="4" bestFit="1" customWidth="1"/>
    <col min="3506" max="3508" width="11" style="4" customWidth="1"/>
    <col min="3509" max="3511" width="14.5703125" style="4" customWidth="1"/>
    <col min="3512" max="3514" width="15.28515625" style="4" customWidth="1"/>
    <col min="3515" max="3515" width="15.5703125" style="4"/>
    <col min="3516" max="3516" width="44.5703125" style="4" customWidth="1"/>
    <col min="3517" max="3517" width="13.85546875" style="4" customWidth="1"/>
    <col min="3518" max="3518" width="10.85546875" style="4" customWidth="1"/>
    <col min="3519" max="3519" width="14.5703125" style="4" customWidth="1"/>
    <col min="3520" max="3520" width="11" style="4" customWidth="1"/>
    <col min="3521" max="3521" width="10.85546875" style="4" customWidth="1"/>
    <col min="3522" max="3522" width="14.5703125" style="4" customWidth="1"/>
    <col min="3523" max="3524" width="15.5703125" style="4" customWidth="1"/>
    <col min="3525" max="3525" width="17.7109375" style="4" customWidth="1"/>
    <col min="3526" max="3751" width="29.28515625" style="4" customWidth="1"/>
    <col min="3752" max="3752" width="42.42578125" style="4" customWidth="1"/>
    <col min="3753" max="3755" width="12.42578125" style="4" customWidth="1"/>
    <col min="3756" max="3758" width="10.85546875" style="4" customWidth="1"/>
    <col min="3759" max="3761" width="14.5703125" style="4" bestFit="1" customWidth="1"/>
    <col min="3762" max="3764" width="11" style="4" customWidth="1"/>
    <col min="3765" max="3767" width="14.5703125" style="4" customWidth="1"/>
    <col min="3768" max="3770" width="15.28515625" style="4" customWidth="1"/>
    <col min="3771" max="3771" width="15.5703125" style="4"/>
    <col min="3772" max="3772" width="44.5703125" style="4" customWidth="1"/>
    <col min="3773" max="3773" width="13.85546875" style="4" customWidth="1"/>
    <col min="3774" max="3774" width="10.85546875" style="4" customWidth="1"/>
    <col min="3775" max="3775" width="14.5703125" style="4" customWidth="1"/>
    <col min="3776" max="3776" width="11" style="4" customWidth="1"/>
    <col min="3777" max="3777" width="10.85546875" style="4" customWidth="1"/>
    <col min="3778" max="3778" width="14.5703125" style="4" customWidth="1"/>
    <col min="3779" max="3780" width="15.5703125" style="4" customWidth="1"/>
    <col min="3781" max="3781" width="17.7109375" style="4" customWidth="1"/>
    <col min="3782" max="4007" width="29.28515625" style="4" customWidth="1"/>
    <col min="4008" max="4008" width="42.42578125" style="4" customWidth="1"/>
    <col min="4009" max="4011" width="12.42578125" style="4" customWidth="1"/>
    <col min="4012" max="4014" width="10.85546875" style="4" customWidth="1"/>
    <col min="4015" max="4017" width="14.5703125" style="4" bestFit="1" customWidth="1"/>
    <col min="4018" max="4020" width="11" style="4" customWidth="1"/>
    <col min="4021" max="4023" width="14.5703125" style="4" customWidth="1"/>
    <col min="4024" max="4026" width="15.28515625" style="4" customWidth="1"/>
    <col min="4027" max="4027" width="15.5703125" style="4"/>
    <col min="4028" max="4028" width="44.5703125" style="4" customWidth="1"/>
    <col min="4029" max="4029" width="13.85546875" style="4" customWidth="1"/>
    <col min="4030" max="4030" width="10.85546875" style="4" customWidth="1"/>
    <col min="4031" max="4031" width="14.5703125" style="4" customWidth="1"/>
    <col min="4032" max="4032" width="11" style="4" customWidth="1"/>
    <col min="4033" max="4033" width="10.85546875" style="4" customWidth="1"/>
    <col min="4034" max="4034" width="14.5703125" style="4" customWidth="1"/>
    <col min="4035" max="4036" width="15.5703125" style="4" customWidth="1"/>
    <col min="4037" max="4037" width="17.7109375" style="4" customWidth="1"/>
    <col min="4038" max="4263" width="29.28515625" style="4" customWidth="1"/>
    <col min="4264" max="4264" width="42.42578125" style="4" customWidth="1"/>
    <col min="4265" max="4267" width="12.42578125" style="4" customWidth="1"/>
    <col min="4268" max="4270" width="10.85546875" style="4" customWidth="1"/>
    <col min="4271" max="4273" width="14.5703125" style="4" bestFit="1" customWidth="1"/>
    <col min="4274" max="4276" width="11" style="4" customWidth="1"/>
    <col min="4277" max="4279" width="14.5703125" style="4" customWidth="1"/>
    <col min="4280" max="4282" width="15.28515625" style="4" customWidth="1"/>
    <col min="4283" max="4283" width="15.5703125" style="4"/>
    <col min="4284" max="4284" width="44.5703125" style="4" customWidth="1"/>
    <col min="4285" max="4285" width="13.85546875" style="4" customWidth="1"/>
    <col min="4286" max="4286" width="10.85546875" style="4" customWidth="1"/>
    <col min="4287" max="4287" width="14.5703125" style="4" customWidth="1"/>
    <col min="4288" max="4288" width="11" style="4" customWidth="1"/>
    <col min="4289" max="4289" width="10.85546875" style="4" customWidth="1"/>
    <col min="4290" max="4290" width="14.5703125" style="4" customWidth="1"/>
    <col min="4291" max="4292" width="15.5703125" style="4" customWidth="1"/>
    <col min="4293" max="4293" width="17.7109375" style="4" customWidth="1"/>
    <col min="4294" max="4519" width="29.28515625" style="4" customWidth="1"/>
    <col min="4520" max="4520" width="42.42578125" style="4" customWidth="1"/>
    <col min="4521" max="4523" width="12.42578125" style="4" customWidth="1"/>
    <col min="4524" max="4526" width="10.85546875" style="4" customWidth="1"/>
    <col min="4527" max="4529" width="14.5703125" style="4" bestFit="1" customWidth="1"/>
    <col min="4530" max="4532" width="11" style="4" customWidth="1"/>
    <col min="4533" max="4535" width="14.5703125" style="4" customWidth="1"/>
    <col min="4536" max="4538" width="15.28515625" style="4" customWidth="1"/>
    <col min="4539" max="4539" width="15.5703125" style="4"/>
    <col min="4540" max="4540" width="44.5703125" style="4" customWidth="1"/>
    <col min="4541" max="4541" width="13.85546875" style="4" customWidth="1"/>
    <col min="4542" max="4542" width="10.85546875" style="4" customWidth="1"/>
    <col min="4543" max="4543" width="14.5703125" style="4" customWidth="1"/>
    <col min="4544" max="4544" width="11" style="4" customWidth="1"/>
    <col min="4545" max="4545" width="10.85546875" style="4" customWidth="1"/>
    <col min="4546" max="4546" width="14.5703125" style="4" customWidth="1"/>
    <col min="4547" max="4548" width="15.5703125" style="4" customWidth="1"/>
    <col min="4549" max="4549" width="17.7109375" style="4" customWidth="1"/>
    <col min="4550" max="4775" width="29.28515625" style="4" customWidth="1"/>
    <col min="4776" max="4776" width="42.42578125" style="4" customWidth="1"/>
    <col min="4777" max="4779" width="12.42578125" style="4" customWidth="1"/>
    <col min="4780" max="4782" width="10.85546875" style="4" customWidth="1"/>
    <col min="4783" max="4785" width="14.5703125" style="4" bestFit="1" customWidth="1"/>
    <col min="4786" max="4788" width="11" style="4" customWidth="1"/>
    <col min="4789" max="4791" width="14.5703125" style="4" customWidth="1"/>
    <col min="4792" max="4794" width="15.28515625" style="4" customWidth="1"/>
    <col min="4795" max="4795" width="15.5703125" style="4"/>
    <col min="4796" max="4796" width="44.5703125" style="4" customWidth="1"/>
    <col min="4797" max="4797" width="13.85546875" style="4" customWidth="1"/>
    <col min="4798" max="4798" width="10.85546875" style="4" customWidth="1"/>
    <col min="4799" max="4799" width="14.5703125" style="4" customWidth="1"/>
    <col min="4800" max="4800" width="11" style="4" customWidth="1"/>
    <col min="4801" max="4801" width="10.85546875" style="4" customWidth="1"/>
    <col min="4802" max="4802" width="14.5703125" style="4" customWidth="1"/>
    <col min="4803" max="4804" width="15.5703125" style="4" customWidth="1"/>
    <col min="4805" max="4805" width="17.7109375" style="4" customWidth="1"/>
    <col min="4806" max="5031" width="29.28515625" style="4" customWidth="1"/>
    <col min="5032" max="5032" width="42.42578125" style="4" customWidth="1"/>
    <col min="5033" max="5035" width="12.42578125" style="4" customWidth="1"/>
    <col min="5036" max="5038" width="10.85546875" style="4" customWidth="1"/>
    <col min="5039" max="5041" width="14.5703125" style="4" bestFit="1" customWidth="1"/>
    <col min="5042" max="5044" width="11" style="4" customWidth="1"/>
    <col min="5045" max="5047" width="14.5703125" style="4" customWidth="1"/>
    <col min="5048" max="5050" width="15.28515625" style="4" customWidth="1"/>
    <col min="5051" max="5051" width="15.5703125" style="4"/>
    <col min="5052" max="5052" width="44.5703125" style="4" customWidth="1"/>
    <col min="5053" max="5053" width="13.85546875" style="4" customWidth="1"/>
    <col min="5054" max="5054" width="10.85546875" style="4" customWidth="1"/>
    <col min="5055" max="5055" width="14.5703125" style="4" customWidth="1"/>
    <col min="5056" max="5056" width="11" style="4" customWidth="1"/>
    <col min="5057" max="5057" width="10.85546875" style="4" customWidth="1"/>
    <col min="5058" max="5058" width="14.5703125" style="4" customWidth="1"/>
    <col min="5059" max="5060" width="15.5703125" style="4" customWidth="1"/>
    <col min="5061" max="5061" width="17.7109375" style="4" customWidth="1"/>
    <col min="5062" max="5287" width="29.28515625" style="4" customWidth="1"/>
    <col min="5288" max="5288" width="42.42578125" style="4" customWidth="1"/>
    <col min="5289" max="5291" width="12.42578125" style="4" customWidth="1"/>
    <col min="5292" max="5294" width="10.85546875" style="4" customWidth="1"/>
    <col min="5295" max="5297" width="14.5703125" style="4" bestFit="1" customWidth="1"/>
    <col min="5298" max="5300" width="11" style="4" customWidth="1"/>
    <col min="5301" max="5303" width="14.5703125" style="4" customWidth="1"/>
    <col min="5304" max="5306" width="15.28515625" style="4" customWidth="1"/>
    <col min="5307" max="5307" width="15.5703125" style="4"/>
    <col min="5308" max="5308" width="44.5703125" style="4" customWidth="1"/>
    <col min="5309" max="5309" width="13.85546875" style="4" customWidth="1"/>
    <col min="5310" max="5310" width="10.85546875" style="4" customWidth="1"/>
    <col min="5311" max="5311" width="14.5703125" style="4" customWidth="1"/>
    <col min="5312" max="5312" width="11" style="4" customWidth="1"/>
    <col min="5313" max="5313" width="10.85546875" style="4" customWidth="1"/>
    <col min="5314" max="5314" width="14.5703125" style="4" customWidth="1"/>
    <col min="5315" max="5316" width="15.5703125" style="4" customWidth="1"/>
    <col min="5317" max="5317" width="17.7109375" style="4" customWidth="1"/>
    <col min="5318" max="5543" width="29.28515625" style="4" customWidth="1"/>
    <col min="5544" max="5544" width="42.42578125" style="4" customWidth="1"/>
    <col min="5545" max="5547" width="12.42578125" style="4" customWidth="1"/>
    <col min="5548" max="5550" width="10.85546875" style="4" customWidth="1"/>
    <col min="5551" max="5553" width="14.5703125" style="4" bestFit="1" customWidth="1"/>
    <col min="5554" max="5556" width="11" style="4" customWidth="1"/>
    <col min="5557" max="5559" width="14.5703125" style="4" customWidth="1"/>
    <col min="5560" max="5562" width="15.28515625" style="4" customWidth="1"/>
    <col min="5563" max="5563" width="15.5703125" style="4"/>
    <col min="5564" max="5564" width="44.5703125" style="4" customWidth="1"/>
    <col min="5565" max="5565" width="13.85546875" style="4" customWidth="1"/>
    <col min="5566" max="5566" width="10.85546875" style="4" customWidth="1"/>
    <col min="5567" max="5567" width="14.5703125" style="4" customWidth="1"/>
    <col min="5568" max="5568" width="11" style="4" customWidth="1"/>
    <col min="5569" max="5569" width="10.85546875" style="4" customWidth="1"/>
    <col min="5570" max="5570" width="14.5703125" style="4" customWidth="1"/>
    <col min="5571" max="5572" width="15.5703125" style="4" customWidth="1"/>
    <col min="5573" max="5573" width="17.7109375" style="4" customWidth="1"/>
    <col min="5574" max="5799" width="29.28515625" style="4" customWidth="1"/>
    <col min="5800" max="5800" width="42.42578125" style="4" customWidth="1"/>
    <col min="5801" max="5803" width="12.42578125" style="4" customWidth="1"/>
    <col min="5804" max="5806" width="10.85546875" style="4" customWidth="1"/>
    <col min="5807" max="5809" width="14.5703125" style="4" bestFit="1" customWidth="1"/>
    <col min="5810" max="5812" width="11" style="4" customWidth="1"/>
    <col min="5813" max="5815" width="14.5703125" style="4" customWidth="1"/>
    <col min="5816" max="5818" width="15.28515625" style="4" customWidth="1"/>
    <col min="5819" max="5819" width="15.5703125" style="4"/>
    <col min="5820" max="5820" width="44.5703125" style="4" customWidth="1"/>
    <col min="5821" max="5821" width="13.85546875" style="4" customWidth="1"/>
    <col min="5822" max="5822" width="10.85546875" style="4" customWidth="1"/>
    <col min="5823" max="5823" width="14.5703125" style="4" customWidth="1"/>
    <col min="5824" max="5824" width="11" style="4" customWidth="1"/>
    <col min="5825" max="5825" width="10.85546875" style="4" customWidth="1"/>
    <col min="5826" max="5826" width="14.5703125" style="4" customWidth="1"/>
    <col min="5827" max="5828" width="15.5703125" style="4" customWidth="1"/>
    <col min="5829" max="5829" width="17.7109375" style="4" customWidth="1"/>
    <col min="5830" max="6055" width="29.28515625" style="4" customWidth="1"/>
    <col min="6056" max="6056" width="42.42578125" style="4" customWidth="1"/>
    <col min="6057" max="6059" width="12.42578125" style="4" customWidth="1"/>
    <col min="6060" max="6062" width="10.85546875" style="4" customWidth="1"/>
    <col min="6063" max="6065" width="14.5703125" style="4" bestFit="1" customWidth="1"/>
    <col min="6066" max="6068" width="11" style="4" customWidth="1"/>
    <col min="6069" max="6071" width="14.5703125" style="4" customWidth="1"/>
    <col min="6072" max="6074" width="15.28515625" style="4" customWidth="1"/>
    <col min="6075" max="6075" width="15.5703125" style="4"/>
    <col min="6076" max="6076" width="44.5703125" style="4" customWidth="1"/>
    <col min="6077" max="6077" width="13.85546875" style="4" customWidth="1"/>
    <col min="6078" max="6078" width="10.85546875" style="4" customWidth="1"/>
    <col min="6079" max="6079" width="14.5703125" style="4" customWidth="1"/>
    <col min="6080" max="6080" width="11" style="4" customWidth="1"/>
    <col min="6081" max="6081" width="10.85546875" style="4" customWidth="1"/>
    <col min="6082" max="6082" width="14.5703125" style="4" customWidth="1"/>
    <col min="6083" max="6084" width="15.5703125" style="4" customWidth="1"/>
    <col min="6085" max="6085" width="17.7109375" style="4" customWidth="1"/>
    <col min="6086" max="6311" width="29.28515625" style="4" customWidth="1"/>
    <col min="6312" max="6312" width="42.42578125" style="4" customWidth="1"/>
    <col min="6313" max="6315" width="12.42578125" style="4" customWidth="1"/>
    <col min="6316" max="6318" width="10.85546875" style="4" customWidth="1"/>
    <col min="6319" max="6321" width="14.5703125" style="4" bestFit="1" customWidth="1"/>
    <col min="6322" max="6324" width="11" style="4" customWidth="1"/>
    <col min="6325" max="6327" width="14.5703125" style="4" customWidth="1"/>
    <col min="6328" max="6330" width="15.28515625" style="4" customWidth="1"/>
    <col min="6331" max="6331" width="15.5703125" style="4"/>
    <col min="6332" max="6332" width="44.5703125" style="4" customWidth="1"/>
    <col min="6333" max="6333" width="13.85546875" style="4" customWidth="1"/>
    <col min="6334" max="6334" width="10.85546875" style="4" customWidth="1"/>
    <col min="6335" max="6335" width="14.5703125" style="4" customWidth="1"/>
    <col min="6336" max="6336" width="11" style="4" customWidth="1"/>
    <col min="6337" max="6337" width="10.85546875" style="4" customWidth="1"/>
    <col min="6338" max="6338" width="14.5703125" style="4" customWidth="1"/>
    <col min="6339" max="6340" width="15.5703125" style="4" customWidth="1"/>
    <col min="6341" max="6341" width="17.7109375" style="4" customWidth="1"/>
    <col min="6342" max="6567" width="29.28515625" style="4" customWidth="1"/>
    <col min="6568" max="6568" width="42.42578125" style="4" customWidth="1"/>
    <col min="6569" max="6571" width="12.42578125" style="4" customWidth="1"/>
    <col min="6572" max="6574" width="10.85546875" style="4" customWidth="1"/>
    <col min="6575" max="6577" width="14.5703125" style="4" bestFit="1" customWidth="1"/>
    <col min="6578" max="6580" width="11" style="4" customWidth="1"/>
    <col min="6581" max="6583" width="14.5703125" style="4" customWidth="1"/>
    <col min="6584" max="6586" width="15.28515625" style="4" customWidth="1"/>
    <col min="6587" max="6587" width="15.5703125" style="4"/>
    <col min="6588" max="6588" width="44.5703125" style="4" customWidth="1"/>
    <col min="6589" max="6589" width="13.85546875" style="4" customWidth="1"/>
    <col min="6590" max="6590" width="10.85546875" style="4" customWidth="1"/>
    <col min="6591" max="6591" width="14.5703125" style="4" customWidth="1"/>
    <col min="6592" max="6592" width="11" style="4" customWidth="1"/>
    <col min="6593" max="6593" width="10.85546875" style="4" customWidth="1"/>
    <col min="6594" max="6594" width="14.5703125" style="4" customWidth="1"/>
    <col min="6595" max="6596" width="15.5703125" style="4" customWidth="1"/>
    <col min="6597" max="6597" width="17.7109375" style="4" customWidth="1"/>
    <col min="6598" max="6823" width="29.28515625" style="4" customWidth="1"/>
    <col min="6824" max="6824" width="42.42578125" style="4" customWidth="1"/>
    <col min="6825" max="6827" width="12.42578125" style="4" customWidth="1"/>
    <col min="6828" max="6830" width="10.85546875" style="4" customWidth="1"/>
    <col min="6831" max="6833" width="14.5703125" style="4" bestFit="1" customWidth="1"/>
    <col min="6834" max="6836" width="11" style="4" customWidth="1"/>
    <col min="6837" max="6839" width="14.5703125" style="4" customWidth="1"/>
    <col min="6840" max="6842" width="15.28515625" style="4" customWidth="1"/>
    <col min="6843" max="6843" width="15.5703125" style="4"/>
    <col min="6844" max="6844" width="44.5703125" style="4" customWidth="1"/>
    <col min="6845" max="6845" width="13.85546875" style="4" customWidth="1"/>
    <col min="6846" max="6846" width="10.85546875" style="4" customWidth="1"/>
    <col min="6847" max="6847" width="14.5703125" style="4" customWidth="1"/>
    <col min="6848" max="6848" width="11" style="4" customWidth="1"/>
    <col min="6849" max="6849" width="10.85546875" style="4" customWidth="1"/>
    <col min="6850" max="6850" width="14.5703125" style="4" customWidth="1"/>
    <col min="6851" max="6852" width="15.5703125" style="4" customWidth="1"/>
    <col min="6853" max="6853" width="17.7109375" style="4" customWidth="1"/>
    <col min="6854" max="7079" width="29.28515625" style="4" customWidth="1"/>
    <col min="7080" max="7080" width="42.42578125" style="4" customWidth="1"/>
    <col min="7081" max="7083" width="12.42578125" style="4" customWidth="1"/>
    <col min="7084" max="7086" width="10.85546875" style="4" customWidth="1"/>
    <col min="7087" max="7089" width="14.5703125" style="4" bestFit="1" customWidth="1"/>
    <col min="7090" max="7092" width="11" style="4" customWidth="1"/>
    <col min="7093" max="7095" width="14.5703125" style="4" customWidth="1"/>
    <col min="7096" max="7098" width="15.28515625" style="4" customWidth="1"/>
    <col min="7099" max="7099" width="15.5703125" style="4"/>
    <col min="7100" max="7100" width="44.5703125" style="4" customWidth="1"/>
    <col min="7101" max="7101" width="13.85546875" style="4" customWidth="1"/>
    <col min="7102" max="7102" width="10.85546875" style="4" customWidth="1"/>
    <col min="7103" max="7103" width="14.5703125" style="4" customWidth="1"/>
    <col min="7104" max="7104" width="11" style="4" customWidth="1"/>
    <col min="7105" max="7105" width="10.85546875" style="4" customWidth="1"/>
    <col min="7106" max="7106" width="14.5703125" style="4" customWidth="1"/>
    <col min="7107" max="7108" width="15.5703125" style="4" customWidth="1"/>
    <col min="7109" max="7109" width="17.7109375" style="4" customWidth="1"/>
    <col min="7110" max="7335" width="29.28515625" style="4" customWidth="1"/>
    <col min="7336" max="7336" width="42.42578125" style="4" customWidth="1"/>
    <col min="7337" max="7339" width="12.42578125" style="4" customWidth="1"/>
    <col min="7340" max="7342" width="10.85546875" style="4" customWidth="1"/>
    <col min="7343" max="7345" width="14.5703125" style="4" bestFit="1" customWidth="1"/>
    <col min="7346" max="7348" width="11" style="4" customWidth="1"/>
    <col min="7349" max="7351" width="14.5703125" style="4" customWidth="1"/>
    <col min="7352" max="7354" width="15.28515625" style="4" customWidth="1"/>
    <col min="7355" max="7355" width="15.5703125" style="4"/>
    <col min="7356" max="7356" width="44.5703125" style="4" customWidth="1"/>
    <col min="7357" max="7357" width="13.85546875" style="4" customWidth="1"/>
    <col min="7358" max="7358" width="10.85546875" style="4" customWidth="1"/>
    <col min="7359" max="7359" width="14.5703125" style="4" customWidth="1"/>
    <col min="7360" max="7360" width="11" style="4" customWidth="1"/>
    <col min="7361" max="7361" width="10.85546875" style="4" customWidth="1"/>
    <col min="7362" max="7362" width="14.5703125" style="4" customWidth="1"/>
    <col min="7363" max="7364" width="15.5703125" style="4" customWidth="1"/>
    <col min="7365" max="7365" width="17.7109375" style="4" customWidth="1"/>
    <col min="7366" max="7591" width="29.28515625" style="4" customWidth="1"/>
    <col min="7592" max="7592" width="42.42578125" style="4" customWidth="1"/>
    <col min="7593" max="7595" width="12.42578125" style="4" customWidth="1"/>
    <col min="7596" max="7598" width="10.85546875" style="4" customWidth="1"/>
    <col min="7599" max="7601" width="14.5703125" style="4" bestFit="1" customWidth="1"/>
    <col min="7602" max="7604" width="11" style="4" customWidth="1"/>
    <col min="7605" max="7607" width="14.5703125" style="4" customWidth="1"/>
    <col min="7608" max="7610" width="15.28515625" style="4" customWidth="1"/>
    <col min="7611" max="7611" width="15.5703125" style="4"/>
    <col min="7612" max="7612" width="44.5703125" style="4" customWidth="1"/>
    <col min="7613" max="7613" width="13.85546875" style="4" customWidth="1"/>
    <col min="7614" max="7614" width="10.85546875" style="4" customWidth="1"/>
    <col min="7615" max="7615" width="14.5703125" style="4" customWidth="1"/>
    <col min="7616" max="7616" width="11" style="4" customWidth="1"/>
    <col min="7617" max="7617" width="10.85546875" style="4" customWidth="1"/>
    <col min="7618" max="7618" width="14.5703125" style="4" customWidth="1"/>
    <col min="7619" max="7620" width="15.5703125" style="4" customWidth="1"/>
    <col min="7621" max="7621" width="17.7109375" style="4" customWidth="1"/>
    <col min="7622" max="7847" width="29.28515625" style="4" customWidth="1"/>
    <col min="7848" max="7848" width="42.42578125" style="4" customWidth="1"/>
    <col min="7849" max="7851" width="12.42578125" style="4" customWidth="1"/>
    <col min="7852" max="7854" width="10.85546875" style="4" customWidth="1"/>
    <col min="7855" max="7857" width="14.5703125" style="4" bestFit="1" customWidth="1"/>
    <col min="7858" max="7860" width="11" style="4" customWidth="1"/>
    <col min="7861" max="7863" width="14.5703125" style="4" customWidth="1"/>
    <col min="7864" max="7866" width="15.28515625" style="4" customWidth="1"/>
    <col min="7867" max="7867" width="15.5703125" style="4"/>
    <col min="7868" max="7868" width="44.5703125" style="4" customWidth="1"/>
    <col min="7869" max="7869" width="13.85546875" style="4" customWidth="1"/>
    <col min="7870" max="7870" width="10.85546875" style="4" customWidth="1"/>
    <col min="7871" max="7871" width="14.5703125" style="4" customWidth="1"/>
    <col min="7872" max="7872" width="11" style="4" customWidth="1"/>
    <col min="7873" max="7873" width="10.85546875" style="4" customWidth="1"/>
    <col min="7874" max="7874" width="14.5703125" style="4" customWidth="1"/>
    <col min="7875" max="7876" width="15.5703125" style="4" customWidth="1"/>
    <col min="7877" max="7877" width="17.7109375" style="4" customWidth="1"/>
    <col min="7878" max="8103" width="29.28515625" style="4" customWidth="1"/>
    <col min="8104" max="8104" width="42.42578125" style="4" customWidth="1"/>
    <col min="8105" max="8107" width="12.42578125" style="4" customWidth="1"/>
    <col min="8108" max="8110" width="10.85546875" style="4" customWidth="1"/>
    <col min="8111" max="8113" width="14.5703125" style="4" bestFit="1" customWidth="1"/>
    <col min="8114" max="8116" width="11" style="4" customWidth="1"/>
    <col min="8117" max="8119" width="14.5703125" style="4" customWidth="1"/>
    <col min="8120" max="8122" width="15.28515625" style="4" customWidth="1"/>
    <col min="8123" max="8123" width="15.5703125" style="4"/>
    <col min="8124" max="8124" width="44.5703125" style="4" customWidth="1"/>
    <col min="8125" max="8125" width="13.85546875" style="4" customWidth="1"/>
    <col min="8126" max="8126" width="10.85546875" style="4" customWidth="1"/>
    <col min="8127" max="8127" width="14.5703125" style="4" customWidth="1"/>
    <col min="8128" max="8128" width="11" style="4" customWidth="1"/>
    <col min="8129" max="8129" width="10.85546875" style="4" customWidth="1"/>
    <col min="8130" max="8130" width="14.5703125" style="4" customWidth="1"/>
    <col min="8131" max="8132" width="15.5703125" style="4" customWidth="1"/>
    <col min="8133" max="8133" width="17.7109375" style="4" customWidth="1"/>
    <col min="8134" max="8359" width="29.28515625" style="4" customWidth="1"/>
    <col min="8360" max="8360" width="42.42578125" style="4" customWidth="1"/>
    <col min="8361" max="8363" width="12.42578125" style="4" customWidth="1"/>
    <col min="8364" max="8366" width="10.85546875" style="4" customWidth="1"/>
    <col min="8367" max="8369" width="14.5703125" style="4" bestFit="1" customWidth="1"/>
    <col min="8370" max="8372" width="11" style="4" customWidth="1"/>
    <col min="8373" max="8375" width="14.5703125" style="4" customWidth="1"/>
    <col min="8376" max="8378" width="15.28515625" style="4" customWidth="1"/>
    <col min="8379" max="8379" width="15.5703125" style="4"/>
    <col min="8380" max="8380" width="44.5703125" style="4" customWidth="1"/>
    <col min="8381" max="8381" width="13.85546875" style="4" customWidth="1"/>
    <col min="8382" max="8382" width="10.85546875" style="4" customWidth="1"/>
    <col min="8383" max="8383" width="14.5703125" style="4" customWidth="1"/>
    <col min="8384" max="8384" width="11" style="4" customWidth="1"/>
    <col min="8385" max="8385" width="10.85546875" style="4" customWidth="1"/>
    <col min="8386" max="8386" width="14.5703125" style="4" customWidth="1"/>
    <col min="8387" max="8388" width="15.5703125" style="4" customWidth="1"/>
    <col min="8389" max="8389" width="17.7109375" style="4" customWidth="1"/>
    <col min="8390" max="8615" width="29.28515625" style="4" customWidth="1"/>
    <col min="8616" max="8616" width="42.42578125" style="4" customWidth="1"/>
    <col min="8617" max="8619" width="12.42578125" style="4" customWidth="1"/>
    <col min="8620" max="8622" width="10.85546875" style="4" customWidth="1"/>
    <col min="8623" max="8625" width="14.5703125" style="4" bestFit="1" customWidth="1"/>
    <col min="8626" max="8628" width="11" style="4" customWidth="1"/>
    <col min="8629" max="8631" width="14.5703125" style="4" customWidth="1"/>
    <col min="8632" max="8634" width="15.28515625" style="4" customWidth="1"/>
    <col min="8635" max="8635" width="15.5703125" style="4"/>
    <col min="8636" max="8636" width="44.5703125" style="4" customWidth="1"/>
    <col min="8637" max="8637" width="13.85546875" style="4" customWidth="1"/>
    <col min="8638" max="8638" width="10.85546875" style="4" customWidth="1"/>
    <col min="8639" max="8639" width="14.5703125" style="4" customWidth="1"/>
    <col min="8640" max="8640" width="11" style="4" customWidth="1"/>
    <col min="8641" max="8641" width="10.85546875" style="4" customWidth="1"/>
    <col min="8642" max="8642" width="14.5703125" style="4" customWidth="1"/>
    <col min="8643" max="8644" width="15.5703125" style="4" customWidth="1"/>
    <col min="8645" max="8645" width="17.7109375" style="4" customWidth="1"/>
    <col min="8646" max="8871" width="29.28515625" style="4" customWidth="1"/>
    <col min="8872" max="8872" width="42.42578125" style="4" customWidth="1"/>
    <col min="8873" max="8875" width="12.42578125" style="4" customWidth="1"/>
    <col min="8876" max="8878" width="10.85546875" style="4" customWidth="1"/>
    <col min="8879" max="8881" width="14.5703125" style="4" bestFit="1" customWidth="1"/>
    <col min="8882" max="8884" width="11" style="4" customWidth="1"/>
    <col min="8885" max="8887" width="14.5703125" style="4" customWidth="1"/>
    <col min="8888" max="8890" width="15.28515625" style="4" customWidth="1"/>
    <col min="8891" max="8891" width="15.5703125" style="4"/>
    <col min="8892" max="8892" width="44.5703125" style="4" customWidth="1"/>
    <col min="8893" max="8893" width="13.85546875" style="4" customWidth="1"/>
    <col min="8894" max="8894" width="10.85546875" style="4" customWidth="1"/>
    <col min="8895" max="8895" width="14.5703125" style="4" customWidth="1"/>
    <col min="8896" max="8896" width="11" style="4" customWidth="1"/>
    <col min="8897" max="8897" width="10.85546875" style="4" customWidth="1"/>
    <col min="8898" max="8898" width="14.5703125" style="4" customWidth="1"/>
    <col min="8899" max="8900" width="15.5703125" style="4" customWidth="1"/>
    <col min="8901" max="8901" width="17.7109375" style="4" customWidth="1"/>
    <col min="8902" max="9127" width="29.28515625" style="4" customWidth="1"/>
    <col min="9128" max="9128" width="42.42578125" style="4" customWidth="1"/>
    <col min="9129" max="9131" width="12.42578125" style="4" customWidth="1"/>
    <col min="9132" max="9134" width="10.85546875" style="4" customWidth="1"/>
    <col min="9135" max="9137" width="14.5703125" style="4" bestFit="1" customWidth="1"/>
    <col min="9138" max="9140" width="11" style="4" customWidth="1"/>
    <col min="9141" max="9143" width="14.5703125" style="4" customWidth="1"/>
    <col min="9144" max="9146" width="15.28515625" style="4" customWidth="1"/>
    <col min="9147" max="9147" width="15.5703125" style="4"/>
    <col min="9148" max="9148" width="44.5703125" style="4" customWidth="1"/>
    <col min="9149" max="9149" width="13.85546875" style="4" customWidth="1"/>
    <col min="9150" max="9150" width="10.85546875" style="4" customWidth="1"/>
    <col min="9151" max="9151" width="14.5703125" style="4" customWidth="1"/>
    <col min="9152" max="9152" width="11" style="4" customWidth="1"/>
    <col min="9153" max="9153" width="10.85546875" style="4" customWidth="1"/>
    <col min="9154" max="9154" width="14.5703125" style="4" customWidth="1"/>
    <col min="9155" max="9156" width="15.5703125" style="4" customWidth="1"/>
    <col min="9157" max="9157" width="17.7109375" style="4" customWidth="1"/>
    <col min="9158" max="9383" width="29.28515625" style="4" customWidth="1"/>
    <col min="9384" max="9384" width="42.42578125" style="4" customWidth="1"/>
    <col min="9385" max="9387" width="12.42578125" style="4" customWidth="1"/>
    <col min="9388" max="9390" width="10.85546875" style="4" customWidth="1"/>
    <col min="9391" max="9393" width="14.5703125" style="4" bestFit="1" customWidth="1"/>
    <col min="9394" max="9396" width="11" style="4" customWidth="1"/>
    <col min="9397" max="9399" width="14.5703125" style="4" customWidth="1"/>
    <col min="9400" max="9402" width="15.28515625" style="4" customWidth="1"/>
    <col min="9403" max="9403" width="15.5703125" style="4"/>
    <col min="9404" max="9404" width="44.5703125" style="4" customWidth="1"/>
    <col min="9405" max="9405" width="13.85546875" style="4" customWidth="1"/>
    <col min="9406" max="9406" width="10.85546875" style="4" customWidth="1"/>
    <col min="9407" max="9407" width="14.5703125" style="4" customWidth="1"/>
    <col min="9408" max="9408" width="11" style="4" customWidth="1"/>
    <col min="9409" max="9409" width="10.85546875" style="4" customWidth="1"/>
    <col min="9410" max="9410" width="14.5703125" style="4" customWidth="1"/>
    <col min="9411" max="9412" width="15.5703125" style="4" customWidth="1"/>
    <col min="9413" max="9413" width="17.7109375" style="4" customWidth="1"/>
    <col min="9414" max="9639" width="29.28515625" style="4" customWidth="1"/>
    <col min="9640" max="9640" width="42.42578125" style="4" customWidth="1"/>
    <col min="9641" max="9643" width="12.42578125" style="4" customWidth="1"/>
    <col min="9644" max="9646" width="10.85546875" style="4" customWidth="1"/>
    <col min="9647" max="9649" width="14.5703125" style="4" bestFit="1" customWidth="1"/>
    <col min="9650" max="9652" width="11" style="4" customWidth="1"/>
    <col min="9653" max="9655" width="14.5703125" style="4" customWidth="1"/>
    <col min="9656" max="9658" width="15.28515625" style="4" customWidth="1"/>
    <col min="9659" max="9659" width="15.5703125" style="4"/>
    <col min="9660" max="9660" width="44.5703125" style="4" customWidth="1"/>
    <col min="9661" max="9661" width="13.85546875" style="4" customWidth="1"/>
    <col min="9662" max="9662" width="10.85546875" style="4" customWidth="1"/>
    <col min="9663" max="9663" width="14.5703125" style="4" customWidth="1"/>
    <col min="9664" max="9664" width="11" style="4" customWidth="1"/>
    <col min="9665" max="9665" width="10.85546875" style="4" customWidth="1"/>
    <col min="9666" max="9666" width="14.5703125" style="4" customWidth="1"/>
    <col min="9667" max="9668" width="15.5703125" style="4" customWidth="1"/>
    <col min="9669" max="9669" width="17.7109375" style="4" customWidth="1"/>
    <col min="9670" max="9895" width="29.28515625" style="4" customWidth="1"/>
    <col min="9896" max="9896" width="42.42578125" style="4" customWidth="1"/>
    <col min="9897" max="9899" width="12.42578125" style="4" customWidth="1"/>
    <col min="9900" max="9902" width="10.85546875" style="4" customWidth="1"/>
    <col min="9903" max="9905" width="14.5703125" style="4" bestFit="1" customWidth="1"/>
    <col min="9906" max="9908" width="11" style="4" customWidth="1"/>
    <col min="9909" max="9911" width="14.5703125" style="4" customWidth="1"/>
    <col min="9912" max="9914" width="15.28515625" style="4" customWidth="1"/>
    <col min="9915" max="9915" width="15.5703125" style="4"/>
    <col min="9916" max="9916" width="44.5703125" style="4" customWidth="1"/>
    <col min="9917" max="9917" width="13.85546875" style="4" customWidth="1"/>
    <col min="9918" max="9918" width="10.85546875" style="4" customWidth="1"/>
    <col min="9919" max="9919" width="14.5703125" style="4" customWidth="1"/>
    <col min="9920" max="9920" width="11" style="4" customWidth="1"/>
    <col min="9921" max="9921" width="10.85546875" style="4" customWidth="1"/>
    <col min="9922" max="9922" width="14.5703125" style="4" customWidth="1"/>
    <col min="9923" max="9924" width="15.5703125" style="4" customWidth="1"/>
    <col min="9925" max="9925" width="17.7109375" style="4" customWidth="1"/>
    <col min="9926" max="10151" width="29.28515625" style="4" customWidth="1"/>
    <col min="10152" max="10152" width="42.42578125" style="4" customWidth="1"/>
    <col min="10153" max="10155" width="12.42578125" style="4" customWidth="1"/>
    <col min="10156" max="10158" width="10.85546875" style="4" customWidth="1"/>
    <col min="10159" max="10161" width="14.5703125" style="4" bestFit="1" customWidth="1"/>
    <col min="10162" max="10164" width="11" style="4" customWidth="1"/>
    <col min="10165" max="10167" width="14.5703125" style="4" customWidth="1"/>
    <col min="10168" max="10170" width="15.28515625" style="4" customWidth="1"/>
    <col min="10171" max="10171" width="15.5703125" style="4"/>
    <col min="10172" max="10172" width="44.5703125" style="4" customWidth="1"/>
    <col min="10173" max="10173" width="13.85546875" style="4" customWidth="1"/>
    <col min="10174" max="10174" width="10.85546875" style="4" customWidth="1"/>
    <col min="10175" max="10175" width="14.5703125" style="4" customWidth="1"/>
    <col min="10176" max="10176" width="11" style="4" customWidth="1"/>
    <col min="10177" max="10177" width="10.85546875" style="4" customWidth="1"/>
    <col min="10178" max="10178" width="14.5703125" style="4" customWidth="1"/>
    <col min="10179" max="10180" width="15.5703125" style="4" customWidth="1"/>
    <col min="10181" max="10181" width="17.7109375" style="4" customWidth="1"/>
    <col min="10182" max="10407" width="29.28515625" style="4" customWidth="1"/>
    <col min="10408" max="10408" width="42.42578125" style="4" customWidth="1"/>
    <col min="10409" max="10411" width="12.42578125" style="4" customWidth="1"/>
    <col min="10412" max="10414" width="10.85546875" style="4" customWidth="1"/>
    <col min="10415" max="10417" width="14.5703125" style="4" bestFit="1" customWidth="1"/>
    <col min="10418" max="10420" width="11" style="4" customWidth="1"/>
    <col min="10421" max="10423" width="14.5703125" style="4" customWidth="1"/>
    <col min="10424" max="10426" width="15.28515625" style="4" customWidth="1"/>
    <col min="10427" max="10427" width="15.5703125" style="4"/>
    <col min="10428" max="10428" width="44.5703125" style="4" customWidth="1"/>
    <col min="10429" max="10429" width="13.85546875" style="4" customWidth="1"/>
    <col min="10430" max="10430" width="10.85546875" style="4" customWidth="1"/>
    <col min="10431" max="10431" width="14.5703125" style="4" customWidth="1"/>
    <col min="10432" max="10432" width="11" style="4" customWidth="1"/>
    <col min="10433" max="10433" width="10.85546875" style="4" customWidth="1"/>
    <col min="10434" max="10434" width="14.5703125" style="4" customWidth="1"/>
    <col min="10435" max="10436" width="15.5703125" style="4" customWidth="1"/>
    <col min="10437" max="10437" width="17.7109375" style="4" customWidth="1"/>
    <col min="10438" max="10663" width="29.28515625" style="4" customWidth="1"/>
    <col min="10664" max="10664" width="42.42578125" style="4" customWidth="1"/>
    <col min="10665" max="10667" width="12.42578125" style="4" customWidth="1"/>
    <col min="10668" max="10670" width="10.85546875" style="4" customWidth="1"/>
    <col min="10671" max="10673" width="14.5703125" style="4" bestFit="1" customWidth="1"/>
    <col min="10674" max="10676" width="11" style="4" customWidth="1"/>
    <col min="10677" max="10679" width="14.5703125" style="4" customWidth="1"/>
    <col min="10680" max="10682" width="15.28515625" style="4" customWidth="1"/>
    <col min="10683" max="10683" width="15.5703125" style="4"/>
    <col min="10684" max="10684" width="44.5703125" style="4" customWidth="1"/>
    <col min="10685" max="10685" width="13.85546875" style="4" customWidth="1"/>
    <col min="10686" max="10686" width="10.85546875" style="4" customWidth="1"/>
    <col min="10687" max="10687" width="14.5703125" style="4" customWidth="1"/>
    <col min="10688" max="10688" width="11" style="4" customWidth="1"/>
    <col min="10689" max="10689" width="10.85546875" style="4" customWidth="1"/>
    <col min="10690" max="10690" width="14.5703125" style="4" customWidth="1"/>
    <col min="10691" max="10692" width="15.5703125" style="4" customWidth="1"/>
    <col min="10693" max="10693" width="17.7109375" style="4" customWidth="1"/>
    <col min="10694" max="10919" width="29.28515625" style="4" customWidth="1"/>
    <col min="10920" max="10920" width="42.42578125" style="4" customWidth="1"/>
    <col min="10921" max="10923" width="12.42578125" style="4" customWidth="1"/>
    <col min="10924" max="10926" width="10.85546875" style="4" customWidth="1"/>
    <col min="10927" max="10929" width="14.5703125" style="4" bestFit="1" customWidth="1"/>
    <col min="10930" max="10932" width="11" style="4" customWidth="1"/>
    <col min="10933" max="10935" width="14.5703125" style="4" customWidth="1"/>
    <col min="10936" max="10938" width="15.28515625" style="4" customWidth="1"/>
    <col min="10939" max="10939" width="15.5703125" style="4"/>
    <col min="10940" max="10940" width="44.5703125" style="4" customWidth="1"/>
    <col min="10941" max="10941" width="13.85546875" style="4" customWidth="1"/>
    <col min="10942" max="10942" width="10.85546875" style="4" customWidth="1"/>
    <col min="10943" max="10943" width="14.5703125" style="4" customWidth="1"/>
    <col min="10944" max="10944" width="11" style="4" customWidth="1"/>
    <col min="10945" max="10945" width="10.85546875" style="4" customWidth="1"/>
    <col min="10946" max="10946" width="14.5703125" style="4" customWidth="1"/>
    <col min="10947" max="10948" width="15.5703125" style="4" customWidth="1"/>
    <col min="10949" max="10949" width="17.7109375" style="4" customWidth="1"/>
    <col min="10950" max="11175" width="29.28515625" style="4" customWidth="1"/>
    <col min="11176" max="11176" width="42.42578125" style="4" customWidth="1"/>
    <col min="11177" max="11179" width="12.42578125" style="4" customWidth="1"/>
    <col min="11180" max="11182" width="10.85546875" style="4" customWidth="1"/>
    <col min="11183" max="11185" width="14.5703125" style="4" bestFit="1" customWidth="1"/>
    <col min="11186" max="11188" width="11" style="4" customWidth="1"/>
    <col min="11189" max="11191" width="14.5703125" style="4" customWidth="1"/>
    <col min="11192" max="11194" width="15.28515625" style="4" customWidth="1"/>
    <col min="11195" max="11195" width="15.5703125" style="4"/>
    <col min="11196" max="11196" width="44.5703125" style="4" customWidth="1"/>
    <col min="11197" max="11197" width="13.85546875" style="4" customWidth="1"/>
    <col min="11198" max="11198" width="10.85546875" style="4" customWidth="1"/>
    <col min="11199" max="11199" width="14.5703125" style="4" customWidth="1"/>
    <col min="11200" max="11200" width="11" style="4" customWidth="1"/>
    <col min="11201" max="11201" width="10.85546875" style="4" customWidth="1"/>
    <col min="11202" max="11202" width="14.5703125" style="4" customWidth="1"/>
    <col min="11203" max="11204" width="15.5703125" style="4" customWidth="1"/>
    <col min="11205" max="11205" width="17.7109375" style="4" customWidth="1"/>
    <col min="11206" max="11431" width="29.28515625" style="4" customWidth="1"/>
    <col min="11432" max="11432" width="42.42578125" style="4" customWidth="1"/>
    <col min="11433" max="11435" width="12.42578125" style="4" customWidth="1"/>
    <col min="11436" max="11438" width="10.85546875" style="4" customWidth="1"/>
    <col min="11439" max="11441" width="14.5703125" style="4" bestFit="1" customWidth="1"/>
    <col min="11442" max="11444" width="11" style="4" customWidth="1"/>
    <col min="11445" max="11447" width="14.5703125" style="4" customWidth="1"/>
    <col min="11448" max="11450" width="15.28515625" style="4" customWidth="1"/>
    <col min="11451" max="11451" width="15.5703125" style="4"/>
    <col min="11452" max="11452" width="44.5703125" style="4" customWidth="1"/>
    <col min="11453" max="11453" width="13.85546875" style="4" customWidth="1"/>
    <col min="11454" max="11454" width="10.85546875" style="4" customWidth="1"/>
    <col min="11455" max="11455" width="14.5703125" style="4" customWidth="1"/>
    <col min="11456" max="11456" width="11" style="4" customWidth="1"/>
    <col min="11457" max="11457" width="10.85546875" style="4" customWidth="1"/>
    <col min="11458" max="11458" width="14.5703125" style="4" customWidth="1"/>
    <col min="11459" max="11460" width="15.5703125" style="4" customWidth="1"/>
    <col min="11461" max="11461" width="17.7109375" style="4" customWidth="1"/>
    <col min="11462" max="11687" width="29.28515625" style="4" customWidth="1"/>
    <col min="11688" max="11688" width="42.42578125" style="4" customWidth="1"/>
    <col min="11689" max="11691" width="12.42578125" style="4" customWidth="1"/>
    <col min="11692" max="11694" width="10.85546875" style="4" customWidth="1"/>
    <col min="11695" max="11697" width="14.5703125" style="4" bestFit="1" customWidth="1"/>
    <col min="11698" max="11700" width="11" style="4" customWidth="1"/>
    <col min="11701" max="11703" width="14.5703125" style="4" customWidth="1"/>
    <col min="11704" max="11706" width="15.28515625" style="4" customWidth="1"/>
    <col min="11707" max="11707" width="15.5703125" style="4"/>
    <col min="11708" max="11708" width="44.5703125" style="4" customWidth="1"/>
    <col min="11709" max="11709" width="13.85546875" style="4" customWidth="1"/>
    <col min="11710" max="11710" width="10.85546875" style="4" customWidth="1"/>
    <col min="11711" max="11711" width="14.5703125" style="4" customWidth="1"/>
    <col min="11712" max="11712" width="11" style="4" customWidth="1"/>
    <col min="11713" max="11713" width="10.85546875" style="4" customWidth="1"/>
    <col min="11714" max="11714" width="14.5703125" style="4" customWidth="1"/>
    <col min="11715" max="11716" width="15.5703125" style="4" customWidth="1"/>
    <col min="11717" max="11717" width="17.7109375" style="4" customWidth="1"/>
    <col min="11718" max="11943" width="29.28515625" style="4" customWidth="1"/>
    <col min="11944" max="11944" width="42.42578125" style="4" customWidth="1"/>
    <col min="11945" max="11947" width="12.42578125" style="4" customWidth="1"/>
    <col min="11948" max="11950" width="10.85546875" style="4" customWidth="1"/>
    <col min="11951" max="11953" width="14.5703125" style="4" bestFit="1" customWidth="1"/>
    <col min="11954" max="11956" width="11" style="4" customWidth="1"/>
    <col min="11957" max="11959" width="14.5703125" style="4" customWidth="1"/>
    <col min="11960" max="11962" width="15.28515625" style="4" customWidth="1"/>
    <col min="11963" max="11963" width="15.5703125" style="4"/>
    <col min="11964" max="11964" width="44.5703125" style="4" customWidth="1"/>
    <col min="11965" max="11965" width="13.85546875" style="4" customWidth="1"/>
    <col min="11966" max="11966" width="10.85546875" style="4" customWidth="1"/>
    <col min="11967" max="11967" width="14.5703125" style="4" customWidth="1"/>
    <col min="11968" max="11968" width="11" style="4" customWidth="1"/>
    <col min="11969" max="11969" width="10.85546875" style="4" customWidth="1"/>
    <col min="11970" max="11970" width="14.5703125" style="4" customWidth="1"/>
    <col min="11971" max="11972" width="15.5703125" style="4" customWidth="1"/>
    <col min="11973" max="11973" width="17.7109375" style="4" customWidth="1"/>
    <col min="11974" max="12199" width="29.28515625" style="4" customWidth="1"/>
    <col min="12200" max="12200" width="42.42578125" style="4" customWidth="1"/>
    <col min="12201" max="12203" width="12.42578125" style="4" customWidth="1"/>
    <col min="12204" max="12206" width="10.85546875" style="4" customWidth="1"/>
    <col min="12207" max="12209" width="14.5703125" style="4" bestFit="1" customWidth="1"/>
    <col min="12210" max="12212" width="11" style="4" customWidth="1"/>
    <col min="12213" max="12215" width="14.5703125" style="4" customWidth="1"/>
    <col min="12216" max="12218" width="15.28515625" style="4" customWidth="1"/>
    <col min="12219" max="12219" width="15.5703125" style="4"/>
    <col min="12220" max="12220" width="44.5703125" style="4" customWidth="1"/>
    <col min="12221" max="12221" width="13.85546875" style="4" customWidth="1"/>
    <col min="12222" max="12222" width="10.85546875" style="4" customWidth="1"/>
    <col min="12223" max="12223" width="14.5703125" style="4" customWidth="1"/>
    <col min="12224" max="12224" width="11" style="4" customWidth="1"/>
    <col min="12225" max="12225" width="10.85546875" style="4" customWidth="1"/>
    <col min="12226" max="12226" width="14.5703125" style="4" customWidth="1"/>
    <col min="12227" max="12228" width="15.5703125" style="4" customWidth="1"/>
    <col min="12229" max="12229" width="17.7109375" style="4" customWidth="1"/>
    <col min="12230" max="12455" width="29.28515625" style="4" customWidth="1"/>
    <col min="12456" max="12456" width="42.42578125" style="4" customWidth="1"/>
    <col min="12457" max="12459" width="12.42578125" style="4" customWidth="1"/>
    <col min="12460" max="12462" width="10.85546875" style="4" customWidth="1"/>
    <col min="12463" max="12465" width="14.5703125" style="4" bestFit="1" customWidth="1"/>
    <col min="12466" max="12468" width="11" style="4" customWidth="1"/>
    <col min="12469" max="12471" width="14.5703125" style="4" customWidth="1"/>
    <col min="12472" max="12474" width="15.28515625" style="4" customWidth="1"/>
    <col min="12475" max="12475" width="15.5703125" style="4"/>
    <col min="12476" max="12476" width="44.5703125" style="4" customWidth="1"/>
    <col min="12477" max="12477" width="13.85546875" style="4" customWidth="1"/>
    <col min="12478" max="12478" width="10.85546875" style="4" customWidth="1"/>
    <col min="12479" max="12479" width="14.5703125" style="4" customWidth="1"/>
    <col min="12480" max="12480" width="11" style="4" customWidth="1"/>
    <col min="12481" max="12481" width="10.85546875" style="4" customWidth="1"/>
    <col min="12482" max="12482" width="14.5703125" style="4" customWidth="1"/>
    <col min="12483" max="12484" width="15.5703125" style="4" customWidth="1"/>
    <col min="12485" max="12485" width="17.7109375" style="4" customWidth="1"/>
    <col min="12486" max="12711" width="29.28515625" style="4" customWidth="1"/>
    <col min="12712" max="12712" width="42.42578125" style="4" customWidth="1"/>
    <col min="12713" max="12715" width="12.42578125" style="4" customWidth="1"/>
    <col min="12716" max="12718" width="10.85546875" style="4" customWidth="1"/>
    <col min="12719" max="12721" width="14.5703125" style="4" bestFit="1" customWidth="1"/>
    <col min="12722" max="12724" width="11" style="4" customWidth="1"/>
    <col min="12725" max="12727" width="14.5703125" style="4" customWidth="1"/>
    <col min="12728" max="12730" width="15.28515625" style="4" customWidth="1"/>
    <col min="12731" max="12731" width="15.5703125" style="4"/>
    <col min="12732" max="12732" width="44.5703125" style="4" customWidth="1"/>
    <col min="12733" max="12733" width="13.85546875" style="4" customWidth="1"/>
    <col min="12734" max="12734" width="10.85546875" style="4" customWidth="1"/>
    <col min="12735" max="12735" width="14.5703125" style="4" customWidth="1"/>
    <col min="12736" max="12736" width="11" style="4" customWidth="1"/>
    <col min="12737" max="12737" width="10.85546875" style="4" customWidth="1"/>
    <col min="12738" max="12738" width="14.5703125" style="4" customWidth="1"/>
    <col min="12739" max="12740" width="15.5703125" style="4" customWidth="1"/>
    <col min="12741" max="12741" width="17.7109375" style="4" customWidth="1"/>
    <col min="12742" max="12967" width="29.28515625" style="4" customWidth="1"/>
    <col min="12968" max="12968" width="42.42578125" style="4" customWidth="1"/>
    <col min="12969" max="12971" width="12.42578125" style="4" customWidth="1"/>
    <col min="12972" max="12974" width="10.85546875" style="4" customWidth="1"/>
    <col min="12975" max="12977" width="14.5703125" style="4" bestFit="1" customWidth="1"/>
    <col min="12978" max="12980" width="11" style="4" customWidth="1"/>
    <col min="12981" max="12983" width="14.5703125" style="4" customWidth="1"/>
    <col min="12984" max="12986" width="15.28515625" style="4" customWidth="1"/>
    <col min="12987" max="12987" width="15.5703125" style="4"/>
    <col min="12988" max="12988" width="44.5703125" style="4" customWidth="1"/>
    <col min="12989" max="12989" width="13.85546875" style="4" customWidth="1"/>
    <col min="12990" max="12990" width="10.85546875" style="4" customWidth="1"/>
    <col min="12991" max="12991" width="14.5703125" style="4" customWidth="1"/>
    <col min="12992" max="12992" width="11" style="4" customWidth="1"/>
    <col min="12993" max="12993" width="10.85546875" style="4" customWidth="1"/>
    <col min="12994" max="12994" width="14.5703125" style="4" customWidth="1"/>
    <col min="12995" max="12996" width="15.5703125" style="4" customWidth="1"/>
    <col min="12997" max="12997" width="17.7109375" style="4" customWidth="1"/>
    <col min="12998" max="13223" width="29.28515625" style="4" customWidth="1"/>
    <col min="13224" max="13224" width="42.42578125" style="4" customWidth="1"/>
    <col min="13225" max="13227" width="12.42578125" style="4" customWidth="1"/>
    <col min="13228" max="13230" width="10.85546875" style="4" customWidth="1"/>
    <col min="13231" max="13233" width="14.5703125" style="4" bestFit="1" customWidth="1"/>
    <col min="13234" max="13236" width="11" style="4" customWidth="1"/>
    <col min="13237" max="13239" width="14.5703125" style="4" customWidth="1"/>
    <col min="13240" max="13242" width="15.28515625" style="4" customWidth="1"/>
    <col min="13243" max="13243" width="15.5703125" style="4"/>
    <col min="13244" max="13244" width="44.5703125" style="4" customWidth="1"/>
    <col min="13245" max="13245" width="13.85546875" style="4" customWidth="1"/>
    <col min="13246" max="13246" width="10.85546875" style="4" customWidth="1"/>
    <col min="13247" max="13247" width="14.5703125" style="4" customWidth="1"/>
    <col min="13248" max="13248" width="11" style="4" customWidth="1"/>
    <col min="13249" max="13249" width="10.85546875" style="4" customWidth="1"/>
    <col min="13250" max="13250" width="14.5703125" style="4" customWidth="1"/>
    <col min="13251" max="13252" width="15.5703125" style="4" customWidth="1"/>
    <col min="13253" max="13253" width="17.7109375" style="4" customWidth="1"/>
    <col min="13254" max="13479" width="29.28515625" style="4" customWidth="1"/>
    <col min="13480" max="13480" width="42.42578125" style="4" customWidth="1"/>
    <col min="13481" max="13483" width="12.42578125" style="4" customWidth="1"/>
    <col min="13484" max="13486" width="10.85546875" style="4" customWidth="1"/>
    <col min="13487" max="13489" width="14.5703125" style="4" bestFit="1" customWidth="1"/>
    <col min="13490" max="13492" width="11" style="4" customWidth="1"/>
    <col min="13493" max="13495" width="14.5703125" style="4" customWidth="1"/>
    <col min="13496" max="13498" width="15.28515625" style="4" customWidth="1"/>
    <col min="13499" max="13499" width="15.5703125" style="4"/>
    <col min="13500" max="13500" width="44.5703125" style="4" customWidth="1"/>
    <col min="13501" max="13501" width="13.85546875" style="4" customWidth="1"/>
    <col min="13502" max="13502" width="10.85546875" style="4" customWidth="1"/>
    <col min="13503" max="13503" width="14.5703125" style="4" customWidth="1"/>
    <col min="13504" max="13504" width="11" style="4" customWidth="1"/>
    <col min="13505" max="13505" width="10.85546875" style="4" customWidth="1"/>
    <col min="13506" max="13506" width="14.5703125" style="4" customWidth="1"/>
    <col min="13507" max="13508" width="15.5703125" style="4" customWidth="1"/>
    <col min="13509" max="13509" width="17.7109375" style="4" customWidth="1"/>
    <col min="13510" max="13735" width="29.28515625" style="4" customWidth="1"/>
    <col min="13736" max="13736" width="42.42578125" style="4" customWidth="1"/>
    <col min="13737" max="13739" width="12.42578125" style="4" customWidth="1"/>
    <col min="13740" max="13742" width="10.85546875" style="4" customWidth="1"/>
    <col min="13743" max="13745" width="14.5703125" style="4" bestFit="1" customWidth="1"/>
    <col min="13746" max="13748" width="11" style="4" customWidth="1"/>
    <col min="13749" max="13751" width="14.5703125" style="4" customWidth="1"/>
    <col min="13752" max="13754" width="15.28515625" style="4" customWidth="1"/>
    <col min="13755" max="13755" width="15.5703125" style="4"/>
    <col min="13756" max="13756" width="44.5703125" style="4" customWidth="1"/>
    <col min="13757" max="13757" width="13.85546875" style="4" customWidth="1"/>
    <col min="13758" max="13758" width="10.85546875" style="4" customWidth="1"/>
    <col min="13759" max="13759" width="14.5703125" style="4" customWidth="1"/>
    <col min="13760" max="13760" width="11" style="4" customWidth="1"/>
    <col min="13761" max="13761" width="10.85546875" style="4" customWidth="1"/>
    <col min="13762" max="13762" width="14.5703125" style="4" customWidth="1"/>
    <col min="13763" max="13764" width="15.5703125" style="4" customWidth="1"/>
    <col min="13765" max="13765" width="17.7109375" style="4" customWidth="1"/>
    <col min="13766" max="13991" width="29.28515625" style="4" customWidth="1"/>
    <col min="13992" max="13992" width="42.42578125" style="4" customWidth="1"/>
    <col min="13993" max="13995" width="12.42578125" style="4" customWidth="1"/>
    <col min="13996" max="13998" width="10.85546875" style="4" customWidth="1"/>
    <col min="13999" max="14001" width="14.5703125" style="4" bestFit="1" customWidth="1"/>
    <col min="14002" max="14004" width="11" style="4" customWidth="1"/>
    <col min="14005" max="14007" width="14.5703125" style="4" customWidth="1"/>
    <col min="14008" max="14010" width="15.28515625" style="4" customWidth="1"/>
    <col min="14011" max="14011" width="15.5703125" style="4"/>
    <col min="14012" max="14012" width="44.5703125" style="4" customWidth="1"/>
    <col min="14013" max="14013" width="13.85546875" style="4" customWidth="1"/>
    <col min="14014" max="14014" width="10.85546875" style="4" customWidth="1"/>
    <col min="14015" max="14015" width="14.5703125" style="4" customWidth="1"/>
    <col min="14016" max="14016" width="11" style="4" customWidth="1"/>
    <col min="14017" max="14017" width="10.85546875" style="4" customWidth="1"/>
    <col min="14018" max="14018" width="14.5703125" style="4" customWidth="1"/>
    <col min="14019" max="14020" width="15.5703125" style="4" customWidth="1"/>
    <col min="14021" max="14021" width="17.7109375" style="4" customWidth="1"/>
    <col min="14022" max="14247" width="29.28515625" style="4" customWidth="1"/>
    <col min="14248" max="14248" width="42.42578125" style="4" customWidth="1"/>
    <col min="14249" max="14251" width="12.42578125" style="4" customWidth="1"/>
    <col min="14252" max="14254" width="10.85546875" style="4" customWidth="1"/>
    <col min="14255" max="14257" width="14.5703125" style="4" bestFit="1" customWidth="1"/>
    <col min="14258" max="14260" width="11" style="4" customWidth="1"/>
    <col min="14261" max="14263" width="14.5703125" style="4" customWidth="1"/>
    <col min="14264" max="14266" width="15.28515625" style="4" customWidth="1"/>
    <col min="14267" max="14267" width="15.5703125" style="4"/>
    <col min="14268" max="14268" width="44.5703125" style="4" customWidth="1"/>
    <col min="14269" max="14269" width="13.85546875" style="4" customWidth="1"/>
    <col min="14270" max="14270" width="10.85546875" style="4" customWidth="1"/>
    <col min="14271" max="14271" width="14.5703125" style="4" customWidth="1"/>
    <col min="14272" max="14272" width="11" style="4" customWidth="1"/>
    <col min="14273" max="14273" width="10.85546875" style="4" customWidth="1"/>
    <col min="14274" max="14274" width="14.5703125" style="4" customWidth="1"/>
    <col min="14275" max="14276" width="15.5703125" style="4" customWidth="1"/>
    <col min="14277" max="14277" width="17.7109375" style="4" customWidth="1"/>
    <col min="14278" max="14503" width="29.28515625" style="4" customWidth="1"/>
    <col min="14504" max="14504" width="42.42578125" style="4" customWidth="1"/>
    <col min="14505" max="14507" width="12.42578125" style="4" customWidth="1"/>
    <col min="14508" max="14510" width="10.85546875" style="4" customWidth="1"/>
    <col min="14511" max="14513" width="14.5703125" style="4" bestFit="1" customWidth="1"/>
    <col min="14514" max="14516" width="11" style="4" customWidth="1"/>
    <col min="14517" max="14519" width="14.5703125" style="4" customWidth="1"/>
    <col min="14520" max="14522" width="15.28515625" style="4" customWidth="1"/>
    <col min="14523" max="14523" width="15.5703125" style="4"/>
    <col min="14524" max="14524" width="44.5703125" style="4" customWidth="1"/>
    <col min="14525" max="14525" width="13.85546875" style="4" customWidth="1"/>
    <col min="14526" max="14526" width="10.85546875" style="4" customWidth="1"/>
    <col min="14527" max="14527" width="14.5703125" style="4" customWidth="1"/>
    <col min="14528" max="14528" width="11" style="4" customWidth="1"/>
    <col min="14529" max="14529" width="10.85546875" style="4" customWidth="1"/>
    <col min="14530" max="14530" width="14.5703125" style="4" customWidth="1"/>
    <col min="14531" max="14532" width="15.5703125" style="4" customWidth="1"/>
    <col min="14533" max="14533" width="17.7109375" style="4" customWidth="1"/>
    <col min="14534" max="14759" width="29.28515625" style="4" customWidth="1"/>
    <col min="14760" max="14760" width="42.42578125" style="4" customWidth="1"/>
    <col min="14761" max="14763" width="12.42578125" style="4" customWidth="1"/>
    <col min="14764" max="14766" width="10.85546875" style="4" customWidth="1"/>
    <col min="14767" max="14769" width="14.5703125" style="4" bestFit="1" customWidth="1"/>
    <col min="14770" max="14772" width="11" style="4" customWidth="1"/>
    <col min="14773" max="14775" width="14.5703125" style="4" customWidth="1"/>
    <col min="14776" max="14778" width="15.28515625" style="4" customWidth="1"/>
    <col min="14779" max="14779" width="15.5703125" style="4"/>
    <col min="14780" max="14780" width="44.5703125" style="4" customWidth="1"/>
    <col min="14781" max="14781" width="13.85546875" style="4" customWidth="1"/>
    <col min="14782" max="14782" width="10.85546875" style="4" customWidth="1"/>
    <col min="14783" max="14783" width="14.5703125" style="4" customWidth="1"/>
    <col min="14784" max="14784" width="11" style="4" customWidth="1"/>
    <col min="14785" max="14785" width="10.85546875" style="4" customWidth="1"/>
    <col min="14786" max="14786" width="14.5703125" style="4" customWidth="1"/>
    <col min="14787" max="14788" width="15.5703125" style="4" customWidth="1"/>
    <col min="14789" max="14789" width="17.7109375" style="4" customWidth="1"/>
    <col min="14790" max="15015" width="29.28515625" style="4" customWidth="1"/>
    <col min="15016" max="15016" width="42.42578125" style="4" customWidth="1"/>
    <col min="15017" max="15019" width="12.42578125" style="4" customWidth="1"/>
    <col min="15020" max="15022" width="10.85546875" style="4" customWidth="1"/>
    <col min="15023" max="15025" width="14.5703125" style="4" bestFit="1" customWidth="1"/>
    <col min="15026" max="15028" width="11" style="4" customWidth="1"/>
    <col min="15029" max="15031" width="14.5703125" style="4" customWidth="1"/>
    <col min="15032" max="15034" width="15.28515625" style="4" customWidth="1"/>
    <col min="15035" max="15035" width="15.5703125" style="4"/>
    <col min="15036" max="15036" width="44.5703125" style="4" customWidth="1"/>
    <col min="15037" max="15037" width="13.85546875" style="4" customWidth="1"/>
    <col min="15038" max="15038" width="10.85546875" style="4" customWidth="1"/>
    <col min="15039" max="15039" width="14.5703125" style="4" customWidth="1"/>
    <col min="15040" max="15040" width="11" style="4" customWidth="1"/>
    <col min="15041" max="15041" width="10.85546875" style="4" customWidth="1"/>
    <col min="15042" max="15042" width="14.5703125" style="4" customWidth="1"/>
    <col min="15043" max="15044" width="15.5703125" style="4" customWidth="1"/>
    <col min="15045" max="15045" width="17.7109375" style="4" customWidth="1"/>
    <col min="15046" max="15271" width="29.28515625" style="4" customWidth="1"/>
    <col min="15272" max="15272" width="42.42578125" style="4" customWidth="1"/>
    <col min="15273" max="15275" width="12.42578125" style="4" customWidth="1"/>
    <col min="15276" max="15278" width="10.85546875" style="4" customWidth="1"/>
    <col min="15279" max="15281" width="14.5703125" style="4" bestFit="1" customWidth="1"/>
    <col min="15282" max="15284" width="11" style="4" customWidth="1"/>
    <col min="15285" max="15287" width="14.5703125" style="4" customWidth="1"/>
    <col min="15288" max="15290" width="15.28515625" style="4" customWidth="1"/>
    <col min="15291" max="15291" width="15.5703125" style="4"/>
    <col min="15292" max="15292" width="44.5703125" style="4" customWidth="1"/>
    <col min="15293" max="15293" width="13.85546875" style="4" customWidth="1"/>
    <col min="15294" max="15294" width="10.85546875" style="4" customWidth="1"/>
    <col min="15295" max="15295" width="14.5703125" style="4" customWidth="1"/>
    <col min="15296" max="15296" width="11" style="4" customWidth="1"/>
    <col min="15297" max="15297" width="10.85546875" style="4" customWidth="1"/>
    <col min="15298" max="15298" width="14.5703125" style="4" customWidth="1"/>
    <col min="15299" max="15300" width="15.5703125" style="4" customWidth="1"/>
    <col min="15301" max="15301" width="17.7109375" style="4" customWidth="1"/>
    <col min="15302" max="15527" width="29.28515625" style="4" customWidth="1"/>
    <col min="15528" max="15528" width="42.42578125" style="4" customWidth="1"/>
    <col min="15529" max="15531" width="12.42578125" style="4" customWidth="1"/>
    <col min="15532" max="15534" width="10.85546875" style="4" customWidth="1"/>
    <col min="15535" max="15537" width="14.5703125" style="4" bestFit="1" customWidth="1"/>
    <col min="15538" max="15540" width="11" style="4" customWidth="1"/>
    <col min="15541" max="15543" width="14.5703125" style="4" customWidth="1"/>
    <col min="15544" max="15546" width="15.28515625" style="4" customWidth="1"/>
    <col min="15547" max="15547" width="15.5703125" style="4"/>
    <col min="15548" max="15548" width="44.5703125" style="4" customWidth="1"/>
    <col min="15549" max="15549" width="13.85546875" style="4" customWidth="1"/>
    <col min="15550" max="15550" width="10.85546875" style="4" customWidth="1"/>
    <col min="15551" max="15551" width="14.5703125" style="4" customWidth="1"/>
    <col min="15552" max="15552" width="11" style="4" customWidth="1"/>
    <col min="15553" max="15553" width="10.85546875" style="4" customWidth="1"/>
    <col min="15554" max="15554" width="14.5703125" style="4" customWidth="1"/>
    <col min="15555" max="15556" width="15.5703125" style="4" customWidth="1"/>
    <col min="15557" max="15557" width="17.7109375" style="4" customWidth="1"/>
    <col min="15558" max="15783" width="29.28515625" style="4" customWidth="1"/>
    <col min="15784" max="15784" width="42.42578125" style="4" customWidth="1"/>
    <col min="15785" max="15787" width="12.42578125" style="4" customWidth="1"/>
    <col min="15788" max="15790" width="10.85546875" style="4" customWidth="1"/>
    <col min="15791" max="15793" width="14.5703125" style="4" bestFit="1" customWidth="1"/>
    <col min="15794" max="15796" width="11" style="4" customWidth="1"/>
    <col min="15797" max="15799" width="14.5703125" style="4" customWidth="1"/>
    <col min="15800" max="15802" width="15.28515625" style="4" customWidth="1"/>
    <col min="15803" max="15803" width="15.5703125" style="4"/>
    <col min="15804" max="15804" width="44.5703125" style="4" customWidth="1"/>
    <col min="15805" max="15805" width="13.85546875" style="4" customWidth="1"/>
    <col min="15806" max="15806" width="10.85546875" style="4" customWidth="1"/>
    <col min="15807" max="15807" width="14.5703125" style="4" customWidth="1"/>
    <col min="15808" max="15808" width="11" style="4" customWidth="1"/>
    <col min="15809" max="15809" width="10.85546875" style="4" customWidth="1"/>
    <col min="15810" max="15810" width="14.5703125" style="4" customWidth="1"/>
    <col min="15811" max="15812" width="15.5703125" style="4" customWidth="1"/>
    <col min="15813" max="15813" width="17.7109375" style="4" customWidth="1"/>
    <col min="15814" max="16039" width="29.28515625" style="4" customWidth="1"/>
    <col min="16040" max="16040" width="42.42578125" style="4" customWidth="1"/>
    <col min="16041" max="16043" width="12.42578125" style="4" customWidth="1"/>
    <col min="16044" max="16046" width="10.85546875" style="4" customWidth="1"/>
    <col min="16047" max="16049" width="14.5703125" style="4" bestFit="1" customWidth="1"/>
    <col min="16050" max="16052" width="11" style="4" customWidth="1"/>
    <col min="16053" max="16055" width="14.5703125" style="4" customWidth="1"/>
    <col min="16056" max="16058" width="15.28515625" style="4" customWidth="1"/>
    <col min="16059" max="16059" width="15.5703125" style="4"/>
    <col min="16060" max="16060" width="44.5703125" style="4" customWidth="1"/>
    <col min="16061" max="16061" width="13.85546875" style="4" customWidth="1"/>
    <col min="16062" max="16062" width="10.85546875" style="4" customWidth="1"/>
    <col min="16063" max="16063" width="14.5703125" style="4" customWidth="1"/>
    <col min="16064" max="16064" width="11" style="4" customWidth="1"/>
    <col min="16065" max="16065" width="10.85546875" style="4" customWidth="1"/>
    <col min="16066" max="16066" width="14.5703125" style="4" customWidth="1"/>
    <col min="16067" max="16068" width="15.5703125" style="4" customWidth="1"/>
    <col min="16069" max="16069" width="17.7109375" style="4" customWidth="1"/>
    <col min="16070" max="16295" width="29.28515625" style="4" customWidth="1"/>
    <col min="16296" max="16296" width="42.42578125" style="4" customWidth="1"/>
    <col min="16297" max="16384" width="12.42578125" style="4" customWidth="1"/>
  </cols>
  <sheetData>
    <row r="1" spans="1:187" x14ac:dyDescent="0.25">
      <c r="A1" s="1"/>
    </row>
    <row r="2" spans="1:187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8"/>
      <c r="AA2" s="8"/>
      <c r="AB2" s="9" t="s">
        <v>0</v>
      </c>
    </row>
    <row r="3" spans="1:18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</row>
    <row r="4" spans="1:187" s="11" customFormat="1" x14ac:dyDescent="0.25">
      <c r="A4" s="12">
        <v>2022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187" s="11" customFormat="1" x14ac:dyDescent="0.25">
      <c r="A5" s="13"/>
      <c r="B5" s="10"/>
      <c r="C5" s="10"/>
      <c r="D5" s="10"/>
      <c r="E5" s="14"/>
      <c r="F5" s="14"/>
      <c r="G5" s="14"/>
      <c r="H5" s="14"/>
      <c r="I5" s="14"/>
      <c r="J5" s="15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187" s="5" customFormat="1" ht="63" x14ac:dyDescent="0.25">
      <c r="A6" s="16" t="s">
        <v>2</v>
      </c>
      <c r="B6" s="17" t="s">
        <v>3</v>
      </c>
      <c r="C6" s="17" t="s">
        <v>3</v>
      </c>
      <c r="D6" s="17" t="s">
        <v>3</v>
      </c>
      <c r="E6" s="18" t="s">
        <v>4</v>
      </c>
      <c r="F6" s="18" t="s">
        <v>4</v>
      </c>
      <c r="G6" s="18" t="s">
        <v>4</v>
      </c>
      <c r="H6" s="18" t="s">
        <v>5</v>
      </c>
      <c r="I6" s="18" t="s">
        <v>5</v>
      </c>
      <c r="J6" s="18" t="s">
        <v>5</v>
      </c>
      <c r="K6" s="18" t="s">
        <v>6</v>
      </c>
      <c r="L6" s="18" t="s">
        <v>6</v>
      </c>
      <c r="M6" s="18" t="s">
        <v>6</v>
      </c>
      <c r="N6" s="18" t="s">
        <v>7</v>
      </c>
      <c r="O6" s="18" t="s">
        <v>7</v>
      </c>
      <c r="P6" s="18" t="s">
        <v>7</v>
      </c>
      <c r="Q6" s="18" t="s">
        <v>8</v>
      </c>
      <c r="R6" s="18" t="s">
        <v>8</v>
      </c>
      <c r="S6" s="18" t="s">
        <v>8</v>
      </c>
      <c r="T6" s="18" t="s">
        <v>9</v>
      </c>
      <c r="U6" s="18" t="s">
        <v>9</v>
      </c>
      <c r="V6" s="18" t="s">
        <v>9</v>
      </c>
      <c r="W6" s="18" t="s">
        <v>10</v>
      </c>
      <c r="X6" s="18" t="s">
        <v>10</v>
      </c>
      <c r="Y6" s="18" t="s">
        <v>10</v>
      </c>
      <c r="Z6" s="18" t="s">
        <v>11</v>
      </c>
      <c r="AA6" s="18" t="s">
        <v>11</v>
      </c>
      <c r="AB6" s="18" t="s">
        <v>11</v>
      </c>
    </row>
    <row r="7" spans="1:187" s="5" customFormat="1" x14ac:dyDescent="0.25">
      <c r="A7" s="19"/>
      <c r="B7" s="20" t="s">
        <v>12</v>
      </c>
      <c r="C7" s="20" t="s">
        <v>13</v>
      </c>
      <c r="D7" s="20" t="s">
        <v>14</v>
      </c>
      <c r="E7" s="20" t="s">
        <v>12</v>
      </c>
      <c r="F7" s="20" t="s">
        <v>13</v>
      </c>
      <c r="G7" s="20" t="s">
        <v>14</v>
      </c>
      <c r="H7" s="20" t="s">
        <v>12</v>
      </c>
      <c r="I7" s="20" t="s">
        <v>13</v>
      </c>
      <c r="J7" s="20" t="s">
        <v>14</v>
      </c>
      <c r="K7" s="20" t="s">
        <v>12</v>
      </c>
      <c r="L7" s="20" t="s">
        <v>13</v>
      </c>
      <c r="M7" s="20" t="s">
        <v>14</v>
      </c>
      <c r="N7" s="20" t="s">
        <v>12</v>
      </c>
      <c r="O7" s="20" t="s">
        <v>13</v>
      </c>
      <c r="P7" s="20" t="s">
        <v>14</v>
      </c>
      <c r="Q7" s="20" t="s">
        <v>12</v>
      </c>
      <c r="R7" s="20" t="s">
        <v>13</v>
      </c>
      <c r="S7" s="20" t="s">
        <v>14</v>
      </c>
      <c r="T7" s="20" t="s">
        <v>12</v>
      </c>
      <c r="U7" s="20" t="s">
        <v>13</v>
      </c>
      <c r="V7" s="20" t="s">
        <v>14</v>
      </c>
      <c r="W7" s="20" t="s">
        <v>12</v>
      </c>
      <c r="X7" s="20" t="s">
        <v>13</v>
      </c>
      <c r="Y7" s="20" t="s">
        <v>14</v>
      </c>
      <c r="Z7" s="20" t="s">
        <v>12</v>
      </c>
      <c r="AA7" s="20" t="s">
        <v>13</v>
      </c>
      <c r="AB7" s="20" t="s">
        <v>14</v>
      </c>
    </row>
    <row r="8" spans="1:187" s="23" customFormat="1" x14ac:dyDescent="0.25">
      <c r="A8" s="21" t="s">
        <v>15</v>
      </c>
      <c r="B8" s="22">
        <f t="shared" ref="B8:D71" si="0">E8+H8+K8+N8+Q8+T8+W8+Z8</f>
        <v>52690060</v>
      </c>
      <c r="C8" s="22">
        <f t="shared" si="0"/>
        <v>53854280</v>
      </c>
      <c r="D8" s="22">
        <f t="shared" si="0"/>
        <v>1164220</v>
      </c>
      <c r="E8" s="22">
        <f>SUM(E9,E90,E328,E341)</f>
        <v>3371851</v>
      </c>
      <c r="F8" s="22">
        <f>SUM(F9,F90,F328,F341)</f>
        <v>3371851</v>
      </c>
      <c r="G8" s="22">
        <f t="shared" ref="G8:G71" si="1">F8-E8</f>
        <v>0</v>
      </c>
      <c r="H8" s="22">
        <f t="shared" ref="H8:I8" si="2">SUM(H9,H90,H328,H341)</f>
        <v>1123772</v>
      </c>
      <c r="I8" s="22">
        <f t="shared" si="2"/>
        <v>1123772</v>
      </c>
      <c r="J8" s="22">
        <f t="shared" ref="J8" si="3">I8-H8</f>
        <v>0</v>
      </c>
      <c r="K8" s="22">
        <f t="shared" ref="K8:L8" si="4">SUM(K9,K90,K328,K341)</f>
        <v>6953716</v>
      </c>
      <c r="L8" s="22">
        <f t="shared" si="4"/>
        <v>2575972</v>
      </c>
      <c r="M8" s="22">
        <f t="shared" ref="M8" si="5">L8-K8</f>
        <v>-4377744</v>
      </c>
      <c r="N8" s="22">
        <f t="shared" ref="N8:O8" si="6">SUM(N9,N90,N328,N341)</f>
        <v>24337278</v>
      </c>
      <c r="O8" s="22">
        <f t="shared" si="6"/>
        <v>24199889</v>
      </c>
      <c r="P8" s="22">
        <f t="shared" ref="P8" si="7">O8-N8</f>
        <v>-137389</v>
      </c>
      <c r="Q8" s="22">
        <f t="shared" ref="Q8:R8" si="8">SUM(Q9,Q90,Q328,Q341)</f>
        <v>1991891</v>
      </c>
      <c r="R8" s="22">
        <f t="shared" si="8"/>
        <v>1266316</v>
      </c>
      <c r="S8" s="22">
        <f t="shared" ref="S8" si="9">R8-Q8</f>
        <v>-725575</v>
      </c>
      <c r="T8" s="22">
        <f t="shared" ref="T8:U8" si="10">SUM(T9,T90,T328,T341)</f>
        <v>7509932</v>
      </c>
      <c r="U8" s="22">
        <f t="shared" si="10"/>
        <v>7509932</v>
      </c>
      <c r="V8" s="22">
        <f t="shared" ref="V8" si="11">U8-T8</f>
        <v>0</v>
      </c>
      <c r="W8" s="22">
        <f t="shared" ref="W8:X8" si="12">SUM(W9,W90,W328,W341)</f>
        <v>934527</v>
      </c>
      <c r="X8" s="22">
        <f t="shared" si="12"/>
        <v>2712652</v>
      </c>
      <c r="Y8" s="22">
        <f t="shared" ref="Y8" si="13">X8-W8</f>
        <v>1778125</v>
      </c>
      <c r="Z8" s="22">
        <f t="shared" ref="Z8:AA8" si="14">SUM(Z9,Z90,Z328,Z341)</f>
        <v>6467093</v>
      </c>
      <c r="AA8" s="22">
        <f t="shared" si="14"/>
        <v>11093896</v>
      </c>
      <c r="AB8" s="22">
        <f t="shared" ref="AB8" si="15">AA8-Z8</f>
        <v>4626803</v>
      </c>
    </row>
    <row r="9" spans="1:187" s="23" customFormat="1" x14ac:dyDescent="0.25">
      <c r="A9" s="24" t="s">
        <v>16</v>
      </c>
      <c r="B9" s="25">
        <f t="shared" si="0"/>
        <v>29520760</v>
      </c>
      <c r="C9" s="25">
        <f t="shared" si="0"/>
        <v>27970614</v>
      </c>
      <c r="D9" s="25">
        <f t="shared" si="0"/>
        <v>-1550146</v>
      </c>
      <c r="E9" s="25">
        <f>SUM(E10,E22,E36,E51,E75,E86,E46,E59)</f>
        <v>2797666</v>
      </c>
      <c r="F9" s="25">
        <f>SUM(F10,F22,F36,F51,F75,F86,F46,F59)</f>
        <v>2749468</v>
      </c>
      <c r="G9" s="25">
        <f t="shared" si="1"/>
        <v>-48198</v>
      </c>
      <c r="H9" s="25">
        <f>SUM(H10,H22,H36,H51,H75,H86,H46,H59)</f>
        <v>1092436</v>
      </c>
      <c r="I9" s="25">
        <f>SUM(I10,I22,I36,I51,I75,I86,I46,I59)</f>
        <v>1092436</v>
      </c>
      <c r="J9" s="25">
        <f t="shared" ref="J9:J71" si="16">I9-H9</f>
        <v>0</v>
      </c>
      <c r="K9" s="25">
        <f>SUM(K10,K22,K36,K51,K75,K86,K46,K59)</f>
        <v>5398390</v>
      </c>
      <c r="L9" s="25">
        <f>SUM(L10,L22,L36,L51,L75,L86,L46,L59)</f>
        <v>608571</v>
      </c>
      <c r="M9" s="25">
        <f t="shared" ref="M9:M71" si="17">L9-K9</f>
        <v>-4789819</v>
      </c>
      <c r="N9" s="25">
        <f>SUM(N10,N22,N36,N51,N75,N86,N46,N59)</f>
        <v>12755256</v>
      </c>
      <c r="O9" s="25">
        <f>SUM(O10,O22,O36,O51,O75,O86,O46,O59)</f>
        <v>12638077</v>
      </c>
      <c r="P9" s="25">
        <f t="shared" ref="P9:P71" si="18">O9-N9</f>
        <v>-117179</v>
      </c>
      <c r="Q9" s="25">
        <f>SUM(Q10,Q22,Q36,Q51,Q75,Q86,Q46,Q59)</f>
        <v>1274734</v>
      </c>
      <c r="R9" s="25">
        <f>SUM(R10,R22,R36,R51,R75,R86,R46,R59)</f>
        <v>806175</v>
      </c>
      <c r="S9" s="25">
        <f t="shared" ref="S9:S71" si="19">R9-Q9</f>
        <v>-468559</v>
      </c>
      <c r="T9" s="25">
        <f>SUM(T10,T22,T36,T51,T75,T86,T46,T59)</f>
        <v>2446716</v>
      </c>
      <c r="U9" s="25">
        <f>SUM(U10,U22,U36,U51,U75,U86,U46,U59)</f>
        <v>2438364</v>
      </c>
      <c r="V9" s="25">
        <f t="shared" ref="V9:V71" si="20">U9-T9</f>
        <v>-8352</v>
      </c>
      <c r="W9" s="25">
        <f>SUM(W10,W22,W36,W51,W75,W86,W46,W59)</f>
        <v>904213</v>
      </c>
      <c r="X9" s="25">
        <f>SUM(X10,X22,X36,X51,X75,X86,X46,X59)</f>
        <v>2147121</v>
      </c>
      <c r="Y9" s="25">
        <f t="shared" ref="Y9:Y71" si="21">X9-W9</f>
        <v>1242908</v>
      </c>
      <c r="Z9" s="25">
        <f>SUM(Z10,Z22,Z36,Z51,Z75,Z86,Z46,Z59)</f>
        <v>2851349</v>
      </c>
      <c r="AA9" s="25">
        <f>SUM(AA10,AA22,AA36,AA51,AA75,AA86,AA46,AA59)</f>
        <v>5490402</v>
      </c>
      <c r="AB9" s="25">
        <f t="shared" ref="AB9:AB71" si="22">AA9-Z9</f>
        <v>2639053</v>
      </c>
    </row>
    <row r="10" spans="1:187" s="6" customFormat="1" x14ac:dyDescent="0.25">
      <c r="A10" s="24" t="s">
        <v>17</v>
      </c>
      <c r="B10" s="25">
        <f t="shared" si="0"/>
        <v>474619</v>
      </c>
      <c r="C10" s="25">
        <f t="shared" si="0"/>
        <v>420619</v>
      </c>
      <c r="D10" s="25">
        <f t="shared" si="0"/>
        <v>-54000</v>
      </c>
      <c r="E10" s="25">
        <f>SUM(E11)</f>
        <v>66840</v>
      </c>
      <c r="F10" s="25">
        <f>SUM(F11)</f>
        <v>12840</v>
      </c>
      <c r="G10" s="25">
        <f t="shared" si="1"/>
        <v>-54000</v>
      </c>
      <c r="H10" s="25">
        <f>SUM(H11)</f>
        <v>131001</v>
      </c>
      <c r="I10" s="25">
        <f>SUM(I11)</f>
        <v>131001</v>
      </c>
      <c r="J10" s="25">
        <f t="shared" si="16"/>
        <v>0</v>
      </c>
      <c r="K10" s="25">
        <f>SUM(K11)</f>
        <v>70418</v>
      </c>
      <c r="L10" s="25">
        <f>SUM(L11)</f>
        <v>70418</v>
      </c>
      <c r="M10" s="25">
        <f t="shared" si="17"/>
        <v>0</v>
      </c>
      <c r="N10" s="25">
        <f>SUM(N11)</f>
        <v>0</v>
      </c>
      <c r="O10" s="25">
        <f>SUM(O11)</f>
        <v>0</v>
      </c>
      <c r="P10" s="25">
        <f t="shared" si="18"/>
        <v>0</v>
      </c>
      <c r="Q10" s="25">
        <f>SUM(Q11)</f>
        <v>0</v>
      </c>
      <c r="R10" s="25">
        <f>SUM(R11)</f>
        <v>0</v>
      </c>
      <c r="S10" s="25">
        <f t="shared" si="19"/>
        <v>0</v>
      </c>
      <c r="T10" s="25">
        <f>SUM(T11)</f>
        <v>0</v>
      </c>
      <c r="U10" s="25">
        <f>SUM(U11)</f>
        <v>0</v>
      </c>
      <c r="V10" s="25">
        <f t="shared" si="20"/>
        <v>0</v>
      </c>
      <c r="W10" s="25">
        <f>SUM(W11)</f>
        <v>0</v>
      </c>
      <c r="X10" s="25">
        <f>SUM(X11)</f>
        <v>0</v>
      </c>
      <c r="Y10" s="25">
        <f t="shared" si="21"/>
        <v>0</v>
      </c>
      <c r="Z10" s="25">
        <f>SUM(Z11)</f>
        <v>206360</v>
      </c>
      <c r="AA10" s="25">
        <f>SUM(AA11)</f>
        <v>206360</v>
      </c>
      <c r="AB10" s="25">
        <f t="shared" si="22"/>
        <v>0</v>
      </c>
    </row>
    <row r="11" spans="1:187" s="23" customFormat="1" x14ac:dyDescent="0.25">
      <c r="A11" s="24" t="s">
        <v>18</v>
      </c>
      <c r="B11" s="26">
        <f t="shared" si="0"/>
        <v>474619</v>
      </c>
      <c r="C11" s="26">
        <f t="shared" si="0"/>
        <v>420619</v>
      </c>
      <c r="D11" s="26">
        <f t="shared" si="0"/>
        <v>-54000</v>
      </c>
      <c r="E11" s="26">
        <f>SUM(E12:E21)</f>
        <v>66840</v>
      </c>
      <c r="F11" s="26">
        <f>SUM(F12:F21)</f>
        <v>12840</v>
      </c>
      <c r="G11" s="26">
        <f t="shared" si="1"/>
        <v>-54000</v>
      </c>
      <c r="H11" s="26">
        <f>SUM(H12:H21)</f>
        <v>131001</v>
      </c>
      <c r="I11" s="26">
        <f>SUM(I12:I21)</f>
        <v>131001</v>
      </c>
      <c r="J11" s="26">
        <f t="shared" si="16"/>
        <v>0</v>
      </c>
      <c r="K11" s="26">
        <f>SUM(K12:K21)</f>
        <v>70418</v>
      </c>
      <c r="L11" s="26">
        <f>SUM(L12:L21)</f>
        <v>70418</v>
      </c>
      <c r="M11" s="26">
        <f t="shared" si="17"/>
        <v>0</v>
      </c>
      <c r="N11" s="26">
        <f>SUM(N12:N21)</f>
        <v>0</v>
      </c>
      <c r="O11" s="26">
        <f>SUM(O12:O21)</f>
        <v>0</v>
      </c>
      <c r="P11" s="26">
        <f t="shared" si="18"/>
        <v>0</v>
      </c>
      <c r="Q11" s="26">
        <f>SUM(Q12:Q21)</f>
        <v>0</v>
      </c>
      <c r="R11" s="26">
        <f>SUM(R12:R21)</f>
        <v>0</v>
      </c>
      <c r="S11" s="26">
        <f t="shared" si="19"/>
        <v>0</v>
      </c>
      <c r="T11" s="26">
        <f>SUM(T12:T21)</f>
        <v>0</v>
      </c>
      <c r="U11" s="26">
        <f>SUM(U12:U21)</f>
        <v>0</v>
      </c>
      <c r="V11" s="26">
        <f t="shared" si="20"/>
        <v>0</v>
      </c>
      <c r="W11" s="26">
        <f>SUM(W12:W21)</f>
        <v>0</v>
      </c>
      <c r="X11" s="26">
        <f>SUM(X12:X21)</f>
        <v>0</v>
      </c>
      <c r="Y11" s="26">
        <f t="shared" si="21"/>
        <v>0</v>
      </c>
      <c r="Z11" s="26">
        <f>SUM(Z12:Z21)</f>
        <v>206360</v>
      </c>
      <c r="AA11" s="26">
        <f>SUM(AA12:AA21)</f>
        <v>206360</v>
      </c>
      <c r="AB11" s="26">
        <f t="shared" si="22"/>
        <v>0</v>
      </c>
    </row>
    <row r="12" spans="1:187" s="6" customFormat="1" ht="31.5" x14ac:dyDescent="0.25">
      <c r="A12" s="27" t="s">
        <v>19</v>
      </c>
      <c r="B12" s="28">
        <f t="shared" si="0"/>
        <v>8616</v>
      </c>
      <c r="C12" s="28">
        <f t="shared" si="0"/>
        <v>8616</v>
      </c>
      <c r="D12" s="28">
        <f t="shared" si="0"/>
        <v>0</v>
      </c>
      <c r="E12" s="28">
        <v>0</v>
      </c>
      <c r="F12" s="28">
        <v>0</v>
      </c>
      <c r="G12" s="28">
        <f t="shared" si="1"/>
        <v>0</v>
      </c>
      <c r="H12" s="28">
        <v>0</v>
      </c>
      <c r="I12" s="28">
        <v>0</v>
      </c>
      <c r="J12" s="28">
        <f t="shared" si="16"/>
        <v>0</v>
      </c>
      <c r="K12" s="28">
        <v>8616</v>
      </c>
      <c r="L12" s="28">
        <v>8616</v>
      </c>
      <c r="M12" s="28">
        <f t="shared" si="17"/>
        <v>0</v>
      </c>
      <c r="N12" s="28"/>
      <c r="O12" s="28"/>
      <c r="P12" s="28">
        <f t="shared" si="18"/>
        <v>0</v>
      </c>
      <c r="Q12" s="28"/>
      <c r="R12" s="28"/>
      <c r="S12" s="28">
        <f t="shared" si="19"/>
        <v>0</v>
      </c>
      <c r="T12" s="28"/>
      <c r="U12" s="28"/>
      <c r="V12" s="28">
        <f t="shared" si="20"/>
        <v>0</v>
      </c>
      <c r="W12" s="28"/>
      <c r="X12" s="28"/>
      <c r="Y12" s="28">
        <f t="shared" si="21"/>
        <v>0</v>
      </c>
      <c r="Z12" s="28"/>
      <c r="AA12" s="28"/>
      <c r="AB12" s="28">
        <f t="shared" si="22"/>
        <v>0</v>
      </c>
    </row>
    <row r="13" spans="1:187" s="6" customFormat="1" ht="31.5" x14ac:dyDescent="0.25">
      <c r="A13" s="27" t="s">
        <v>20</v>
      </c>
      <c r="B13" s="28">
        <f t="shared" si="0"/>
        <v>3548</v>
      </c>
      <c r="C13" s="28">
        <f t="shared" si="0"/>
        <v>3548</v>
      </c>
      <c r="D13" s="28">
        <f t="shared" si="0"/>
        <v>0</v>
      </c>
      <c r="E13" s="28">
        <v>0</v>
      </c>
      <c r="F13" s="28">
        <v>0</v>
      </c>
      <c r="G13" s="28">
        <f t="shared" si="1"/>
        <v>0</v>
      </c>
      <c r="H13" s="28">
        <v>0</v>
      </c>
      <c r="I13" s="28">
        <v>0</v>
      </c>
      <c r="J13" s="28">
        <f t="shared" si="16"/>
        <v>0</v>
      </c>
      <c r="K13" s="28">
        <v>3548</v>
      </c>
      <c r="L13" s="28">
        <v>3548</v>
      </c>
      <c r="M13" s="28">
        <f t="shared" si="17"/>
        <v>0</v>
      </c>
      <c r="N13" s="28"/>
      <c r="O13" s="28"/>
      <c r="P13" s="28">
        <f t="shared" si="18"/>
        <v>0</v>
      </c>
      <c r="Q13" s="28"/>
      <c r="R13" s="28"/>
      <c r="S13" s="28">
        <f t="shared" si="19"/>
        <v>0</v>
      </c>
      <c r="T13" s="28"/>
      <c r="U13" s="28"/>
      <c r="V13" s="28">
        <f t="shared" si="20"/>
        <v>0</v>
      </c>
      <c r="W13" s="28"/>
      <c r="X13" s="28"/>
      <c r="Y13" s="28">
        <f t="shared" si="21"/>
        <v>0</v>
      </c>
      <c r="Z13" s="28"/>
      <c r="AA13" s="28"/>
      <c r="AB13" s="28">
        <f t="shared" si="22"/>
        <v>0</v>
      </c>
    </row>
    <row r="14" spans="1:187" s="6" customFormat="1" ht="31.5" x14ac:dyDescent="0.25">
      <c r="A14" s="27" t="s">
        <v>21</v>
      </c>
      <c r="B14" s="28">
        <f t="shared" si="0"/>
        <v>14706</v>
      </c>
      <c r="C14" s="28">
        <f t="shared" si="0"/>
        <v>14706</v>
      </c>
      <c r="D14" s="28">
        <f t="shared" si="0"/>
        <v>0</v>
      </c>
      <c r="E14" s="28">
        <v>0</v>
      </c>
      <c r="F14" s="28">
        <v>0</v>
      </c>
      <c r="G14" s="28">
        <f t="shared" si="1"/>
        <v>0</v>
      </c>
      <c r="H14" s="28">
        <v>0</v>
      </c>
      <c r="I14" s="28">
        <v>0</v>
      </c>
      <c r="J14" s="28">
        <f t="shared" si="16"/>
        <v>0</v>
      </c>
      <c r="K14" s="28">
        <v>14706</v>
      </c>
      <c r="L14" s="28">
        <v>14706</v>
      </c>
      <c r="M14" s="28">
        <f t="shared" si="17"/>
        <v>0</v>
      </c>
      <c r="N14" s="28"/>
      <c r="O14" s="28"/>
      <c r="P14" s="28">
        <f t="shared" si="18"/>
        <v>0</v>
      </c>
      <c r="Q14" s="28"/>
      <c r="R14" s="28"/>
      <c r="S14" s="28">
        <f t="shared" si="19"/>
        <v>0</v>
      </c>
      <c r="T14" s="28"/>
      <c r="U14" s="28"/>
      <c r="V14" s="28">
        <f t="shared" si="20"/>
        <v>0</v>
      </c>
      <c r="W14" s="28"/>
      <c r="X14" s="28"/>
      <c r="Y14" s="28">
        <f t="shared" si="21"/>
        <v>0</v>
      </c>
      <c r="Z14" s="28"/>
      <c r="AA14" s="28"/>
      <c r="AB14" s="28">
        <f t="shared" si="22"/>
        <v>0</v>
      </c>
    </row>
    <row r="15" spans="1:187" s="6" customFormat="1" ht="31.5" x14ac:dyDescent="0.25">
      <c r="A15" s="27" t="s">
        <v>22</v>
      </c>
      <c r="B15" s="28">
        <f t="shared" si="0"/>
        <v>3333</v>
      </c>
      <c r="C15" s="28">
        <f t="shared" si="0"/>
        <v>3333</v>
      </c>
      <c r="D15" s="28">
        <f t="shared" si="0"/>
        <v>0</v>
      </c>
      <c r="E15" s="28">
        <v>0</v>
      </c>
      <c r="F15" s="28">
        <v>0</v>
      </c>
      <c r="G15" s="28">
        <f t="shared" si="1"/>
        <v>0</v>
      </c>
      <c r="H15" s="28">
        <v>0</v>
      </c>
      <c r="I15" s="28">
        <v>0</v>
      </c>
      <c r="J15" s="28">
        <f t="shared" si="16"/>
        <v>0</v>
      </c>
      <c r="K15" s="28">
        <v>3333</v>
      </c>
      <c r="L15" s="28">
        <v>3333</v>
      </c>
      <c r="M15" s="28">
        <f t="shared" si="17"/>
        <v>0</v>
      </c>
      <c r="N15" s="28"/>
      <c r="O15" s="28"/>
      <c r="P15" s="28">
        <f t="shared" si="18"/>
        <v>0</v>
      </c>
      <c r="Q15" s="28"/>
      <c r="R15" s="28"/>
      <c r="S15" s="28">
        <f t="shared" si="19"/>
        <v>0</v>
      </c>
      <c r="T15" s="28"/>
      <c r="U15" s="28"/>
      <c r="V15" s="28">
        <f t="shared" si="20"/>
        <v>0</v>
      </c>
      <c r="W15" s="28"/>
      <c r="X15" s="28"/>
      <c r="Y15" s="28">
        <f t="shared" si="21"/>
        <v>0</v>
      </c>
      <c r="Z15" s="28"/>
      <c r="AA15" s="28"/>
      <c r="AB15" s="28">
        <f t="shared" si="22"/>
        <v>0</v>
      </c>
    </row>
    <row r="16" spans="1:187" s="6" customFormat="1" ht="31.5" x14ac:dyDescent="0.25">
      <c r="A16" s="27" t="s">
        <v>23</v>
      </c>
      <c r="B16" s="28">
        <f t="shared" si="0"/>
        <v>11395</v>
      </c>
      <c r="C16" s="28">
        <f t="shared" si="0"/>
        <v>11395</v>
      </c>
      <c r="D16" s="28">
        <f t="shared" si="0"/>
        <v>0</v>
      </c>
      <c r="E16" s="28">
        <v>0</v>
      </c>
      <c r="F16" s="28">
        <v>0</v>
      </c>
      <c r="G16" s="28">
        <f t="shared" si="1"/>
        <v>0</v>
      </c>
      <c r="H16" s="28">
        <v>0</v>
      </c>
      <c r="I16" s="28">
        <v>0</v>
      </c>
      <c r="J16" s="28">
        <f t="shared" si="16"/>
        <v>0</v>
      </c>
      <c r="K16" s="28">
        <v>11395</v>
      </c>
      <c r="L16" s="28">
        <v>11395</v>
      </c>
      <c r="M16" s="28">
        <f t="shared" si="17"/>
        <v>0</v>
      </c>
      <c r="N16" s="28"/>
      <c r="O16" s="28"/>
      <c r="P16" s="28">
        <f t="shared" si="18"/>
        <v>0</v>
      </c>
      <c r="Q16" s="28"/>
      <c r="R16" s="28"/>
      <c r="S16" s="28">
        <f t="shared" si="19"/>
        <v>0</v>
      </c>
      <c r="T16" s="28"/>
      <c r="U16" s="28"/>
      <c r="V16" s="28">
        <f t="shared" si="20"/>
        <v>0</v>
      </c>
      <c r="W16" s="28"/>
      <c r="X16" s="28"/>
      <c r="Y16" s="28">
        <f t="shared" si="21"/>
        <v>0</v>
      </c>
      <c r="Z16" s="28"/>
      <c r="AA16" s="28"/>
      <c r="AB16" s="28">
        <f t="shared" si="22"/>
        <v>0</v>
      </c>
    </row>
    <row r="17" spans="1:29" s="6" customFormat="1" ht="31.5" x14ac:dyDescent="0.25">
      <c r="A17" s="27" t="s">
        <v>24</v>
      </c>
      <c r="B17" s="28">
        <f t="shared" si="0"/>
        <v>23820</v>
      </c>
      <c r="C17" s="28">
        <f t="shared" si="0"/>
        <v>23820</v>
      </c>
      <c r="D17" s="28">
        <f t="shared" si="0"/>
        <v>0</v>
      </c>
      <c r="E17" s="28">
        <v>0</v>
      </c>
      <c r="F17" s="28">
        <v>0</v>
      </c>
      <c r="G17" s="28">
        <f t="shared" si="1"/>
        <v>0</v>
      </c>
      <c r="H17" s="28">
        <v>0</v>
      </c>
      <c r="I17" s="28">
        <v>0</v>
      </c>
      <c r="J17" s="28">
        <f t="shared" si="16"/>
        <v>0</v>
      </c>
      <c r="K17" s="28">
        <f>15820+8000</f>
        <v>23820</v>
      </c>
      <c r="L17" s="28">
        <f>15820+8000</f>
        <v>23820</v>
      </c>
      <c r="M17" s="28">
        <f t="shared" si="17"/>
        <v>0</v>
      </c>
      <c r="N17" s="28"/>
      <c r="O17" s="28"/>
      <c r="P17" s="28">
        <f t="shared" si="18"/>
        <v>0</v>
      </c>
      <c r="Q17" s="28"/>
      <c r="R17" s="28"/>
      <c r="S17" s="28">
        <f t="shared" si="19"/>
        <v>0</v>
      </c>
      <c r="T17" s="28"/>
      <c r="U17" s="28"/>
      <c r="V17" s="28">
        <f t="shared" si="20"/>
        <v>0</v>
      </c>
      <c r="W17" s="28"/>
      <c r="X17" s="28"/>
      <c r="Y17" s="28">
        <f t="shared" si="21"/>
        <v>0</v>
      </c>
      <c r="Z17" s="28"/>
      <c r="AA17" s="28"/>
      <c r="AB17" s="28">
        <f t="shared" si="22"/>
        <v>0</v>
      </c>
    </row>
    <row r="18" spans="1:29" s="6" customFormat="1" ht="31.5" x14ac:dyDescent="0.25">
      <c r="A18" s="27" t="s">
        <v>25</v>
      </c>
      <c r="B18" s="28">
        <f t="shared" si="0"/>
        <v>5000</v>
      </c>
      <c r="C18" s="28">
        <f t="shared" si="0"/>
        <v>5000</v>
      </c>
      <c r="D18" s="28">
        <f t="shared" si="0"/>
        <v>0</v>
      </c>
      <c r="E18" s="28">
        <v>0</v>
      </c>
      <c r="F18" s="28">
        <v>0</v>
      </c>
      <c r="G18" s="28">
        <f t="shared" si="1"/>
        <v>0</v>
      </c>
      <c r="H18" s="28">
        <v>0</v>
      </c>
      <c r="I18" s="28">
        <v>0</v>
      </c>
      <c r="J18" s="28">
        <f t="shared" si="16"/>
        <v>0</v>
      </c>
      <c r="K18" s="28">
        <v>5000</v>
      </c>
      <c r="L18" s="28">
        <v>5000</v>
      </c>
      <c r="M18" s="28">
        <f t="shared" si="17"/>
        <v>0</v>
      </c>
      <c r="N18" s="28"/>
      <c r="O18" s="28"/>
      <c r="P18" s="28">
        <f t="shared" si="18"/>
        <v>0</v>
      </c>
      <c r="Q18" s="28"/>
      <c r="R18" s="28"/>
      <c r="S18" s="28">
        <f t="shared" si="19"/>
        <v>0</v>
      </c>
      <c r="T18" s="28"/>
      <c r="U18" s="28"/>
      <c r="V18" s="28">
        <f t="shared" si="20"/>
        <v>0</v>
      </c>
      <c r="W18" s="28"/>
      <c r="X18" s="28"/>
      <c r="Y18" s="28">
        <f t="shared" si="21"/>
        <v>0</v>
      </c>
      <c r="Z18" s="28"/>
      <c r="AA18" s="28"/>
      <c r="AB18" s="28">
        <f t="shared" si="22"/>
        <v>0</v>
      </c>
    </row>
    <row r="19" spans="1:29" s="6" customFormat="1" ht="63" x14ac:dyDescent="0.25">
      <c r="A19" s="27" t="s">
        <v>26</v>
      </c>
      <c r="B19" s="28">
        <f t="shared" si="0"/>
        <v>219200</v>
      </c>
      <c r="C19" s="28">
        <f t="shared" si="0"/>
        <v>219200</v>
      </c>
      <c r="D19" s="28">
        <f t="shared" si="0"/>
        <v>0</v>
      </c>
      <c r="E19" s="28">
        <f>13200+200000+3000+3000-206360</f>
        <v>12840</v>
      </c>
      <c r="F19" s="28">
        <f>13200+200000+3000+3000-206360</f>
        <v>12840</v>
      </c>
      <c r="G19" s="28">
        <f t="shared" si="1"/>
        <v>0</v>
      </c>
      <c r="H19" s="28"/>
      <c r="I19" s="28"/>
      <c r="J19" s="28">
        <f t="shared" si="16"/>
        <v>0</v>
      </c>
      <c r="K19" s="28"/>
      <c r="L19" s="28"/>
      <c r="M19" s="28">
        <f t="shared" si="17"/>
        <v>0</v>
      </c>
      <c r="N19" s="28"/>
      <c r="O19" s="28"/>
      <c r="P19" s="28">
        <f t="shared" si="18"/>
        <v>0</v>
      </c>
      <c r="Q19" s="28"/>
      <c r="R19" s="28"/>
      <c r="S19" s="28">
        <f t="shared" si="19"/>
        <v>0</v>
      </c>
      <c r="T19" s="28"/>
      <c r="U19" s="28"/>
      <c r="V19" s="28">
        <f t="shared" si="20"/>
        <v>0</v>
      </c>
      <c r="W19" s="28"/>
      <c r="X19" s="28"/>
      <c r="Y19" s="28">
        <f t="shared" si="21"/>
        <v>0</v>
      </c>
      <c r="Z19" s="28">
        <v>206360</v>
      </c>
      <c r="AA19" s="28">
        <v>206360</v>
      </c>
      <c r="AB19" s="28">
        <f t="shared" si="22"/>
        <v>0</v>
      </c>
    </row>
    <row r="20" spans="1:29" s="6" customFormat="1" ht="31.5" x14ac:dyDescent="0.25">
      <c r="A20" s="27" t="s">
        <v>27</v>
      </c>
      <c r="B20" s="28">
        <f t="shared" si="0"/>
        <v>54000</v>
      </c>
      <c r="C20" s="28">
        <f t="shared" si="0"/>
        <v>0</v>
      </c>
      <c r="D20" s="28">
        <f t="shared" si="0"/>
        <v>-54000</v>
      </c>
      <c r="E20" s="28">
        <v>54000</v>
      </c>
      <c r="F20" s="28">
        <f>54000-54000</f>
        <v>0</v>
      </c>
      <c r="G20" s="28">
        <f t="shared" si="1"/>
        <v>-54000</v>
      </c>
      <c r="H20" s="28"/>
      <c r="I20" s="28"/>
      <c r="J20" s="28">
        <f t="shared" si="16"/>
        <v>0</v>
      </c>
      <c r="K20" s="28"/>
      <c r="L20" s="28"/>
      <c r="M20" s="28">
        <f t="shared" si="17"/>
        <v>0</v>
      </c>
      <c r="N20" s="28"/>
      <c r="O20" s="28"/>
      <c r="P20" s="28">
        <f t="shared" si="18"/>
        <v>0</v>
      </c>
      <c r="Q20" s="28"/>
      <c r="R20" s="28"/>
      <c r="S20" s="28">
        <f t="shared" si="19"/>
        <v>0</v>
      </c>
      <c r="T20" s="28"/>
      <c r="U20" s="28"/>
      <c r="V20" s="28">
        <f t="shared" si="20"/>
        <v>0</v>
      </c>
      <c r="W20" s="28"/>
      <c r="X20" s="28"/>
      <c r="Y20" s="28">
        <f t="shared" si="21"/>
        <v>0</v>
      </c>
      <c r="Z20" s="28"/>
      <c r="AA20" s="28"/>
      <c r="AB20" s="28">
        <f t="shared" si="22"/>
        <v>0</v>
      </c>
    </row>
    <row r="21" spans="1:29" s="6" customFormat="1" ht="31.5" x14ac:dyDescent="0.25">
      <c r="A21" s="27" t="s">
        <v>28</v>
      </c>
      <c r="B21" s="28">
        <f t="shared" si="0"/>
        <v>131001</v>
      </c>
      <c r="C21" s="28">
        <f t="shared" si="0"/>
        <v>131001</v>
      </c>
      <c r="D21" s="28">
        <f t="shared" si="0"/>
        <v>0</v>
      </c>
      <c r="E21" s="28"/>
      <c r="F21" s="28"/>
      <c r="G21" s="28">
        <f t="shared" si="1"/>
        <v>0</v>
      </c>
      <c r="H21" s="28">
        <f>47490+70572+12939</f>
        <v>131001</v>
      </c>
      <c r="I21" s="28">
        <f>47490+70572+12939</f>
        <v>131001</v>
      </c>
      <c r="J21" s="28">
        <f t="shared" si="16"/>
        <v>0</v>
      </c>
      <c r="K21" s="28"/>
      <c r="L21" s="28"/>
      <c r="M21" s="28">
        <f t="shared" si="17"/>
        <v>0</v>
      </c>
      <c r="N21" s="28"/>
      <c r="O21" s="28"/>
      <c r="P21" s="28">
        <f t="shared" si="18"/>
        <v>0</v>
      </c>
      <c r="Q21" s="28"/>
      <c r="R21" s="28"/>
      <c r="S21" s="28">
        <f t="shared" si="19"/>
        <v>0</v>
      </c>
      <c r="T21" s="28"/>
      <c r="U21" s="28"/>
      <c r="V21" s="28">
        <f t="shared" si="20"/>
        <v>0</v>
      </c>
      <c r="W21" s="28"/>
      <c r="X21" s="28"/>
      <c r="Y21" s="28">
        <f t="shared" si="21"/>
        <v>0</v>
      </c>
      <c r="Z21" s="28"/>
      <c r="AA21" s="28"/>
      <c r="AB21" s="28">
        <f t="shared" si="22"/>
        <v>0</v>
      </c>
    </row>
    <row r="22" spans="1:29" s="23" customFormat="1" x14ac:dyDescent="0.25">
      <c r="A22" s="29" t="s">
        <v>29</v>
      </c>
      <c r="B22" s="26">
        <f t="shared" si="0"/>
        <v>530403</v>
      </c>
      <c r="C22" s="26">
        <f t="shared" si="0"/>
        <v>530403</v>
      </c>
      <c r="D22" s="26">
        <f t="shared" si="0"/>
        <v>0</v>
      </c>
      <c r="E22" s="26">
        <f>SUM(E23)</f>
        <v>0</v>
      </c>
      <c r="F22" s="26">
        <f>SUM(F23)</f>
        <v>0</v>
      </c>
      <c r="G22" s="26">
        <f t="shared" si="1"/>
        <v>0</v>
      </c>
      <c r="H22" s="26">
        <f>SUM(H23)</f>
        <v>0</v>
      </c>
      <c r="I22" s="26">
        <f>SUM(I23)</f>
        <v>0</v>
      </c>
      <c r="J22" s="26">
        <f t="shared" si="16"/>
        <v>0</v>
      </c>
      <c r="K22" s="26">
        <f>SUM(K23)</f>
        <v>0</v>
      </c>
      <c r="L22" s="26">
        <f>SUM(L23)</f>
        <v>0</v>
      </c>
      <c r="M22" s="26">
        <f t="shared" si="17"/>
        <v>0</v>
      </c>
      <c r="N22" s="26">
        <f>SUM(N23)</f>
        <v>0</v>
      </c>
      <c r="O22" s="26">
        <f>SUM(O23)</f>
        <v>0</v>
      </c>
      <c r="P22" s="26">
        <f t="shared" si="18"/>
        <v>0</v>
      </c>
      <c r="Q22" s="26">
        <f>SUM(Q23)</f>
        <v>125580</v>
      </c>
      <c r="R22" s="26">
        <f>SUM(R23)</f>
        <v>0</v>
      </c>
      <c r="S22" s="26">
        <f t="shared" si="19"/>
        <v>-125580</v>
      </c>
      <c r="T22" s="26">
        <f>SUM(T23)</f>
        <v>294823</v>
      </c>
      <c r="U22" s="26">
        <f>SUM(U23)</f>
        <v>294823</v>
      </c>
      <c r="V22" s="26">
        <f t="shared" si="20"/>
        <v>0</v>
      </c>
      <c r="W22" s="26">
        <f>SUM(W23)</f>
        <v>0</v>
      </c>
      <c r="X22" s="26">
        <f>SUM(X23)</f>
        <v>0</v>
      </c>
      <c r="Y22" s="26">
        <f t="shared" si="21"/>
        <v>0</v>
      </c>
      <c r="Z22" s="26">
        <f>SUM(Z23)</f>
        <v>110000</v>
      </c>
      <c r="AA22" s="26">
        <f>SUM(AA23)</f>
        <v>235580</v>
      </c>
      <c r="AB22" s="26">
        <f t="shared" si="22"/>
        <v>125580</v>
      </c>
    </row>
    <row r="23" spans="1:29" s="23" customFormat="1" x14ac:dyDescent="0.25">
      <c r="A23" s="24" t="s">
        <v>18</v>
      </c>
      <c r="B23" s="26">
        <f t="shared" si="0"/>
        <v>530403</v>
      </c>
      <c r="C23" s="26">
        <f t="shared" si="0"/>
        <v>530403</v>
      </c>
      <c r="D23" s="26">
        <f t="shared" si="0"/>
        <v>0</v>
      </c>
      <c r="E23" s="26">
        <f>SUM(E24:E35)</f>
        <v>0</v>
      </c>
      <c r="F23" s="26">
        <f>SUM(F24:F35)</f>
        <v>0</v>
      </c>
      <c r="G23" s="26">
        <f t="shared" si="1"/>
        <v>0</v>
      </c>
      <c r="H23" s="26">
        <f>SUM(H24:H35)</f>
        <v>0</v>
      </c>
      <c r="I23" s="26">
        <f>SUM(I24:I35)</f>
        <v>0</v>
      </c>
      <c r="J23" s="26">
        <f t="shared" si="16"/>
        <v>0</v>
      </c>
      <c r="K23" s="26">
        <f>SUM(K24:K35)</f>
        <v>0</v>
      </c>
      <c r="L23" s="26">
        <f>SUM(L24:L35)</f>
        <v>0</v>
      </c>
      <c r="M23" s="26">
        <f t="shared" si="17"/>
        <v>0</v>
      </c>
      <c r="N23" s="26">
        <f>SUM(N24:N35)</f>
        <v>0</v>
      </c>
      <c r="O23" s="26">
        <f>SUM(O24:O35)</f>
        <v>0</v>
      </c>
      <c r="P23" s="26">
        <f t="shared" si="18"/>
        <v>0</v>
      </c>
      <c r="Q23" s="26">
        <f>SUM(Q24:Q35)</f>
        <v>125580</v>
      </c>
      <c r="R23" s="26">
        <f>SUM(R24:R35)</f>
        <v>0</v>
      </c>
      <c r="S23" s="26">
        <f t="shared" si="19"/>
        <v>-125580</v>
      </c>
      <c r="T23" s="26">
        <f>SUM(T24:T35)</f>
        <v>294823</v>
      </c>
      <c r="U23" s="26">
        <f>SUM(U24:U35)</f>
        <v>294823</v>
      </c>
      <c r="V23" s="26">
        <f t="shared" si="20"/>
        <v>0</v>
      </c>
      <c r="W23" s="26">
        <f>SUM(W24:W35)</f>
        <v>0</v>
      </c>
      <c r="X23" s="26">
        <f>SUM(X24:X35)</f>
        <v>0</v>
      </c>
      <c r="Y23" s="26">
        <f t="shared" si="21"/>
        <v>0</v>
      </c>
      <c r="Z23" s="26">
        <f>SUM(Z24:Z35)</f>
        <v>110000</v>
      </c>
      <c r="AA23" s="26">
        <f>SUM(AA24:AA35)</f>
        <v>235580</v>
      </c>
      <c r="AB23" s="26">
        <f t="shared" si="22"/>
        <v>125580</v>
      </c>
    </row>
    <row r="24" spans="1:29" s="6" customFormat="1" x14ac:dyDescent="0.25">
      <c r="A24" s="30" t="s">
        <v>30</v>
      </c>
      <c r="B24" s="31">
        <f t="shared" si="0"/>
        <v>110000</v>
      </c>
      <c r="C24" s="31">
        <f t="shared" si="0"/>
        <v>110000</v>
      </c>
      <c r="D24" s="31">
        <f t="shared" si="0"/>
        <v>0</v>
      </c>
      <c r="E24" s="31">
        <v>0</v>
      </c>
      <c r="F24" s="31">
        <v>0</v>
      </c>
      <c r="G24" s="31">
        <f t="shared" si="1"/>
        <v>0</v>
      </c>
      <c r="H24" s="31">
        <v>0</v>
      </c>
      <c r="I24" s="31">
        <v>0</v>
      </c>
      <c r="J24" s="31">
        <f t="shared" si="16"/>
        <v>0</v>
      </c>
      <c r="K24" s="31">
        <v>0</v>
      </c>
      <c r="L24" s="31">
        <v>0</v>
      </c>
      <c r="M24" s="31">
        <f t="shared" si="17"/>
        <v>0</v>
      </c>
      <c r="N24" s="31"/>
      <c r="O24" s="31"/>
      <c r="P24" s="31">
        <f t="shared" si="18"/>
        <v>0</v>
      </c>
      <c r="Q24" s="31"/>
      <c r="R24" s="31"/>
      <c r="S24" s="31">
        <f t="shared" si="19"/>
        <v>0</v>
      </c>
      <c r="T24" s="31">
        <v>0</v>
      </c>
      <c r="U24" s="31">
        <v>0</v>
      </c>
      <c r="V24" s="31">
        <f t="shared" si="20"/>
        <v>0</v>
      </c>
      <c r="W24" s="31"/>
      <c r="X24" s="31"/>
      <c r="Y24" s="31">
        <f t="shared" si="21"/>
        <v>0</v>
      </c>
      <c r="Z24" s="31">
        <f>110000</f>
        <v>110000</v>
      </c>
      <c r="AA24" s="31">
        <f>110000</f>
        <v>110000</v>
      </c>
      <c r="AB24" s="31">
        <f t="shared" si="22"/>
        <v>0</v>
      </c>
    </row>
    <row r="25" spans="1:29" s="6" customFormat="1" x14ac:dyDescent="0.25">
      <c r="A25" s="35" t="s">
        <v>31</v>
      </c>
      <c r="B25" s="31">
        <f t="shared" si="0"/>
        <v>54000</v>
      </c>
      <c r="C25" s="31">
        <f t="shared" si="0"/>
        <v>54000</v>
      </c>
      <c r="D25" s="31">
        <f t="shared" si="0"/>
        <v>0</v>
      </c>
      <c r="E25" s="31">
        <v>0</v>
      </c>
      <c r="F25" s="31">
        <v>0</v>
      </c>
      <c r="G25" s="31">
        <f t="shared" si="1"/>
        <v>0</v>
      </c>
      <c r="H25" s="31">
        <v>0</v>
      </c>
      <c r="I25" s="31">
        <v>0</v>
      </c>
      <c r="J25" s="31">
        <f t="shared" si="16"/>
        <v>0</v>
      </c>
      <c r="K25" s="31"/>
      <c r="L25" s="31"/>
      <c r="M25" s="31">
        <f t="shared" si="17"/>
        <v>0</v>
      </c>
      <c r="N25" s="31">
        <v>0</v>
      </c>
      <c r="O25" s="31">
        <v>0</v>
      </c>
      <c r="P25" s="31">
        <f t="shared" si="18"/>
        <v>0</v>
      </c>
      <c r="Q25" s="31">
        <v>54000</v>
      </c>
      <c r="R25" s="31">
        <f>54000-54000</f>
        <v>0</v>
      </c>
      <c r="S25" s="31">
        <f t="shared" si="19"/>
        <v>-54000</v>
      </c>
      <c r="T25" s="31">
        <v>0</v>
      </c>
      <c r="U25" s="31">
        <v>0</v>
      </c>
      <c r="V25" s="31">
        <f t="shared" si="20"/>
        <v>0</v>
      </c>
      <c r="W25" s="31">
        <v>0</v>
      </c>
      <c r="X25" s="31">
        <v>0</v>
      </c>
      <c r="Y25" s="31">
        <f t="shared" si="21"/>
        <v>0</v>
      </c>
      <c r="Z25" s="31"/>
      <c r="AA25" s="31">
        <f>54000</f>
        <v>54000</v>
      </c>
      <c r="AB25" s="31">
        <f t="shared" si="22"/>
        <v>54000</v>
      </c>
    </row>
    <row r="26" spans="1:29" s="6" customFormat="1" x14ac:dyDescent="0.25">
      <c r="A26" s="35" t="s">
        <v>32</v>
      </c>
      <c r="B26" s="31">
        <f t="shared" si="0"/>
        <v>39400</v>
      </c>
      <c r="C26" s="31">
        <f t="shared" si="0"/>
        <v>39400</v>
      </c>
      <c r="D26" s="31">
        <f t="shared" si="0"/>
        <v>0</v>
      </c>
      <c r="E26" s="31">
        <v>0</v>
      </c>
      <c r="F26" s="31">
        <v>0</v>
      </c>
      <c r="G26" s="31">
        <f t="shared" si="1"/>
        <v>0</v>
      </c>
      <c r="H26" s="31">
        <v>0</v>
      </c>
      <c r="I26" s="31">
        <v>0</v>
      </c>
      <c r="J26" s="31">
        <f t="shared" si="16"/>
        <v>0</v>
      </c>
      <c r="K26" s="31"/>
      <c r="L26" s="31"/>
      <c r="M26" s="31">
        <f t="shared" si="17"/>
        <v>0</v>
      </c>
      <c r="N26" s="31">
        <v>0</v>
      </c>
      <c r="O26" s="31">
        <v>0</v>
      </c>
      <c r="P26" s="31">
        <f t="shared" si="18"/>
        <v>0</v>
      </c>
      <c r="Q26" s="31">
        <v>39400</v>
      </c>
      <c r="R26" s="31">
        <f>39400-39400</f>
        <v>0</v>
      </c>
      <c r="S26" s="31">
        <f t="shared" si="19"/>
        <v>-39400</v>
      </c>
      <c r="T26" s="31">
        <v>0</v>
      </c>
      <c r="U26" s="31">
        <v>0</v>
      </c>
      <c r="V26" s="31">
        <f t="shared" si="20"/>
        <v>0</v>
      </c>
      <c r="W26" s="31">
        <v>0</v>
      </c>
      <c r="X26" s="31">
        <v>0</v>
      </c>
      <c r="Y26" s="31">
        <f t="shared" si="21"/>
        <v>0</v>
      </c>
      <c r="Z26" s="31"/>
      <c r="AA26" s="31">
        <v>39400</v>
      </c>
      <c r="AB26" s="31">
        <f t="shared" si="22"/>
        <v>39400</v>
      </c>
    </row>
    <row r="27" spans="1:29" s="6" customFormat="1" ht="31.5" x14ac:dyDescent="0.25">
      <c r="A27" s="35" t="s">
        <v>33</v>
      </c>
      <c r="B27" s="31">
        <f t="shared" si="0"/>
        <v>22180</v>
      </c>
      <c r="C27" s="31">
        <f t="shared" si="0"/>
        <v>22180</v>
      </c>
      <c r="D27" s="31">
        <f t="shared" si="0"/>
        <v>0</v>
      </c>
      <c r="E27" s="31">
        <v>0</v>
      </c>
      <c r="F27" s="31">
        <v>0</v>
      </c>
      <c r="G27" s="31">
        <f t="shared" si="1"/>
        <v>0</v>
      </c>
      <c r="H27" s="31">
        <v>0</v>
      </c>
      <c r="I27" s="31">
        <v>0</v>
      </c>
      <c r="J27" s="31">
        <f t="shared" si="16"/>
        <v>0</v>
      </c>
      <c r="K27" s="31"/>
      <c r="L27" s="31"/>
      <c r="M27" s="31">
        <f t="shared" si="17"/>
        <v>0</v>
      </c>
      <c r="N27" s="31">
        <v>0</v>
      </c>
      <c r="O27" s="31">
        <v>0</v>
      </c>
      <c r="P27" s="31">
        <f t="shared" si="18"/>
        <v>0</v>
      </c>
      <c r="Q27" s="31">
        <v>22180</v>
      </c>
      <c r="R27" s="31">
        <f>22180-22180</f>
        <v>0</v>
      </c>
      <c r="S27" s="31">
        <f t="shared" si="19"/>
        <v>-22180</v>
      </c>
      <c r="T27" s="31">
        <v>0</v>
      </c>
      <c r="U27" s="31">
        <v>0</v>
      </c>
      <c r="V27" s="31">
        <f t="shared" si="20"/>
        <v>0</v>
      </c>
      <c r="W27" s="31">
        <v>0</v>
      </c>
      <c r="X27" s="31">
        <v>0</v>
      </c>
      <c r="Y27" s="31">
        <f t="shared" si="21"/>
        <v>0</v>
      </c>
      <c r="Z27" s="31"/>
      <c r="AA27" s="31">
        <v>22180</v>
      </c>
      <c r="AB27" s="31">
        <f t="shared" si="22"/>
        <v>22180</v>
      </c>
    </row>
    <row r="28" spans="1:29" s="6" customFormat="1" x14ac:dyDescent="0.25">
      <c r="A28" s="30" t="s">
        <v>34</v>
      </c>
      <c r="B28" s="31">
        <f t="shared" si="0"/>
        <v>10000</v>
      </c>
      <c r="C28" s="31">
        <f t="shared" si="0"/>
        <v>10000</v>
      </c>
      <c r="D28" s="31">
        <f t="shared" si="0"/>
        <v>0</v>
      </c>
      <c r="E28" s="31">
        <v>0</v>
      </c>
      <c r="F28" s="31">
        <v>0</v>
      </c>
      <c r="G28" s="31">
        <f t="shared" si="1"/>
        <v>0</v>
      </c>
      <c r="H28" s="31">
        <v>0</v>
      </c>
      <c r="I28" s="31">
        <v>0</v>
      </c>
      <c r="J28" s="31">
        <f t="shared" si="16"/>
        <v>0</v>
      </c>
      <c r="K28" s="31">
        <v>0</v>
      </c>
      <c r="L28" s="31">
        <v>0</v>
      </c>
      <c r="M28" s="31">
        <f t="shared" si="17"/>
        <v>0</v>
      </c>
      <c r="N28" s="31"/>
      <c r="O28" s="31"/>
      <c r="P28" s="31">
        <f t="shared" si="18"/>
        <v>0</v>
      </c>
      <c r="Q28" s="31">
        <f>10000</f>
        <v>10000</v>
      </c>
      <c r="R28" s="31">
        <f>10000-10000</f>
        <v>0</v>
      </c>
      <c r="S28" s="31">
        <f t="shared" si="19"/>
        <v>-10000</v>
      </c>
      <c r="T28" s="31">
        <v>0</v>
      </c>
      <c r="U28" s="31">
        <v>0</v>
      </c>
      <c r="V28" s="31">
        <f t="shared" si="20"/>
        <v>0</v>
      </c>
      <c r="W28" s="31"/>
      <c r="X28" s="31"/>
      <c r="Y28" s="31">
        <f t="shared" si="21"/>
        <v>0</v>
      </c>
      <c r="Z28" s="31">
        <v>0</v>
      </c>
      <c r="AA28" s="31">
        <v>10000</v>
      </c>
      <c r="AB28" s="31">
        <f t="shared" si="22"/>
        <v>10000</v>
      </c>
      <c r="AC28" s="5"/>
    </row>
    <row r="29" spans="1:29" s="6" customFormat="1" ht="31.5" x14ac:dyDescent="0.25">
      <c r="A29" s="32" t="s">
        <v>35</v>
      </c>
      <c r="B29" s="31">
        <f t="shared" si="0"/>
        <v>21270</v>
      </c>
      <c r="C29" s="31">
        <f t="shared" si="0"/>
        <v>21270</v>
      </c>
      <c r="D29" s="31">
        <f t="shared" si="0"/>
        <v>0</v>
      </c>
      <c r="E29" s="31">
        <v>0</v>
      </c>
      <c r="F29" s="31">
        <v>0</v>
      </c>
      <c r="G29" s="31">
        <f t="shared" si="1"/>
        <v>0</v>
      </c>
      <c r="H29" s="31">
        <v>0</v>
      </c>
      <c r="I29" s="31">
        <v>0</v>
      </c>
      <c r="J29" s="31">
        <f t="shared" si="16"/>
        <v>0</v>
      </c>
      <c r="K29" s="31">
        <v>0</v>
      </c>
      <c r="L29" s="31">
        <v>0</v>
      </c>
      <c r="M29" s="31">
        <f t="shared" si="17"/>
        <v>0</v>
      </c>
      <c r="N29" s="31"/>
      <c r="O29" s="31"/>
      <c r="P29" s="31">
        <f t="shared" si="18"/>
        <v>0</v>
      </c>
      <c r="Q29" s="31"/>
      <c r="R29" s="31"/>
      <c r="S29" s="31">
        <f t="shared" si="19"/>
        <v>0</v>
      </c>
      <c r="T29" s="31">
        <v>21270</v>
      </c>
      <c r="U29" s="31">
        <v>21270</v>
      </c>
      <c r="V29" s="31">
        <f t="shared" si="20"/>
        <v>0</v>
      </c>
      <c r="W29" s="31"/>
      <c r="X29" s="31"/>
      <c r="Y29" s="31">
        <f t="shared" si="21"/>
        <v>0</v>
      </c>
      <c r="Z29" s="31"/>
      <c r="AA29" s="31"/>
      <c r="AB29" s="31">
        <f t="shared" si="22"/>
        <v>0</v>
      </c>
    </row>
    <row r="30" spans="1:29" s="6" customFormat="1" ht="47.25" x14ac:dyDescent="0.25">
      <c r="A30" s="32" t="s">
        <v>36</v>
      </c>
      <c r="B30" s="31">
        <f t="shared" si="0"/>
        <v>1645</v>
      </c>
      <c r="C30" s="31">
        <f t="shared" si="0"/>
        <v>1645</v>
      </c>
      <c r="D30" s="31">
        <f t="shared" si="0"/>
        <v>0</v>
      </c>
      <c r="E30" s="31">
        <v>0</v>
      </c>
      <c r="F30" s="31">
        <v>0</v>
      </c>
      <c r="G30" s="31">
        <f t="shared" si="1"/>
        <v>0</v>
      </c>
      <c r="H30" s="31">
        <v>0</v>
      </c>
      <c r="I30" s="31">
        <v>0</v>
      </c>
      <c r="J30" s="31">
        <f t="shared" si="16"/>
        <v>0</v>
      </c>
      <c r="K30" s="31">
        <v>0</v>
      </c>
      <c r="L30" s="31">
        <v>0</v>
      </c>
      <c r="M30" s="31">
        <f t="shared" si="17"/>
        <v>0</v>
      </c>
      <c r="N30" s="31"/>
      <c r="O30" s="31"/>
      <c r="P30" s="31">
        <f t="shared" si="18"/>
        <v>0</v>
      </c>
      <c r="Q30" s="31"/>
      <c r="R30" s="31"/>
      <c r="S30" s="31">
        <f t="shared" si="19"/>
        <v>0</v>
      </c>
      <c r="T30" s="31">
        <v>1645</v>
      </c>
      <c r="U30" s="31">
        <v>1645</v>
      </c>
      <c r="V30" s="31">
        <f t="shared" si="20"/>
        <v>0</v>
      </c>
      <c r="W30" s="31"/>
      <c r="X30" s="31"/>
      <c r="Y30" s="31">
        <f t="shared" si="21"/>
        <v>0</v>
      </c>
      <c r="Z30" s="31"/>
      <c r="AA30" s="31"/>
      <c r="AB30" s="31">
        <f t="shared" si="22"/>
        <v>0</v>
      </c>
    </row>
    <row r="31" spans="1:29" s="6" customFormat="1" ht="31.5" x14ac:dyDescent="0.25">
      <c r="A31" s="32" t="s">
        <v>37</v>
      </c>
      <c r="B31" s="31">
        <f t="shared" si="0"/>
        <v>79916</v>
      </c>
      <c r="C31" s="31">
        <f t="shared" si="0"/>
        <v>79916</v>
      </c>
      <c r="D31" s="31">
        <f t="shared" si="0"/>
        <v>0</v>
      </c>
      <c r="E31" s="31">
        <v>0</v>
      </c>
      <c r="F31" s="31">
        <v>0</v>
      </c>
      <c r="G31" s="31">
        <f t="shared" si="1"/>
        <v>0</v>
      </c>
      <c r="H31" s="31">
        <v>0</v>
      </c>
      <c r="I31" s="31">
        <v>0</v>
      </c>
      <c r="J31" s="31">
        <f t="shared" si="16"/>
        <v>0</v>
      </c>
      <c r="K31" s="31">
        <v>0</v>
      </c>
      <c r="L31" s="31">
        <v>0</v>
      </c>
      <c r="M31" s="31">
        <f t="shared" si="17"/>
        <v>0</v>
      </c>
      <c r="N31" s="31"/>
      <c r="O31" s="31"/>
      <c r="P31" s="31">
        <f t="shared" si="18"/>
        <v>0</v>
      </c>
      <c r="Q31" s="31"/>
      <c r="R31" s="31"/>
      <c r="S31" s="31">
        <f t="shared" si="19"/>
        <v>0</v>
      </c>
      <c r="T31" s="31">
        <v>79916</v>
      </c>
      <c r="U31" s="31">
        <v>79916</v>
      </c>
      <c r="V31" s="31">
        <f t="shared" si="20"/>
        <v>0</v>
      </c>
      <c r="W31" s="31"/>
      <c r="X31" s="31"/>
      <c r="Y31" s="31">
        <f t="shared" si="21"/>
        <v>0</v>
      </c>
      <c r="Z31" s="31"/>
      <c r="AA31" s="31"/>
      <c r="AB31" s="31">
        <f t="shared" si="22"/>
        <v>0</v>
      </c>
    </row>
    <row r="32" spans="1:29" s="6" customFormat="1" ht="78.75" x14ac:dyDescent="0.25">
      <c r="A32" s="32" t="s">
        <v>38</v>
      </c>
      <c r="B32" s="31">
        <f t="shared" si="0"/>
        <v>15596</v>
      </c>
      <c r="C32" s="31">
        <f t="shared" si="0"/>
        <v>15596</v>
      </c>
      <c r="D32" s="31">
        <f t="shared" si="0"/>
        <v>0</v>
      </c>
      <c r="E32" s="31">
        <v>0</v>
      </c>
      <c r="F32" s="31">
        <v>0</v>
      </c>
      <c r="G32" s="31">
        <f t="shared" si="1"/>
        <v>0</v>
      </c>
      <c r="H32" s="31">
        <v>0</v>
      </c>
      <c r="I32" s="31">
        <v>0</v>
      </c>
      <c r="J32" s="31">
        <f t="shared" si="16"/>
        <v>0</v>
      </c>
      <c r="K32" s="31">
        <v>0</v>
      </c>
      <c r="L32" s="31">
        <v>0</v>
      </c>
      <c r="M32" s="31">
        <f t="shared" si="17"/>
        <v>0</v>
      </c>
      <c r="N32" s="31"/>
      <c r="O32" s="31"/>
      <c r="P32" s="31">
        <f t="shared" si="18"/>
        <v>0</v>
      </c>
      <c r="Q32" s="31"/>
      <c r="R32" s="31"/>
      <c r="S32" s="31">
        <f t="shared" si="19"/>
        <v>0</v>
      </c>
      <c r="T32" s="31">
        <v>15596</v>
      </c>
      <c r="U32" s="31">
        <v>15596</v>
      </c>
      <c r="V32" s="31">
        <f t="shared" si="20"/>
        <v>0</v>
      </c>
      <c r="W32" s="31"/>
      <c r="X32" s="31"/>
      <c r="Y32" s="31">
        <f t="shared" si="21"/>
        <v>0</v>
      </c>
      <c r="Z32" s="31"/>
      <c r="AA32" s="31"/>
      <c r="AB32" s="31">
        <f t="shared" si="22"/>
        <v>0</v>
      </c>
    </row>
    <row r="33" spans="1:187" s="6" customFormat="1" ht="63" x14ac:dyDescent="0.25">
      <c r="A33" s="30" t="s">
        <v>39</v>
      </c>
      <c r="B33" s="28">
        <f t="shared" si="0"/>
        <v>1526</v>
      </c>
      <c r="C33" s="28">
        <f t="shared" si="0"/>
        <v>1526</v>
      </c>
      <c r="D33" s="28">
        <f t="shared" si="0"/>
        <v>0</v>
      </c>
      <c r="E33" s="28">
        <v>0</v>
      </c>
      <c r="F33" s="28">
        <v>0</v>
      </c>
      <c r="G33" s="28">
        <f t="shared" si="1"/>
        <v>0</v>
      </c>
      <c r="H33" s="28">
        <v>0</v>
      </c>
      <c r="I33" s="28">
        <v>0</v>
      </c>
      <c r="J33" s="28">
        <f t="shared" si="16"/>
        <v>0</v>
      </c>
      <c r="K33" s="28">
        <v>0</v>
      </c>
      <c r="L33" s="28">
        <v>0</v>
      </c>
      <c r="M33" s="28">
        <f t="shared" si="17"/>
        <v>0</v>
      </c>
      <c r="N33" s="28"/>
      <c r="O33" s="28"/>
      <c r="P33" s="28">
        <f t="shared" si="18"/>
        <v>0</v>
      </c>
      <c r="Q33" s="28"/>
      <c r="R33" s="28"/>
      <c r="S33" s="28">
        <f t="shared" si="19"/>
        <v>0</v>
      </c>
      <c r="T33" s="28">
        <f>9516-7990</f>
        <v>1526</v>
      </c>
      <c r="U33" s="28">
        <f>9516-7990</f>
        <v>1526</v>
      </c>
      <c r="V33" s="28">
        <f t="shared" si="20"/>
        <v>0</v>
      </c>
      <c r="W33" s="28"/>
      <c r="X33" s="28"/>
      <c r="Y33" s="28">
        <f t="shared" si="21"/>
        <v>0</v>
      </c>
      <c r="Z33" s="28"/>
      <c r="AA33" s="28"/>
      <c r="AB33" s="28">
        <f t="shared" si="22"/>
        <v>0</v>
      </c>
    </row>
    <row r="34" spans="1:187" s="6" customFormat="1" ht="94.5" x14ac:dyDescent="0.25">
      <c r="A34" s="32" t="s">
        <v>40</v>
      </c>
      <c r="B34" s="31">
        <f t="shared" si="0"/>
        <v>122493</v>
      </c>
      <c r="C34" s="31">
        <f t="shared" si="0"/>
        <v>122493</v>
      </c>
      <c r="D34" s="31">
        <f t="shared" si="0"/>
        <v>0</v>
      </c>
      <c r="E34" s="31">
        <f>50000-50000</f>
        <v>0</v>
      </c>
      <c r="F34" s="31">
        <f>50000-50000</f>
        <v>0</v>
      </c>
      <c r="G34" s="31">
        <f t="shared" si="1"/>
        <v>0</v>
      </c>
      <c r="H34" s="31">
        <v>0</v>
      </c>
      <c r="I34" s="31">
        <v>0</v>
      </c>
      <c r="J34" s="31">
        <f t="shared" si="16"/>
        <v>0</v>
      </c>
      <c r="K34" s="31">
        <v>0</v>
      </c>
      <c r="L34" s="31">
        <v>0</v>
      </c>
      <c r="M34" s="31">
        <f t="shared" si="17"/>
        <v>0</v>
      </c>
      <c r="N34" s="31"/>
      <c r="O34" s="31"/>
      <c r="P34" s="31">
        <f t="shared" si="18"/>
        <v>0</v>
      </c>
      <c r="Q34" s="31"/>
      <c r="R34" s="31"/>
      <c r="S34" s="31">
        <f t="shared" si="19"/>
        <v>0</v>
      </c>
      <c r="T34" s="31">
        <f>72493+50000</f>
        <v>122493</v>
      </c>
      <c r="U34" s="31">
        <f>72493+50000</f>
        <v>122493</v>
      </c>
      <c r="V34" s="31">
        <f t="shared" si="20"/>
        <v>0</v>
      </c>
      <c r="W34" s="31"/>
      <c r="X34" s="31"/>
      <c r="Y34" s="31">
        <f t="shared" si="21"/>
        <v>0</v>
      </c>
      <c r="Z34" s="31"/>
      <c r="AA34" s="31"/>
      <c r="AB34" s="31">
        <f t="shared" si="22"/>
        <v>0</v>
      </c>
    </row>
    <row r="35" spans="1:187" s="6" customFormat="1" ht="47.25" x14ac:dyDescent="0.25">
      <c r="A35" s="30" t="s">
        <v>41</v>
      </c>
      <c r="B35" s="28">
        <f t="shared" si="0"/>
        <v>52377</v>
      </c>
      <c r="C35" s="28">
        <f t="shared" si="0"/>
        <v>52377</v>
      </c>
      <c r="D35" s="28">
        <f t="shared" si="0"/>
        <v>0</v>
      </c>
      <c r="E35" s="28">
        <v>0</v>
      </c>
      <c r="F35" s="28">
        <v>0</v>
      </c>
      <c r="G35" s="28">
        <f t="shared" si="1"/>
        <v>0</v>
      </c>
      <c r="H35" s="28">
        <v>0</v>
      </c>
      <c r="I35" s="28">
        <v>0</v>
      </c>
      <c r="J35" s="28">
        <f t="shared" si="16"/>
        <v>0</v>
      </c>
      <c r="K35" s="28">
        <v>0</v>
      </c>
      <c r="L35" s="28">
        <v>0</v>
      </c>
      <c r="M35" s="28">
        <f t="shared" si="17"/>
        <v>0</v>
      </c>
      <c r="N35" s="28"/>
      <c r="O35" s="28"/>
      <c r="P35" s="28">
        <f t="shared" si="18"/>
        <v>0</v>
      </c>
      <c r="Q35" s="28"/>
      <c r="R35" s="28"/>
      <c r="S35" s="28">
        <f t="shared" si="19"/>
        <v>0</v>
      </c>
      <c r="T35" s="28">
        <f>2066+50311</f>
        <v>52377</v>
      </c>
      <c r="U35" s="28">
        <f>2066+50311</f>
        <v>52377</v>
      </c>
      <c r="V35" s="28">
        <f t="shared" si="20"/>
        <v>0</v>
      </c>
      <c r="W35" s="28">
        <f>50311-50311</f>
        <v>0</v>
      </c>
      <c r="X35" s="28">
        <f>50311-50311</f>
        <v>0</v>
      </c>
      <c r="Y35" s="28">
        <f t="shared" si="21"/>
        <v>0</v>
      </c>
      <c r="Z35" s="28">
        <f>50312-50312</f>
        <v>0</v>
      </c>
      <c r="AA35" s="28">
        <f>50312-50312</f>
        <v>0</v>
      </c>
      <c r="AB35" s="28">
        <f t="shared" si="22"/>
        <v>0</v>
      </c>
    </row>
    <row r="36" spans="1:187" s="6" customFormat="1" x14ac:dyDescent="0.25">
      <c r="A36" s="24" t="s">
        <v>42</v>
      </c>
      <c r="B36" s="25">
        <f t="shared" si="0"/>
        <v>2811237</v>
      </c>
      <c r="C36" s="25">
        <f t="shared" si="0"/>
        <v>2819077</v>
      </c>
      <c r="D36" s="25">
        <f t="shared" si="0"/>
        <v>7840</v>
      </c>
      <c r="E36" s="25">
        <f>SUM(E37)</f>
        <v>0</v>
      </c>
      <c r="F36" s="25">
        <f>SUM(F37)</f>
        <v>0</v>
      </c>
      <c r="G36" s="25">
        <f t="shared" si="1"/>
        <v>0</v>
      </c>
      <c r="H36" s="25">
        <f>SUM(H37)</f>
        <v>0</v>
      </c>
      <c r="I36" s="25">
        <f>SUM(I37)</f>
        <v>0</v>
      </c>
      <c r="J36" s="25">
        <f t="shared" si="16"/>
        <v>0</v>
      </c>
      <c r="K36" s="25">
        <f>SUM(K37)</f>
        <v>78314</v>
      </c>
      <c r="L36" s="25">
        <f>SUM(L37)</f>
        <v>86154</v>
      </c>
      <c r="M36" s="25">
        <f t="shared" si="17"/>
        <v>7840</v>
      </c>
      <c r="N36" s="25">
        <f>SUM(N37)</f>
        <v>0</v>
      </c>
      <c r="O36" s="25">
        <f>SUM(O37)</f>
        <v>0</v>
      </c>
      <c r="P36" s="25">
        <f t="shared" si="18"/>
        <v>0</v>
      </c>
      <c r="Q36" s="25">
        <f>SUM(Q37)</f>
        <v>436571</v>
      </c>
      <c r="R36" s="25">
        <f>SUM(R37)</f>
        <v>436571</v>
      </c>
      <c r="S36" s="25">
        <f t="shared" si="19"/>
        <v>0</v>
      </c>
      <c r="T36" s="25">
        <f>SUM(T37)</f>
        <v>17769</v>
      </c>
      <c r="U36" s="25">
        <f>SUM(U37)</f>
        <v>17769</v>
      </c>
      <c r="V36" s="25">
        <f t="shared" si="20"/>
        <v>0</v>
      </c>
      <c r="W36" s="25">
        <f>SUM(W37)</f>
        <v>904213</v>
      </c>
      <c r="X36" s="25">
        <f>SUM(X37)</f>
        <v>1418998</v>
      </c>
      <c r="Y36" s="25">
        <f t="shared" si="21"/>
        <v>514785</v>
      </c>
      <c r="Z36" s="25">
        <f>SUM(Z37)</f>
        <v>1374370</v>
      </c>
      <c r="AA36" s="25">
        <f>SUM(AA37)</f>
        <v>859585</v>
      </c>
      <c r="AB36" s="25">
        <f t="shared" si="22"/>
        <v>-514785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</row>
    <row r="37" spans="1:187" s="6" customFormat="1" x14ac:dyDescent="0.25">
      <c r="A37" s="24" t="s">
        <v>18</v>
      </c>
      <c r="B37" s="25">
        <f t="shared" si="0"/>
        <v>2811237</v>
      </c>
      <c r="C37" s="25">
        <f t="shared" si="0"/>
        <v>2819077</v>
      </c>
      <c r="D37" s="25">
        <f t="shared" si="0"/>
        <v>7840</v>
      </c>
      <c r="E37" s="25">
        <f>SUM(E38:E45)</f>
        <v>0</v>
      </c>
      <c r="F37" s="25">
        <f>SUM(F38:F45)</f>
        <v>0</v>
      </c>
      <c r="G37" s="25">
        <f t="shared" si="1"/>
        <v>0</v>
      </c>
      <c r="H37" s="25">
        <f>SUM(H38:H45)</f>
        <v>0</v>
      </c>
      <c r="I37" s="25">
        <f>SUM(I38:I45)</f>
        <v>0</v>
      </c>
      <c r="J37" s="25">
        <f t="shared" si="16"/>
        <v>0</v>
      </c>
      <c r="K37" s="25">
        <f>SUM(K38:K45)</f>
        <v>78314</v>
      </c>
      <c r="L37" s="25">
        <f>SUM(L38:L45)</f>
        <v>86154</v>
      </c>
      <c r="M37" s="25">
        <f t="shared" si="17"/>
        <v>7840</v>
      </c>
      <c r="N37" s="25">
        <f>SUM(N38:N45)</f>
        <v>0</v>
      </c>
      <c r="O37" s="25">
        <f>SUM(O38:O45)</f>
        <v>0</v>
      </c>
      <c r="P37" s="25">
        <f t="shared" si="18"/>
        <v>0</v>
      </c>
      <c r="Q37" s="25">
        <f>SUM(Q38:Q45)</f>
        <v>436571</v>
      </c>
      <c r="R37" s="25">
        <f>SUM(R38:R45)</f>
        <v>436571</v>
      </c>
      <c r="S37" s="25">
        <f t="shared" si="19"/>
        <v>0</v>
      </c>
      <c r="T37" s="25">
        <f>SUM(T38:T45)</f>
        <v>17769</v>
      </c>
      <c r="U37" s="25">
        <f>SUM(U38:U45)</f>
        <v>17769</v>
      </c>
      <c r="V37" s="25">
        <f t="shared" si="20"/>
        <v>0</v>
      </c>
      <c r="W37" s="25">
        <f>SUM(W38:W45)</f>
        <v>904213</v>
      </c>
      <c r="X37" s="25">
        <f>SUM(X38:X45)</f>
        <v>1418998</v>
      </c>
      <c r="Y37" s="25">
        <f t="shared" si="21"/>
        <v>514785</v>
      </c>
      <c r="Z37" s="25">
        <f>SUM(Z38:Z45)</f>
        <v>1374370</v>
      </c>
      <c r="AA37" s="25">
        <f>SUM(AA38:AA45)</f>
        <v>859585</v>
      </c>
      <c r="AB37" s="25">
        <f t="shared" si="22"/>
        <v>-514785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</row>
    <row r="38" spans="1:187" s="6" customFormat="1" ht="31.5" x14ac:dyDescent="0.25">
      <c r="A38" s="33" t="s">
        <v>43</v>
      </c>
      <c r="B38" s="31">
        <f t="shared" si="0"/>
        <v>1365800</v>
      </c>
      <c r="C38" s="31">
        <f t="shared" si="0"/>
        <v>1365800</v>
      </c>
      <c r="D38" s="31">
        <f t="shared" si="0"/>
        <v>0</v>
      </c>
      <c r="E38" s="31">
        <v>0</v>
      </c>
      <c r="F38" s="31">
        <v>0</v>
      </c>
      <c r="G38" s="31">
        <f t="shared" si="1"/>
        <v>0</v>
      </c>
      <c r="H38" s="31"/>
      <c r="I38" s="31"/>
      <c r="J38" s="31">
        <f t="shared" si="16"/>
        <v>0</v>
      </c>
      <c r="K38" s="31">
        <v>27828</v>
      </c>
      <c r="L38" s="31">
        <v>27828</v>
      </c>
      <c r="M38" s="31">
        <f t="shared" si="17"/>
        <v>0</v>
      </c>
      <c r="N38" s="31"/>
      <c r="O38" s="31"/>
      <c r="P38" s="31">
        <f t="shared" si="18"/>
        <v>0</v>
      </c>
      <c r="Q38" s="31"/>
      <c r="R38" s="31"/>
      <c r="S38" s="31">
        <f t="shared" si="19"/>
        <v>0</v>
      </c>
      <c r="T38" s="31"/>
      <c r="U38" s="31"/>
      <c r="V38" s="31">
        <f t="shared" si="20"/>
        <v>0</v>
      </c>
      <c r="W38" s="31">
        <f>299953+410701</f>
        <v>710654</v>
      </c>
      <c r="X38" s="31">
        <f>299953+410701+514785</f>
        <v>1225439</v>
      </c>
      <c r="Y38" s="31">
        <f t="shared" si="21"/>
        <v>514785</v>
      </c>
      <c r="Z38" s="31">
        <f>1365800-299953-410701-27828</f>
        <v>627318</v>
      </c>
      <c r="AA38" s="31">
        <f>1365800-299953-410701-27828-514785</f>
        <v>112533</v>
      </c>
      <c r="AB38" s="31">
        <f t="shared" si="22"/>
        <v>-514785</v>
      </c>
    </row>
    <row r="39" spans="1:187" s="6" customFormat="1" ht="31.5" x14ac:dyDescent="0.25">
      <c r="A39" s="33" t="s">
        <v>44</v>
      </c>
      <c r="B39" s="31">
        <f t="shared" si="0"/>
        <v>100000</v>
      </c>
      <c r="C39" s="31">
        <f t="shared" si="0"/>
        <v>100000</v>
      </c>
      <c r="D39" s="31">
        <f t="shared" si="0"/>
        <v>0</v>
      </c>
      <c r="E39" s="31">
        <v>0</v>
      </c>
      <c r="F39" s="31">
        <v>0</v>
      </c>
      <c r="G39" s="31">
        <f t="shared" si="1"/>
        <v>0</v>
      </c>
      <c r="H39" s="31"/>
      <c r="I39" s="31"/>
      <c r="J39" s="31">
        <f t="shared" si="16"/>
        <v>0</v>
      </c>
      <c r="K39" s="31">
        <v>0</v>
      </c>
      <c r="L39" s="31">
        <v>0</v>
      </c>
      <c r="M39" s="31">
        <f t="shared" si="17"/>
        <v>0</v>
      </c>
      <c r="N39" s="31"/>
      <c r="O39" s="31"/>
      <c r="P39" s="31">
        <f t="shared" si="18"/>
        <v>0</v>
      </c>
      <c r="Q39" s="31"/>
      <c r="R39" s="31"/>
      <c r="S39" s="31">
        <f t="shared" si="19"/>
        <v>0</v>
      </c>
      <c r="T39" s="31"/>
      <c r="U39" s="31"/>
      <c r="V39" s="31">
        <f t="shared" si="20"/>
        <v>0</v>
      </c>
      <c r="W39" s="31"/>
      <c r="X39" s="31"/>
      <c r="Y39" s="31">
        <f t="shared" si="21"/>
        <v>0</v>
      </c>
      <c r="Z39" s="31">
        <v>100000</v>
      </c>
      <c r="AA39" s="31">
        <v>100000</v>
      </c>
      <c r="AB39" s="31">
        <f t="shared" si="22"/>
        <v>0</v>
      </c>
    </row>
    <row r="40" spans="1:187" s="6" customFormat="1" ht="47.25" x14ac:dyDescent="0.25">
      <c r="A40" s="33" t="s">
        <v>45</v>
      </c>
      <c r="B40" s="31">
        <f t="shared" si="0"/>
        <v>99966</v>
      </c>
      <c r="C40" s="31">
        <f t="shared" si="0"/>
        <v>99966</v>
      </c>
      <c r="D40" s="31">
        <f t="shared" si="0"/>
        <v>0</v>
      </c>
      <c r="E40" s="31">
        <v>0</v>
      </c>
      <c r="F40" s="31">
        <v>0</v>
      </c>
      <c r="G40" s="31">
        <f t="shared" si="1"/>
        <v>0</v>
      </c>
      <c r="H40" s="31"/>
      <c r="I40" s="31"/>
      <c r="J40" s="31">
        <f t="shared" si="16"/>
        <v>0</v>
      </c>
      <c r="K40" s="31"/>
      <c r="L40" s="31"/>
      <c r="M40" s="31">
        <f t="shared" si="17"/>
        <v>0</v>
      </c>
      <c r="N40" s="31"/>
      <c r="O40" s="31"/>
      <c r="P40" s="31">
        <f t="shared" si="18"/>
        <v>0</v>
      </c>
      <c r="Q40" s="31">
        <v>0</v>
      </c>
      <c r="R40" s="31">
        <v>0</v>
      </c>
      <c r="S40" s="31">
        <f t="shared" si="19"/>
        <v>0</v>
      </c>
      <c r="T40" s="31"/>
      <c r="U40" s="31"/>
      <c r="V40" s="31">
        <f t="shared" si="20"/>
        <v>0</v>
      </c>
      <c r="W40" s="31">
        <v>99966</v>
      </c>
      <c r="X40" s="31">
        <v>99966</v>
      </c>
      <c r="Y40" s="31">
        <f t="shared" si="21"/>
        <v>0</v>
      </c>
      <c r="Z40" s="31"/>
      <c r="AA40" s="31"/>
      <c r="AB40" s="31">
        <f t="shared" si="22"/>
        <v>0</v>
      </c>
    </row>
    <row r="41" spans="1:187" s="6" customFormat="1" ht="47.25" x14ac:dyDescent="0.25">
      <c r="A41" s="33" t="s">
        <v>46</v>
      </c>
      <c r="B41" s="31">
        <f t="shared" si="0"/>
        <v>93593</v>
      </c>
      <c r="C41" s="31">
        <f t="shared" si="0"/>
        <v>93593</v>
      </c>
      <c r="D41" s="31">
        <f t="shared" si="0"/>
        <v>0</v>
      </c>
      <c r="E41" s="31">
        <v>0</v>
      </c>
      <c r="F41" s="31">
        <v>0</v>
      </c>
      <c r="G41" s="31">
        <f t="shared" si="1"/>
        <v>0</v>
      </c>
      <c r="H41" s="31"/>
      <c r="I41" s="31"/>
      <c r="J41" s="31">
        <f t="shared" si="16"/>
        <v>0</v>
      </c>
      <c r="K41" s="31"/>
      <c r="L41" s="31"/>
      <c r="M41" s="31">
        <f t="shared" si="17"/>
        <v>0</v>
      </c>
      <c r="N41" s="31"/>
      <c r="O41" s="31"/>
      <c r="P41" s="31">
        <f t="shared" si="18"/>
        <v>0</v>
      </c>
      <c r="Q41" s="31">
        <v>0</v>
      </c>
      <c r="R41" s="31">
        <v>0</v>
      </c>
      <c r="S41" s="31">
        <f t="shared" si="19"/>
        <v>0</v>
      </c>
      <c r="T41" s="31"/>
      <c r="U41" s="31"/>
      <c r="V41" s="31">
        <f t="shared" si="20"/>
        <v>0</v>
      </c>
      <c r="W41" s="31">
        <v>93593</v>
      </c>
      <c r="X41" s="31">
        <v>93593</v>
      </c>
      <c r="Y41" s="31">
        <f t="shared" si="21"/>
        <v>0</v>
      </c>
      <c r="Z41" s="31"/>
      <c r="AA41" s="31"/>
      <c r="AB41" s="31">
        <f t="shared" si="22"/>
        <v>0</v>
      </c>
    </row>
    <row r="42" spans="1:187" s="6" customFormat="1" ht="47.25" x14ac:dyDescent="0.25">
      <c r="A42" s="33" t="s">
        <v>47</v>
      </c>
      <c r="B42" s="31">
        <f t="shared" si="0"/>
        <v>962096</v>
      </c>
      <c r="C42" s="31">
        <f t="shared" si="0"/>
        <v>962096</v>
      </c>
      <c r="D42" s="31">
        <f t="shared" si="0"/>
        <v>0</v>
      </c>
      <c r="E42" s="31">
        <f>15233-15233</f>
        <v>0</v>
      </c>
      <c r="F42" s="31">
        <f>15233-15233</f>
        <v>0</v>
      </c>
      <c r="G42" s="31">
        <f t="shared" si="1"/>
        <v>0</v>
      </c>
      <c r="H42" s="31"/>
      <c r="I42" s="31"/>
      <c r="J42" s="31">
        <f t="shared" si="16"/>
        <v>0</v>
      </c>
      <c r="K42" s="31"/>
      <c r="L42" s="31"/>
      <c r="M42" s="31">
        <f t="shared" si="17"/>
        <v>0</v>
      </c>
      <c r="N42" s="31"/>
      <c r="O42" s="31"/>
      <c r="P42" s="31">
        <f t="shared" si="18"/>
        <v>0</v>
      </c>
      <c r="Q42" s="31">
        <v>297275</v>
      </c>
      <c r="R42" s="31">
        <v>297275</v>
      </c>
      <c r="S42" s="31">
        <f t="shared" si="19"/>
        <v>0</v>
      </c>
      <c r="T42" s="31">
        <f>15233+2534+2</f>
        <v>17769</v>
      </c>
      <c r="U42" s="31">
        <f>15233+2534+2</f>
        <v>17769</v>
      </c>
      <c r="V42" s="31">
        <f t="shared" si="20"/>
        <v>0</v>
      </c>
      <c r="W42" s="31"/>
      <c r="X42" s="31"/>
      <c r="Y42" s="31">
        <f t="shared" si="21"/>
        <v>0</v>
      </c>
      <c r="Z42" s="31">
        <v>647052</v>
      </c>
      <c r="AA42" s="31">
        <v>647052</v>
      </c>
      <c r="AB42" s="31">
        <f t="shared" si="22"/>
        <v>0</v>
      </c>
    </row>
    <row r="43" spans="1:187" s="6" customFormat="1" ht="31.5" x14ac:dyDescent="0.25">
      <c r="A43" s="33" t="s">
        <v>48</v>
      </c>
      <c r="B43" s="31">
        <f t="shared" si="0"/>
        <v>7700</v>
      </c>
      <c r="C43" s="31">
        <f t="shared" si="0"/>
        <v>15540</v>
      </c>
      <c r="D43" s="31">
        <f t="shared" si="0"/>
        <v>7840</v>
      </c>
      <c r="E43" s="31">
        <v>0</v>
      </c>
      <c r="F43" s="31">
        <v>0</v>
      </c>
      <c r="G43" s="31">
        <f t="shared" si="1"/>
        <v>0</v>
      </c>
      <c r="H43" s="31"/>
      <c r="I43" s="31"/>
      <c r="J43" s="31">
        <f t="shared" si="16"/>
        <v>0</v>
      </c>
      <c r="K43" s="31">
        <v>7700</v>
      </c>
      <c r="L43" s="31">
        <f>7700+7840</f>
        <v>15540</v>
      </c>
      <c r="M43" s="31">
        <f t="shared" si="17"/>
        <v>7840</v>
      </c>
      <c r="N43" s="31"/>
      <c r="O43" s="31"/>
      <c r="P43" s="31">
        <f t="shared" si="18"/>
        <v>0</v>
      </c>
      <c r="Q43" s="31">
        <v>0</v>
      </c>
      <c r="R43" s="31">
        <v>0</v>
      </c>
      <c r="S43" s="31">
        <f t="shared" si="19"/>
        <v>0</v>
      </c>
      <c r="T43" s="31"/>
      <c r="U43" s="31"/>
      <c r="V43" s="31">
        <f t="shared" si="20"/>
        <v>0</v>
      </c>
      <c r="W43" s="31"/>
      <c r="X43" s="31"/>
      <c r="Y43" s="31">
        <f t="shared" si="21"/>
        <v>0</v>
      </c>
      <c r="Z43" s="31"/>
      <c r="AA43" s="31"/>
      <c r="AB43" s="31">
        <f t="shared" si="22"/>
        <v>0</v>
      </c>
    </row>
    <row r="44" spans="1:187" s="6" customFormat="1" ht="31.5" x14ac:dyDescent="0.25">
      <c r="A44" s="33" t="s">
        <v>49</v>
      </c>
      <c r="B44" s="31">
        <f t="shared" si="0"/>
        <v>42786</v>
      </c>
      <c r="C44" s="31">
        <f t="shared" si="0"/>
        <v>42786</v>
      </c>
      <c r="D44" s="31">
        <f t="shared" si="0"/>
        <v>0</v>
      </c>
      <c r="E44" s="31">
        <v>0</v>
      </c>
      <c r="F44" s="31">
        <v>0</v>
      </c>
      <c r="G44" s="31">
        <f t="shared" si="1"/>
        <v>0</v>
      </c>
      <c r="H44" s="31"/>
      <c r="I44" s="31"/>
      <c r="J44" s="31">
        <f t="shared" si="16"/>
        <v>0</v>
      </c>
      <c r="K44" s="31">
        <v>42786</v>
      </c>
      <c r="L44" s="31">
        <v>42786</v>
      </c>
      <c r="M44" s="31">
        <f t="shared" si="17"/>
        <v>0</v>
      </c>
      <c r="N44" s="31"/>
      <c r="O44" s="31"/>
      <c r="P44" s="31">
        <f t="shared" si="18"/>
        <v>0</v>
      </c>
      <c r="Q44" s="31"/>
      <c r="R44" s="31"/>
      <c r="S44" s="31">
        <f t="shared" si="19"/>
        <v>0</v>
      </c>
      <c r="T44" s="31"/>
      <c r="U44" s="31"/>
      <c r="V44" s="31">
        <f t="shared" si="20"/>
        <v>0</v>
      </c>
      <c r="W44" s="31"/>
      <c r="X44" s="31"/>
      <c r="Y44" s="31">
        <f t="shared" si="21"/>
        <v>0</v>
      </c>
      <c r="Z44" s="31"/>
      <c r="AA44" s="31"/>
      <c r="AB44" s="31">
        <f t="shared" si="22"/>
        <v>0</v>
      </c>
    </row>
    <row r="45" spans="1:187" s="6" customFormat="1" ht="31.5" x14ac:dyDescent="0.25">
      <c r="A45" s="33" t="s">
        <v>50</v>
      </c>
      <c r="B45" s="31">
        <f t="shared" si="0"/>
        <v>139296</v>
      </c>
      <c r="C45" s="31">
        <f t="shared" si="0"/>
        <v>139296</v>
      </c>
      <c r="D45" s="31">
        <f t="shared" si="0"/>
        <v>0</v>
      </c>
      <c r="E45" s="31">
        <v>0</v>
      </c>
      <c r="F45" s="31">
        <v>0</v>
      </c>
      <c r="G45" s="31">
        <f t="shared" si="1"/>
        <v>0</v>
      </c>
      <c r="H45" s="31"/>
      <c r="I45" s="31"/>
      <c r="J45" s="31">
        <f t="shared" si="16"/>
        <v>0</v>
      </c>
      <c r="K45" s="31">
        <v>0</v>
      </c>
      <c r="L45" s="31">
        <v>0</v>
      </c>
      <c r="M45" s="31">
        <f t="shared" si="17"/>
        <v>0</v>
      </c>
      <c r="N45" s="31"/>
      <c r="O45" s="31"/>
      <c r="P45" s="31">
        <f t="shared" si="18"/>
        <v>0</v>
      </c>
      <c r="Q45" s="31">
        <v>139296</v>
      </c>
      <c r="R45" s="31">
        <v>139296</v>
      </c>
      <c r="S45" s="31">
        <f t="shared" si="19"/>
        <v>0</v>
      </c>
      <c r="T45" s="31"/>
      <c r="U45" s="31"/>
      <c r="V45" s="31">
        <f t="shared" si="20"/>
        <v>0</v>
      </c>
      <c r="W45" s="31"/>
      <c r="X45" s="31"/>
      <c r="Y45" s="31">
        <f t="shared" si="21"/>
        <v>0</v>
      </c>
      <c r="Z45" s="31"/>
      <c r="AA45" s="31"/>
      <c r="AB45" s="31">
        <f t="shared" si="22"/>
        <v>0</v>
      </c>
    </row>
    <row r="46" spans="1:187" s="6" customFormat="1" x14ac:dyDescent="0.25">
      <c r="A46" s="24" t="s">
        <v>51</v>
      </c>
      <c r="B46" s="25">
        <f t="shared" si="0"/>
        <v>605422</v>
      </c>
      <c r="C46" s="25">
        <f t="shared" si="0"/>
        <v>605422</v>
      </c>
      <c r="D46" s="25">
        <f t="shared" si="0"/>
        <v>0</v>
      </c>
      <c r="E46" s="25">
        <f>SUM(E47)</f>
        <v>0</v>
      </c>
      <c r="F46" s="25">
        <f>SUM(F47)</f>
        <v>0</v>
      </c>
      <c r="G46" s="25">
        <f t="shared" si="1"/>
        <v>0</v>
      </c>
      <c r="H46" s="25">
        <f>SUM(H47)</f>
        <v>0</v>
      </c>
      <c r="I46" s="25">
        <f>SUM(I47)</f>
        <v>0</v>
      </c>
      <c r="J46" s="25">
        <f t="shared" si="16"/>
        <v>0</v>
      </c>
      <c r="K46" s="25">
        <f>SUM(K47)</f>
        <v>0</v>
      </c>
      <c r="L46" s="25">
        <f>SUM(L47)</f>
        <v>122422</v>
      </c>
      <c r="M46" s="25">
        <f t="shared" si="17"/>
        <v>122422</v>
      </c>
      <c r="N46" s="25">
        <f>SUM(N47)</f>
        <v>0</v>
      </c>
      <c r="O46" s="25">
        <f>SUM(O47)</f>
        <v>0</v>
      </c>
      <c r="P46" s="25">
        <f t="shared" si="18"/>
        <v>0</v>
      </c>
      <c r="Q46" s="25">
        <f>SUM(Q47)</f>
        <v>426323</v>
      </c>
      <c r="R46" s="25">
        <f>SUM(R47)</f>
        <v>265000</v>
      </c>
      <c r="S46" s="25">
        <f t="shared" si="19"/>
        <v>-161323</v>
      </c>
      <c r="T46" s="25">
        <f>SUM(T47)</f>
        <v>0</v>
      </c>
      <c r="U46" s="25">
        <f>SUM(U47)</f>
        <v>0</v>
      </c>
      <c r="V46" s="25">
        <f t="shared" si="20"/>
        <v>0</v>
      </c>
      <c r="W46" s="25">
        <f>SUM(W47)</f>
        <v>0</v>
      </c>
      <c r="X46" s="25">
        <f>SUM(X47)</f>
        <v>0</v>
      </c>
      <c r="Y46" s="25">
        <f t="shared" si="21"/>
        <v>0</v>
      </c>
      <c r="Z46" s="25">
        <f>SUM(Z47)</f>
        <v>179099</v>
      </c>
      <c r="AA46" s="25">
        <f>SUM(AA47)</f>
        <v>218000</v>
      </c>
      <c r="AB46" s="25">
        <f t="shared" si="22"/>
        <v>38901</v>
      </c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</row>
    <row r="47" spans="1:187" s="23" customFormat="1" x14ac:dyDescent="0.25">
      <c r="A47" s="24" t="s">
        <v>18</v>
      </c>
      <c r="B47" s="25">
        <f t="shared" si="0"/>
        <v>605422</v>
      </c>
      <c r="C47" s="25">
        <f t="shared" si="0"/>
        <v>605422</v>
      </c>
      <c r="D47" s="25">
        <f t="shared" si="0"/>
        <v>0</v>
      </c>
      <c r="E47" s="25">
        <f>SUM(E48:E50)</f>
        <v>0</v>
      </c>
      <c r="F47" s="25">
        <f>SUM(F48:F50)</f>
        <v>0</v>
      </c>
      <c r="G47" s="25">
        <f t="shared" si="1"/>
        <v>0</v>
      </c>
      <c r="H47" s="25">
        <f>SUM(H48:H50)</f>
        <v>0</v>
      </c>
      <c r="I47" s="25">
        <f>SUM(I48:I50)</f>
        <v>0</v>
      </c>
      <c r="J47" s="25">
        <f t="shared" si="16"/>
        <v>0</v>
      </c>
      <c r="K47" s="25">
        <f>SUM(K48:K50)</f>
        <v>0</v>
      </c>
      <c r="L47" s="25">
        <f>SUM(L48:L50)</f>
        <v>122422</v>
      </c>
      <c r="M47" s="25">
        <f t="shared" si="17"/>
        <v>122422</v>
      </c>
      <c r="N47" s="25">
        <f>SUM(N48:N50)</f>
        <v>0</v>
      </c>
      <c r="O47" s="25">
        <f>SUM(O48:O50)</f>
        <v>0</v>
      </c>
      <c r="P47" s="25">
        <f t="shared" si="18"/>
        <v>0</v>
      </c>
      <c r="Q47" s="25">
        <f>SUM(Q48:Q50)</f>
        <v>426323</v>
      </c>
      <c r="R47" s="25">
        <f>SUM(R48:R50)</f>
        <v>265000</v>
      </c>
      <c r="S47" s="25">
        <f t="shared" si="19"/>
        <v>-161323</v>
      </c>
      <c r="T47" s="25">
        <f>SUM(T48:T50)</f>
        <v>0</v>
      </c>
      <c r="U47" s="25">
        <f>SUM(U48:U50)</f>
        <v>0</v>
      </c>
      <c r="V47" s="25">
        <f t="shared" si="20"/>
        <v>0</v>
      </c>
      <c r="W47" s="25">
        <f>SUM(W48:W50)</f>
        <v>0</v>
      </c>
      <c r="X47" s="25">
        <f>SUM(X48:X50)</f>
        <v>0</v>
      </c>
      <c r="Y47" s="25">
        <f t="shared" si="21"/>
        <v>0</v>
      </c>
      <c r="Z47" s="25">
        <f>SUM(Z48:Z50)</f>
        <v>179099</v>
      </c>
      <c r="AA47" s="25">
        <f>SUM(AA48:AA50)</f>
        <v>218000</v>
      </c>
      <c r="AB47" s="25">
        <f t="shared" si="22"/>
        <v>38901</v>
      </c>
    </row>
    <row r="48" spans="1:187" s="6" customFormat="1" x14ac:dyDescent="0.25">
      <c r="A48" s="30" t="s">
        <v>52</v>
      </c>
      <c r="B48" s="31">
        <f t="shared" si="0"/>
        <v>350000</v>
      </c>
      <c r="C48" s="31">
        <f t="shared" si="0"/>
        <v>350000</v>
      </c>
      <c r="D48" s="31">
        <f t="shared" si="0"/>
        <v>0</v>
      </c>
      <c r="E48" s="31">
        <v>0</v>
      </c>
      <c r="F48" s="31">
        <v>0</v>
      </c>
      <c r="G48" s="31">
        <f t="shared" si="1"/>
        <v>0</v>
      </c>
      <c r="H48" s="31"/>
      <c r="I48" s="31"/>
      <c r="J48" s="31">
        <f t="shared" si="16"/>
        <v>0</v>
      </c>
      <c r="K48" s="31"/>
      <c r="L48" s="31"/>
      <c r="M48" s="31">
        <f t="shared" si="17"/>
        <v>0</v>
      </c>
      <c r="N48" s="31"/>
      <c r="O48" s="31"/>
      <c r="P48" s="31">
        <f t="shared" si="18"/>
        <v>0</v>
      </c>
      <c r="Q48" s="31">
        <f>170901</f>
        <v>170901</v>
      </c>
      <c r="R48" s="31">
        <f>170901-38901</f>
        <v>132000</v>
      </c>
      <c r="S48" s="31">
        <f t="shared" si="19"/>
        <v>-38901</v>
      </c>
      <c r="T48" s="31"/>
      <c r="U48" s="31"/>
      <c r="V48" s="31">
        <f t="shared" si="20"/>
        <v>0</v>
      </c>
      <c r="W48" s="31"/>
      <c r="X48" s="31"/>
      <c r="Y48" s="31">
        <f t="shared" si="21"/>
        <v>0</v>
      </c>
      <c r="Z48" s="31">
        <v>179099</v>
      </c>
      <c r="AA48" s="31">
        <f>179099+38901</f>
        <v>218000</v>
      </c>
      <c r="AB48" s="31">
        <f t="shared" si="22"/>
        <v>38901</v>
      </c>
    </row>
    <row r="49" spans="1:187" s="6" customFormat="1" ht="31.5" x14ac:dyDescent="0.25">
      <c r="A49" s="30" t="s">
        <v>53</v>
      </c>
      <c r="B49" s="31">
        <f t="shared" si="0"/>
        <v>133000</v>
      </c>
      <c r="C49" s="31">
        <f t="shared" si="0"/>
        <v>133000</v>
      </c>
      <c r="D49" s="31">
        <f t="shared" si="0"/>
        <v>0</v>
      </c>
      <c r="E49" s="31"/>
      <c r="F49" s="31"/>
      <c r="G49" s="31">
        <f t="shared" si="1"/>
        <v>0</v>
      </c>
      <c r="H49" s="31"/>
      <c r="I49" s="31"/>
      <c r="J49" s="31">
        <f t="shared" si="16"/>
        <v>0</v>
      </c>
      <c r="K49" s="31"/>
      <c r="L49" s="31"/>
      <c r="M49" s="31">
        <f t="shared" si="17"/>
        <v>0</v>
      </c>
      <c r="N49" s="31"/>
      <c r="O49" s="31"/>
      <c r="P49" s="31">
        <f t="shared" si="18"/>
        <v>0</v>
      </c>
      <c r="Q49" s="31">
        <v>133000</v>
      </c>
      <c r="R49" s="31">
        <v>133000</v>
      </c>
      <c r="S49" s="31">
        <f t="shared" si="19"/>
        <v>0</v>
      </c>
      <c r="T49" s="31"/>
      <c r="U49" s="31"/>
      <c r="V49" s="31">
        <f t="shared" si="20"/>
        <v>0</v>
      </c>
      <c r="W49" s="31"/>
      <c r="X49" s="31"/>
      <c r="Y49" s="31">
        <f t="shared" si="21"/>
        <v>0</v>
      </c>
      <c r="Z49" s="31"/>
      <c r="AA49" s="31"/>
      <c r="AB49" s="31">
        <f t="shared" si="22"/>
        <v>0</v>
      </c>
    </row>
    <row r="50" spans="1:187" s="6" customFormat="1" ht="31.5" x14ac:dyDescent="0.25">
      <c r="A50" s="30" t="s">
        <v>54</v>
      </c>
      <c r="B50" s="31">
        <f t="shared" si="0"/>
        <v>122422</v>
      </c>
      <c r="C50" s="31">
        <f t="shared" si="0"/>
        <v>122422</v>
      </c>
      <c r="D50" s="31">
        <f t="shared" si="0"/>
        <v>0</v>
      </c>
      <c r="E50" s="31">
        <v>0</v>
      </c>
      <c r="F50" s="31">
        <v>0</v>
      </c>
      <c r="G50" s="31">
        <f t="shared" si="1"/>
        <v>0</v>
      </c>
      <c r="H50" s="31"/>
      <c r="I50" s="31"/>
      <c r="J50" s="31">
        <f t="shared" si="16"/>
        <v>0</v>
      </c>
      <c r="K50" s="31"/>
      <c r="L50" s="31">
        <v>122422</v>
      </c>
      <c r="M50" s="31">
        <f t="shared" si="17"/>
        <v>122422</v>
      </c>
      <c r="N50" s="31"/>
      <c r="O50" s="31"/>
      <c r="P50" s="31">
        <f t="shared" si="18"/>
        <v>0</v>
      </c>
      <c r="Q50" s="31">
        <v>122422</v>
      </c>
      <c r="R50" s="31">
        <f>122422-122422</f>
        <v>0</v>
      </c>
      <c r="S50" s="31">
        <f t="shared" si="19"/>
        <v>-122422</v>
      </c>
      <c r="T50" s="31"/>
      <c r="U50" s="31"/>
      <c r="V50" s="31">
        <f t="shared" si="20"/>
        <v>0</v>
      </c>
      <c r="W50" s="31"/>
      <c r="X50" s="31"/>
      <c r="Y50" s="31">
        <f t="shared" si="21"/>
        <v>0</v>
      </c>
      <c r="Z50" s="31"/>
      <c r="AA50" s="31"/>
      <c r="AB50" s="31">
        <f t="shared" si="22"/>
        <v>0</v>
      </c>
    </row>
    <row r="51" spans="1:187" s="6" customFormat="1" ht="31.5" x14ac:dyDescent="0.25">
      <c r="A51" s="24" t="s">
        <v>55</v>
      </c>
      <c r="B51" s="25">
        <f t="shared" si="0"/>
        <v>1291670</v>
      </c>
      <c r="C51" s="25">
        <f t="shared" si="0"/>
        <v>1288731</v>
      </c>
      <c r="D51" s="25">
        <f t="shared" si="0"/>
        <v>-2939</v>
      </c>
      <c r="E51" s="25">
        <f>SUM(E52)</f>
        <v>0</v>
      </c>
      <c r="F51" s="25">
        <f>SUM(F52)</f>
        <v>0</v>
      </c>
      <c r="G51" s="25">
        <f t="shared" si="1"/>
        <v>0</v>
      </c>
      <c r="H51" s="25">
        <f>SUM(H52)</f>
        <v>0</v>
      </c>
      <c r="I51" s="25">
        <f>SUM(I52)</f>
        <v>0</v>
      </c>
      <c r="J51" s="25">
        <f t="shared" si="16"/>
        <v>0</v>
      </c>
      <c r="K51" s="25">
        <f>SUM(K52)</f>
        <v>38005</v>
      </c>
      <c r="L51" s="25">
        <f>SUM(L52)</f>
        <v>216722</v>
      </c>
      <c r="M51" s="25">
        <f t="shared" si="17"/>
        <v>178717</v>
      </c>
      <c r="N51" s="25">
        <f>SUM(N52)</f>
        <v>1063405</v>
      </c>
      <c r="O51" s="25">
        <f>SUM(O52)</f>
        <v>903405</v>
      </c>
      <c r="P51" s="25">
        <f t="shared" si="18"/>
        <v>-160000</v>
      </c>
      <c r="Q51" s="25">
        <f>SUM(Q52)</f>
        <v>190260</v>
      </c>
      <c r="R51" s="25">
        <f>SUM(R52)</f>
        <v>8604</v>
      </c>
      <c r="S51" s="25">
        <f t="shared" si="19"/>
        <v>-181656</v>
      </c>
      <c r="T51" s="25">
        <f>SUM(T52)</f>
        <v>0</v>
      </c>
      <c r="U51" s="25">
        <f>SUM(U52)</f>
        <v>0</v>
      </c>
      <c r="V51" s="25">
        <f t="shared" si="20"/>
        <v>0</v>
      </c>
      <c r="W51" s="25">
        <f>SUM(W52)</f>
        <v>0</v>
      </c>
      <c r="X51" s="25">
        <f>SUM(X52)</f>
        <v>0</v>
      </c>
      <c r="Y51" s="25">
        <f t="shared" si="21"/>
        <v>0</v>
      </c>
      <c r="Z51" s="25">
        <f>SUM(Z52)</f>
        <v>0</v>
      </c>
      <c r="AA51" s="25">
        <f>SUM(AA52)</f>
        <v>160000</v>
      </c>
      <c r="AB51" s="25">
        <f t="shared" si="22"/>
        <v>160000</v>
      </c>
    </row>
    <row r="52" spans="1:187" s="6" customFormat="1" x14ac:dyDescent="0.25">
      <c r="A52" s="24" t="s">
        <v>18</v>
      </c>
      <c r="B52" s="25">
        <f t="shared" si="0"/>
        <v>1291670</v>
      </c>
      <c r="C52" s="25">
        <f t="shared" si="0"/>
        <v>1288731</v>
      </c>
      <c r="D52" s="25">
        <f t="shared" si="0"/>
        <v>-2939</v>
      </c>
      <c r="E52" s="25">
        <f>SUM(E53:E58)</f>
        <v>0</v>
      </c>
      <c r="F52" s="25">
        <f>SUM(F53:F58)</f>
        <v>0</v>
      </c>
      <c r="G52" s="25">
        <f t="shared" si="1"/>
        <v>0</v>
      </c>
      <c r="H52" s="25">
        <f>SUM(H53:H58)</f>
        <v>0</v>
      </c>
      <c r="I52" s="25">
        <f>SUM(I53:I58)</f>
        <v>0</v>
      </c>
      <c r="J52" s="25">
        <f t="shared" si="16"/>
        <v>0</v>
      </c>
      <c r="K52" s="25">
        <f>SUM(K53:K58)</f>
        <v>38005</v>
      </c>
      <c r="L52" s="25">
        <f>SUM(L53:L58)</f>
        <v>216722</v>
      </c>
      <c r="M52" s="25">
        <f t="shared" si="17"/>
        <v>178717</v>
      </c>
      <c r="N52" s="25">
        <f>SUM(N53:N58)</f>
        <v>1063405</v>
      </c>
      <c r="O52" s="25">
        <f>SUM(O53:O58)</f>
        <v>903405</v>
      </c>
      <c r="P52" s="25">
        <f t="shared" si="18"/>
        <v>-160000</v>
      </c>
      <c r="Q52" s="25">
        <f>SUM(Q53:Q58)</f>
        <v>190260</v>
      </c>
      <c r="R52" s="25">
        <f>SUM(R53:R58)</f>
        <v>8604</v>
      </c>
      <c r="S52" s="25">
        <f t="shared" si="19"/>
        <v>-181656</v>
      </c>
      <c r="T52" s="25">
        <f>SUM(T53:T58)</f>
        <v>0</v>
      </c>
      <c r="U52" s="25">
        <f>SUM(U53:U58)</f>
        <v>0</v>
      </c>
      <c r="V52" s="25">
        <f t="shared" si="20"/>
        <v>0</v>
      </c>
      <c r="W52" s="25">
        <f>SUM(W53:W58)</f>
        <v>0</v>
      </c>
      <c r="X52" s="25">
        <f>SUM(X53:X58)</f>
        <v>0</v>
      </c>
      <c r="Y52" s="25">
        <f t="shared" si="21"/>
        <v>0</v>
      </c>
      <c r="Z52" s="25">
        <f>SUM(Z53:Z58)</f>
        <v>0</v>
      </c>
      <c r="AA52" s="25">
        <f>SUM(AA53:AA58)</f>
        <v>160000</v>
      </c>
      <c r="AB52" s="25">
        <f t="shared" si="22"/>
        <v>160000</v>
      </c>
    </row>
    <row r="53" spans="1:187" s="23" customFormat="1" ht="110.25" x14ac:dyDescent="0.25">
      <c r="A53" s="32" t="s">
        <v>56</v>
      </c>
      <c r="B53" s="34">
        <f t="shared" si="0"/>
        <v>408069</v>
      </c>
      <c r="C53" s="34">
        <f t="shared" si="0"/>
        <v>408069</v>
      </c>
      <c r="D53" s="34">
        <f t="shared" si="0"/>
        <v>0</v>
      </c>
      <c r="E53" s="34">
        <v>0</v>
      </c>
      <c r="F53" s="34">
        <v>0</v>
      </c>
      <c r="G53" s="34">
        <f t="shared" si="1"/>
        <v>0</v>
      </c>
      <c r="H53" s="34"/>
      <c r="I53" s="34"/>
      <c r="J53" s="34">
        <f t="shared" si="16"/>
        <v>0</v>
      </c>
      <c r="K53" s="34">
        <v>0</v>
      </c>
      <c r="L53" s="34">
        <v>0</v>
      </c>
      <c r="M53" s="34">
        <f t="shared" si="17"/>
        <v>0</v>
      </c>
      <c r="N53" s="34">
        <v>399465</v>
      </c>
      <c r="O53" s="34">
        <v>399465</v>
      </c>
      <c r="P53" s="34">
        <f t="shared" si="18"/>
        <v>0</v>
      </c>
      <c r="Q53" s="34">
        <v>8604</v>
      </c>
      <c r="R53" s="34">
        <v>8604</v>
      </c>
      <c r="S53" s="34">
        <f t="shared" si="19"/>
        <v>0</v>
      </c>
      <c r="T53" s="34"/>
      <c r="U53" s="34"/>
      <c r="V53" s="34">
        <f t="shared" si="20"/>
        <v>0</v>
      </c>
      <c r="W53" s="34"/>
      <c r="X53" s="34"/>
      <c r="Y53" s="34">
        <f t="shared" si="21"/>
        <v>0</v>
      </c>
      <c r="Z53" s="34"/>
      <c r="AA53" s="34"/>
      <c r="AB53" s="34">
        <f t="shared" si="22"/>
        <v>0</v>
      </c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</row>
    <row r="54" spans="1:187" s="6" customFormat="1" ht="63" x14ac:dyDescent="0.25">
      <c r="A54" s="32" t="s">
        <v>57</v>
      </c>
      <c r="B54" s="28">
        <f t="shared" si="0"/>
        <v>106380</v>
      </c>
      <c r="C54" s="28">
        <f t="shared" si="0"/>
        <v>106380</v>
      </c>
      <c r="D54" s="28">
        <f t="shared" si="0"/>
        <v>0</v>
      </c>
      <c r="E54" s="28">
        <v>0</v>
      </c>
      <c r="F54" s="28">
        <v>0</v>
      </c>
      <c r="G54" s="28">
        <f t="shared" si="1"/>
        <v>0</v>
      </c>
      <c r="H54" s="28"/>
      <c r="I54" s="28"/>
      <c r="J54" s="28">
        <f t="shared" si="16"/>
        <v>0</v>
      </c>
      <c r="K54" s="28">
        <v>0</v>
      </c>
      <c r="L54" s="28">
        <v>0</v>
      </c>
      <c r="M54" s="28">
        <f t="shared" si="17"/>
        <v>0</v>
      </c>
      <c r="N54" s="28">
        <v>106380</v>
      </c>
      <c r="O54" s="28">
        <v>106380</v>
      </c>
      <c r="P54" s="28">
        <f t="shared" si="18"/>
        <v>0</v>
      </c>
      <c r="Q54" s="28"/>
      <c r="R54" s="28"/>
      <c r="S54" s="28">
        <f t="shared" si="19"/>
        <v>0</v>
      </c>
      <c r="T54" s="28"/>
      <c r="U54" s="28"/>
      <c r="V54" s="28">
        <f t="shared" si="20"/>
        <v>0</v>
      </c>
      <c r="W54" s="28"/>
      <c r="X54" s="28"/>
      <c r="Y54" s="28">
        <f t="shared" si="21"/>
        <v>0</v>
      </c>
      <c r="Z54" s="28"/>
      <c r="AA54" s="28"/>
      <c r="AB54" s="28">
        <f t="shared" si="22"/>
        <v>0</v>
      </c>
    </row>
    <row r="55" spans="1:187" s="6" customFormat="1" ht="41.25" customHeight="1" x14ac:dyDescent="0.25">
      <c r="A55" s="32" t="s">
        <v>58</v>
      </c>
      <c r="B55" s="28">
        <f t="shared" si="0"/>
        <v>2939</v>
      </c>
      <c r="C55" s="28">
        <f t="shared" si="0"/>
        <v>0</v>
      </c>
      <c r="D55" s="28">
        <f t="shared" si="0"/>
        <v>-2939</v>
      </c>
      <c r="E55" s="28">
        <v>0</v>
      </c>
      <c r="F55" s="28">
        <v>0</v>
      </c>
      <c r="G55" s="28">
        <f t="shared" si="1"/>
        <v>0</v>
      </c>
      <c r="H55" s="28"/>
      <c r="I55" s="28"/>
      <c r="J55" s="28">
        <f t="shared" si="16"/>
        <v>0</v>
      </c>
      <c r="K55" s="28">
        <v>2939</v>
      </c>
      <c r="L55" s="28">
        <f>2939-2939</f>
        <v>0</v>
      </c>
      <c r="M55" s="28">
        <f t="shared" si="17"/>
        <v>-2939</v>
      </c>
      <c r="N55" s="28"/>
      <c r="O55" s="28"/>
      <c r="P55" s="28">
        <f t="shared" si="18"/>
        <v>0</v>
      </c>
      <c r="Q55" s="28"/>
      <c r="R55" s="28"/>
      <c r="S55" s="28">
        <f t="shared" si="19"/>
        <v>0</v>
      </c>
      <c r="T55" s="28"/>
      <c r="U55" s="28"/>
      <c r="V55" s="28">
        <f t="shared" si="20"/>
        <v>0</v>
      </c>
      <c r="W55" s="28"/>
      <c r="X55" s="28"/>
      <c r="Y55" s="28">
        <f t="shared" si="21"/>
        <v>0</v>
      </c>
      <c r="Z55" s="28"/>
      <c r="AA55" s="28"/>
      <c r="AB55" s="28">
        <f t="shared" si="22"/>
        <v>0</v>
      </c>
    </row>
    <row r="56" spans="1:187" s="6" customFormat="1" ht="63" x14ac:dyDescent="0.25">
      <c r="A56" s="27" t="s">
        <v>59</v>
      </c>
      <c r="B56" s="28">
        <f t="shared" si="0"/>
        <v>12886</v>
      </c>
      <c r="C56" s="28">
        <f t="shared" si="0"/>
        <v>12886</v>
      </c>
      <c r="D56" s="28">
        <f t="shared" si="0"/>
        <v>0</v>
      </c>
      <c r="E56" s="28">
        <v>0</v>
      </c>
      <c r="F56" s="28">
        <v>0</v>
      </c>
      <c r="G56" s="28">
        <f t="shared" si="1"/>
        <v>0</v>
      </c>
      <c r="H56" s="28">
        <v>0</v>
      </c>
      <c r="I56" s="28">
        <v>0</v>
      </c>
      <c r="J56" s="28">
        <f t="shared" si="16"/>
        <v>0</v>
      </c>
      <c r="K56" s="28">
        <v>12886</v>
      </c>
      <c r="L56" s="28">
        <v>12886</v>
      </c>
      <c r="M56" s="28">
        <f t="shared" si="17"/>
        <v>0</v>
      </c>
      <c r="N56" s="28"/>
      <c r="O56" s="28"/>
      <c r="P56" s="28">
        <f t="shared" si="18"/>
        <v>0</v>
      </c>
      <c r="Q56" s="28"/>
      <c r="R56" s="28"/>
      <c r="S56" s="28">
        <f t="shared" si="19"/>
        <v>0</v>
      </c>
      <c r="T56" s="28"/>
      <c r="U56" s="28"/>
      <c r="V56" s="28">
        <f t="shared" si="20"/>
        <v>0</v>
      </c>
      <c r="W56" s="28"/>
      <c r="X56" s="28"/>
      <c r="Y56" s="28">
        <f t="shared" si="21"/>
        <v>0</v>
      </c>
      <c r="Z56" s="28"/>
      <c r="AA56" s="28"/>
      <c r="AB56" s="28">
        <f t="shared" si="22"/>
        <v>0</v>
      </c>
    </row>
    <row r="57" spans="1:187" s="6" customFormat="1" ht="31.5" x14ac:dyDescent="0.25">
      <c r="A57" s="27" t="s">
        <v>60</v>
      </c>
      <c r="B57" s="28">
        <f t="shared" si="0"/>
        <v>181656</v>
      </c>
      <c r="C57" s="28">
        <f t="shared" si="0"/>
        <v>181656</v>
      </c>
      <c r="D57" s="28">
        <f t="shared" si="0"/>
        <v>0</v>
      </c>
      <c r="E57" s="28">
        <v>0</v>
      </c>
      <c r="F57" s="28">
        <v>0</v>
      </c>
      <c r="G57" s="28">
        <f t="shared" si="1"/>
        <v>0</v>
      </c>
      <c r="H57" s="28"/>
      <c r="I57" s="28"/>
      <c r="J57" s="28">
        <f t="shared" si="16"/>
        <v>0</v>
      </c>
      <c r="K57" s="28">
        <v>0</v>
      </c>
      <c r="L57" s="28">
        <f>181656</f>
        <v>181656</v>
      </c>
      <c r="M57" s="28">
        <f t="shared" si="17"/>
        <v>181656</v>
      </c>
      <c r="N57" s="28"/>
      <c r="O57" s="28"/>
      <c r="P57" s="28">
        <f t="shared" si="18"/>
        <v>0</v>
      </c>
      <c r="Q57" s="28">
        <v>181656</v>
      </c>
      <c r="R57" s="28">
        <f>181656-181656</f>
        <v>0</v>
      </c>
      <c r="S57" s="28">
        <f t="shared" si="19"/>
        <v>-181656</v>
      </c>
      <c r="T57" s="28"/>
      <c r="U57" s="28"/>
      <c r="V57" s="28">
        <f t="shared" si="20"/>
        <v>0</v>
      </c>
      <c r="W57" s="28"/>
      <c r="X57" s="28"/>
      <c r="Y57" s="28">
        <f t="shared" si="21"/>
        <v>0</v>
      </c>
      <c r="Z57" s="28"/>
      <c r="AA57" s="28"/>
      <c r="AB57" s="28">
        <f t="shared" si="22"/>
        <v>0</v>
      </c>
    </row>
    <row r="58" spans="1:187" s="6" customFormat="1" ht="78.75" x14ac:dyDescent="0.25">
      <c r="A58" s="32" t="s">
        <v>61</v>
      </c>
      <c r="B58" s="28">
        <f t="shared" si="0"/>
        <v>579740</v>
      </c>
      <c r="C58" s="28">
        <f t="shared" si="0"/>
        <v>579740</v>
      </c>
      <c r="D58" s="28">
        <f t="shared" si="0"/>
        <v>0</v>
      </c>
      <c r="E58" s="28">
        <v>0</v>
      </c>
      <c r="F58" s="28">
        <v>0</v>
      </c>
      <c r="G58" s="28">
        <f t="shared" si="1"/>
        <v>0</v>
      </c>
      <c r="H58" s="28"/>
      <c r="I58" s="28"/>
      <c r="J58" s="28">
        <f t="shared" si="16"/>
        <v>0</v>
      </c>
      <c r="K58" s="28">
        <v>22180</v>
      </c>
      <c r="L58" s="28">
        <v>22180</v>
      </c>
      <c r="M58" s="28">
        <f t="shared" si="17"/>
        <v>0</v>
      </c>
      <c r="N58" s="28">
        <v>557560</v>
      </c>
      <c r="O58" s="28">
        <f>557560-160000</f>
        <v>397560</v>
      </c>
      <c r="P58" s="28">
        <f t="shared" si="18"/>
        <v>-160000</v>
      </c>
      <c r="Q58" s="28"/>
      <c r="R58" s="28"/>
      <c r="S58" s="28">
        <f t="shared" si="19"/>
        <v>0</v>
      </c>
      <c r="T58" s="28"/>
      <c r="U58" s="28"/>
      <c r="V58" s="28">
        <f t="shared" si="20"/>
        <v>0</v>
      </c>
      <c r="W58" s="28"/>
      <c r="X58" s="28"/>
      <c r="Y58" s="28">
        <f t="shared" si="21"/>
        <v>0</v>
      </c>
      <c r="Z58" s="28"/>
      <c r="AA58" s="28">
        <f>160000</f>
        <v>160000</v>
      </c>
      <c r="AB58" s="28">
        <f t="shared" si="22"/>
        <v>160000</v>
      </c>
    </row>
    <row r="59" spans="1:187" s="6" customFormat="1" ht="31.5" x14ac:dyDescent="0.25">
      <c r="A59" s="24" t="s">
        <v>62</v>
      </c>
      <c r="B59" s="25">
        <f t="shared" si="0"/>
        <v>16587047</v>
      </c>
      <c r="C59" s="25">
        <f t="shared" si="0"/>
        <v>15079380</v>
      </c>
      <c r="D59" s="25">
        <f t="shared" si="0"/>
        <v>-1507667</v>
      </c>
      <c r="E59" s="25">
        <f>SUM(E60)</f>
        <v>315357</v>
      </c>
      <c r="F59" s="25">
        <f>SUM(F60)</f>
        <v>357360</v>
      </c>
      <c r="G59" s="25">
        <f t="shared" si="1"/>
        <v>42003</v>
      </c>
      <c r="H59" s="25">
        <f>SUM(H60)</f>
        <v>948355</v>
      </c>
      <c r="I59" s="25">
        <f>SUM(I60)</f>
        <v>948355</v>
      </c>
      <c r="J59" s="25">
        <f t="shared" si="16"/>
        <v>0</v>
      </c>
      <c r="K59" s="25">
        <f>SUM(K60)</f>
        <v>5170389</v>
      </c>
      <c r="L59" s="25">
        <f>SUM(L60)</f>
        <v>71591</v>
      </c>
      <c r="M59" s="25">
        <f t="shared" si="17"/>
        <v>-5098798</v>
      </c>
      <c r="N59" s="25">
        <f>SUM(N60)</f>
        <v>7754338</v>
      </c>
      <c r="O59" s="25">
        <f>SUM(O60)</f>
        <v>7754338</v>
      </c>
      <c r="P59" s="25">
        <f t="shared" si="18"/>
        <v>0</v>
      </c>
      <c r="Q59" s="25">
        <f>SUM(Q60)</f>
        <v>0</v>
      </c>
      <c r="R59" s="25">
        <f>SUM(R60)</f>
        <v>0</v>
      </c>
      <c r="S59" s="25">
        <f t="shared" si="19"/>
        <v>0</v>
      </c>
      <c r="T59" s="25">
        <f>SUM(T60)</f>
        <v>2134124</v>
      </c>
      <c r="U59" s="25">
        <f>SUM(U60)</f>
        <v>2125772</v>
      </c>
      <c r="V59" s="25">
        <f t="shared" si="20"/>
        <v>-8352</v>
      </c>
      <c r="W59" s="25">
        <f>SUM(W60)</f>
        <v>0</v>
      </c>
      <c r="X59" s="25">
        <f>SUM(X60)</f>
        <v>728123</v>
      </c>
      <c r="Y59" s="25">
        <f t="shared" si="21"/>
        <v>728123</v>
      </c>
      <c r="Z59" s="25">
        <f>SUM(Z60)</f>
        <v>264484</v>
      </c>
      <c r="AA59" s="25">
        <f>SUM(AA60)</f>
        <v>3093841</v>
      </c>
      <c r="AB59" s="25">
        <f t="shared" si="22"/>
        <v>2829357</v>
      </c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</row>
    <row r="60" spans="1:187" s="6" customFormat="1" x14ac:dyDescent="0.25">
      <c r="A60" s="24" t="s">
        <v>18</v>
      </c>
      <c r="B60" s="25">
        <f t="shared" si="0"/>
        <v>16587047</v>
      </c>
      <c r="C60" s="25">
        <f t="shared" si="0"/>
        <v>15079380</v>
      </c>
      <c r="D60" s="25">
        <f t="shared" si="0"/>
        <v>-1507667</v>
      </c>
      <c r="E60" s="25">
        <f>SUM(E61:E74)</f>
        <v>315357</v>
      </c>
      <c r="F60" s="25">
        <f>SUM(F61:F74)</f>
        <v>357360</v>
      </c>
      <c r="G60" s="25">
        <f t="shared" si="1"/>
        <v>42003</v>
      </c>
      <c r="H60" s="25">
        <f>SUM(H61:H74)</f>
        <v>948355</v>
      </c>
      <c r="I60" s="25">
        <f>SUM(I61:I74)</f>
        <v>948355</v>
      </c>
      <c r="J60" s="25">
        <f t="shared" si="16"/>
        <v>0</v>
      </c>
      <c r="K60" s="25">
        <f>SUM(K61:K74)</f>
        <v>5170389</v>
      </c>
      <c r="L60" s="25">
        <f>SUM(L61:L74)</f>
        <v>71591</v>
      </c>
      <c r="M60" s="25">
        <f t="shared" si="17"/>
        <v>-5098798</v>
      </c>
      <c r="N60" s="25">
        <f>SUM(N61:N74)</f>
        <v>7754338</v>
      </c>
      <c r="O60" s="25">
        <f>SUM(O61:O74)</f>
        <v>7754338</v>
      </c>
      <c r="P60" s="25">
        <f t="shared" si="18"/>
        <v>0</v>
      </c>
      <c r="Q60" s="25">
        <f>SUM(Q61:Q74)</f>
        <v>0</v>
      </c>
      <c r="R60" s="25">
        <f>SUM(R61:R74)</f>
        <v>0</v>
      </c>
      <c r="S60" s="25">
        <f t="shared" si="19"/>
        <v>0</v>
      </c>
      <c r="T60" s="25">
        <f>SUM(T61:T74)</f>
        <v>2134124</v>
      </c>
      <c r="U60" s="25">
        <f>SUM(U61:U74)</f>
        <v>2125772</v>
      </c>
      <c r="V60" s="25">
        <f t="shared" si="20"/>
        <v>-8352</v>
      </c>
      <c r="W60" s="25">
        <f>SUM(W61:W74)</f>
        <v>0</v>
      </c>
      <c r="X60" s="25">
        <f>SUM(X61:X74)</f>
        <v>728123</v>
      </c>
      <c r="Y60" s="25">
        <f t="shared" si="21"/>
        <v>728123</v>
      </c>
      <c r="Z60" s="25">
        <f>SUM(Z61:Z74)</f>
        <v>264484</v>
      </c>
      <c r="AA60" s="25">
        <f>SUM(AA61:AA74)</f>
        <v>3093841</v>
      </c>
      <c r="AB60" s="25">
        <f t="shared" si="22"/>
        <v>2829357</v>
      </c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</row>
    <row r="61" spans="1:187" s="6" customFormat="1" ht="47.25" x14ac:dyDescent="0.25">
      <c r="A61" s="35" t="s">
        <v>63</v>
      </c>
      <c r="B61" s="31">
        <f t="shared" si="0"/>
        <v>18001</v>
      </c>
      <c r="C61" s="31">
        <f t="shared" si="0"/>
        <v>18001</v>
      </c>
      <c r="D61" s="31">
        <f t="shared" si="0"/>
        <v>0</v>
      </c>
      <c r="E61" s="31">
        <v>0</v>
      </c>
      <c r="F61" s="31">
        <v>0</v>
      </c>
      <c r="G61" s="31">
        <f t="shared" si="1"/>
        <v>0</v>
      </c>
      <c r="H61" s="31">
        <f>14588-14588</f>
        <v>0</v>
      </c>
      <c r="I61" s="31">
        <f>14588-14588</f>
        <v>0</v>
      </c>
      <c r="J61" s="31">
        <f t="shared" si="16"/>
        <v>0</v>
      </c>
      <c r="K61" s="31">
        <v>18001</v>
      </c>
      <c r="L61" s="31">
        <v>18001</v>
      </c>
      <c r="M61" s="31">
        <f t="shared" si="17"/>
        <v>0</v>
      </c>
      <c r="N61" s="31">
        <v>0</v>
      </c>
      <c r="O61" s="31">
        <v>0</v>
      </c>
      <c r="P61" s="31">
        <f t="shared" si="18"/>
        <v>0</v>
      </c>
      <c r="Q61" s="31">
        <v>0</v>
      </c>
      <c r="R61" s="31">
        <v>0</v>
      </c>
      <c r="S61" s="31">
        <f t="shared" si="19"/>
        <v>0</v>
      </c>
      <c r="T61" s="31">
        <v>0</v>
      </c>
      <c r="U61" s="31">
        <v>0</v>
      </c>
      <c r="V61" s="31">
        <f t="shared" si="20"/>
        <v>0</v>
      </c>
      <c r="W61" s="31">
        <v>0</v>
      </c>
      <c r="X61" s="31">
        <v>0</v>
      </c>
      <c r="Y61" s="31">
        <f t="shared" si="21"/>
        <v>0</v>
      </c>
      <c r="Z61" s="31"/>
      <c r="AA61" s="31"/>
      <c r="AB61" s="31">
        <f t="shared" si="22"/>
        <v>0</v>
      </c>
    </row>
    <row r="62" spans="1:187" s="6" customFormat="1" ht="47.25" x14ac:dyDescent="0.25">
      <c r="A62" s="35" t="s">
        <v>64</v>
      </c>
      <c r="B62" s="31">
        <f t="shared" si="0"/>
        <v>0</v>
      </c>
      <c r="C62" s="31">
        <f t="shared" si="0"/>
        <v>7360</v>
      </c>
      <c r="D62" s="31">
        <f t="shared" si="0"/>
        <v>7360</v>
      </c>
      <c r="E62" s="31">
        <v>0</v>
      </c>
      <c r="F62" s="31">
        <v>0</v>
      </c>
      <c r="G62" s="31">
        <f t="shared" si="1"/>
        <v>0</v>
      </c>
      <c r="H62" s="31">
        <v>0</v>
      </c>
      <c r="I62" s="31">
        <v>0</v>
      </c>
      <c r="J62" s="31">
        <f t="shared" si="16"/>
        <v>0</v>
      </c>
      <c r="K62" s="31">
        <f>7607-7607</f>
        <v>0</v>
      </c>
      <c r="L62" s="31">
        <v>7360</v>
      </c>
      <c r="M62" s="31">
        <f t="shared" si="17"/>
        <v>7360</v>
      </c>
      <c r="N62" s="31">
        <v>0</v>
      </c>
      <c r="O62" s="31">
        <v>0</v>
      </c>
      <c r="P62" s="31">
        <f t="shared" si="18"/>
        <v>0</v>
      </c>
      <c r="Q62" s="31">
        <v>0</v>
      </c>
      <c r="R62" s="31">
        <v>0</v>
      </c>
      <c r="S62" s="31">
        <f t="shared" si="19"/>
        <v>0</v>
      </c>
      <c r="T62" s="31">
        <v>0</v>
      </c>
      <c r="U62" s="31">
        <v>0</v>
      </c>
      <c r="V62" s="31">
        <f t="shared" si="20"/>
        <v>0</v>
      </c>
      <c r="W62" s="31">
        <v>0</v>
      </c>
      <c r="X62" s="31">
        <v>0</v>
      </c>
      <c r="Y62" s="31">
        <f t="shared" si="21"/>
        <v>0</v>
      </c>
      <c r="Z62" s="31"/>
      <c r="AA62" s="31"/>
      <c r="AB62" s="31">
        <f t="shared" si="22"/>
        <v>0</v>
      </c>
    </row>
    <row r="63" spans="1:187" s="6" customFormat="1" ht="31.5" x14ac:dyDescent="0.25">
      <c r="A63" s="35" t="s">
        <v>65</v>
      </c>
      <c r="B63" s="31">
        <f t="shared" si="0"/>
        <v>46230</v>
      </c>
      <c r="C63" s="31">
        <f t="shared" si="0"/>
        <v>46230</v>
      </c>
      <c r="D63" s="31">
        <f t="shared" si="0"/>
        <v>0</v>
      </c>
      <c r="E63" s="31">
        <v>0</v>
      </c>
      <c r="F63" s="31">
        <v>0</v>
      </c>
      <c r="G63" s="31">
        <f t="shared" si="1"/>
        <v>0</v>
      </c>
      <c r="H63" s="31">
        <v>0</v>
      </c>
      <c r="I63" s="31">
        <v>0</v>
      </c>
      <c r="J63" s="31">
        <f t="shared" si="16"/>
        <v>0</v>
      </c>
      <c r="K63" s="31">
        <f>41100+5130</f>
        <v>46230</v>
      </c>
      <c r="L63" s="31">
        <f>41100+5130</f>
        <v>46230</v>
      </c>
      <c r="M63" s="31">
        <f t="shared" si="17"/>
        <v>0</v>
      </c>
      <c r="N63" s="31">
        <v>0</v>
      </c>
      <c r="O63" s="31">
        <v>0</v>
      </c>
      <c r="P63" s="31">
        <f t="shared" si="18"/>
        <v>0</v>
      </c>
      <c r="Q63" s="31">
        <v>0</v>
      </c>
      <c r="R63" s="31">
        <v>0</v>
      </c>
      <c r="S63" s="31">
        <f t="shared" si="19"/>
        <v>0</v>
      </c>
      <c r="T63" s="31">
        <v>0</v>
      </c>
      <c r="U63" s="31">
        <v>0</v>
      </c>
      <c r="V63" s="31">
        <f t="shared" si="20"/>
        <v>0</v>
      </c>
      <c r="W63" s="31">
        <v>0</v>
      </c>
      <c r="X63" s="31">
        <v>0</v>
      </c>
      <c r="Y63" s="31">
        <f t="shared" si="21"/>
        <v>0</v>
      </c>
      <c r="Z63" s="31"/>
      <c r="AA63" s="31"/>
      <c r="AB63" s="31">
        <f t="shared" si="22"/>
        <v>0</v>
      </c>
    </row>
    <row r="64" spans="1:187" s="6" customFormat="1" ht="47.25" x14ac:dyDescent="0.25">
      <c r="A64" s="35" t="s">
        <v>66</v>
      </c>
      <c r="B64" s="31">
        <f t="shared" si="0"/>
        <v>292420</v>
      </c>
      <c r="C64" s="31">
        <f t="shared" si="0"/>
        <v>291880</v>
      </c>
      <c r="D64" s="31">
        <f t="shared" si="0"/>
        <v>-540</v>
      </c>
      <c r="E64" s="31">
        <f>292420-181890-2042-20000-61092+540</f>
        <v>27936</v>
      </c>
      <c r="F64" s="31">
        <f>292420-181890-2042-20000-61092+540-540</f>
        <v>27396</v>
      </c>
      <c r="G64" s="31">
        <f t="shared" si="1"/>
        <v>-540</v>
      </c>
      <c r="H64" s="31">
        <v>0</v>
      </c>
      <c r="I64" s="31">
        <v>0</v>
      </c>
      <c r="J64" s="31">
        <f t="shared" si="16"/>
        <v>0</v>
      </c>
      <c r="K64" s="31"/>
      <c r="L64" s="31"/>
      <c r="M64" s="31">
        <f t="shared" si="17"/>
        <v>0</v>
      </c>
      <c r="N64" s="31">
        <v>0</v>
      </c>
      <c r="O64" s="31">
        <v>0</v>
      </c>
      <c r="P64" s="31">
        <f t="shared" si="18"/>
        <v>0</v>
      </c>
      <c r="Q64" s="31">
        <v>0</v>
      </c>
      <c r="R64" s="31">
        <v>0</v>
      </c>
      <c r="S64" s="31">
        <f t="shared" si="19"/>
        <v>0</v>
      </c>
      <c r="T64" s="31">
        <v>0</v>
      </c>
      <c r="U64" s="31">
        <v>0</v>
      </c>
      <c r="V64" s="31">
        <f t="shared" si="20"/>
        <v>0</v>
      </c>
      <c r="W64" s="31">
        <v>0</v>
      </c>
      <c r="X64" s="31">
        <v>0</v>
      </c>
      <c r="Y64" s="31">
        <f t="shared" si="21"/>
        <v>0</v>
      </c>
      <c r="Z64" s="31">
        <f>181890+2042+20000+61092-540</f>
        <v>264484</v>
      </c>
      <c r="AA64" s="31">
        <f>181890+2042+20000+61092-540</f>
        <v>264484</v>
      </c>
      <c r="AB64" s="31">
        <f t="shared" si="22"/>
        <v>0</v>
      </c>
    </row>
    <row r="65" spans="1:187" s="6" customFormat="1" ht="126" x14ac:dyDescent="0.25">
      <c r="A65" s="32" t="s">
        <v>67</v>
      </c>
      <c r="B65" s="31">
        <f t="shared" si="0"/>
        <v>805296</v>
      </c>
      <c r="C65" s="31">
        <f t="shared" si="0"/>
        <v>805296</v>
      </c>
      <c r="D65" s="31">
        <f t="shared" si="0"/>
        <v>0</v>
      </c>
      <c r="E65" s="31">
        <v>0</v>
      </c>
      <c r="F65" s="31">
        <v>0</v>
      </c>
      <c r="G65" s="31">
        <f t="shared" si="1"/>
        <v>0</v>
      </c>
      <c r="H65" s="31"/>
      <c r="I65" s="31"/>
      <c r="J65" s="31">
        <f t="shared" si="16"/>
        <v>0</v>
      </c>
      <c r="K65" s="31">
        <v>0</v>
      </c>
      <c r="L65" s="31">
        <v>0</v>
      </c>
      <c r="M65" s="31">
        <f t="shared" si="17"/>
        <v>0</v>
      </c>
      <c r="N65" s="31">
        <v>805296</v>
      </c>
      <c r="O65" s="31">
        <v>805296</v>
      </c>
      <c r="P65" s="31">
        <f t="shared" si="18"/>
        <v>0</v>
      </c>
      <c r="Q65" s="31"/>
      <c r="R65" s="31"/>
      <c r="S65" s="31">
        <f t="shared" si="19"/>
        <v>0</v>
      </c>
      <c r="T65" s="31"/>
      <c r="U65" s="31"/>
      <c r="V65" s="31">
        <f t="shared" si="20"/>
        <v>0</v>
      </c>
      <c r="W65" s="31"/>
      <c r="X65" s="31"/>
      <c r="Y65" s="31">
        <f t="shared" si="21"/>
        <v>0</v>
      </c>
      <c r="Z65" s="31"/>
      <c r="AA65" s="31"/>
      <c r="AB65" s="31">
        <f t="shared" si="22"/>
        <v>0</v>
      </c>
    </row>
    <row r="66" spans="1:187" s="6" customFormat="1" x14ac:dyDescent="0.25">
      <c r="A66" s="35" t="s">
        <v>68</v>
      </c>
      <c r="B66" s="31">
        <f t="shared" si="0"/>
        <v>92418</v>
      </c>
      <c r="C66" s="31">
        <f t="shared" si="0"/>
        <v>84212</v>
      </c>
      <c r="D66" s="31">
        <f t="shared" si="0"/>
        <v>-8206</v>
      </c>
      <c r="E66" s="31">
        <f>130942-130942</f>
        <v>0</v>
      </c>
      <c r="F66" s="31">
        <f>130942-130942</f>
        <v>0</v>
      </c>
      <c r="G66" s="31">
        <f t="shared" si="1"/>
        <v>0</v>
      </c>
      <c r="H66" s="31"/>
      <c r="I66" s="31"/>
      <c r="J66" s="31">
        <f t="shared" si="16"/>
        <v>0</v>
      </c>
      <c r="K66" s="31">
        <v>0</v>
      </c>
      <c r="L66" s="31">
        <v>0</v>
      </c>
      <c r="M66" s="31">
        <f t="shared" si="17"/>
        <v>0</v>
      </c>
      <c r="N66" s="31"/>
      <c r="O66" s="31"/>
      <c r="P66" s="31">
        <f t="shared" si="18"/>
        <v>0</v>
      </c>
      <c r="Q66" s="31"/>
      <c r="R66" s="31"/>
      <c r="S66" s="31">
        <f t="shared" si="19"/>
        <v>0</v>
      </c>
      <c r="T66" s="31">
        <f>130942-4196-34328</f>
        <v>92418</v>
      </c>
      <c r="U66" s="31">
        <f>130942-4196-34328+146-8352</f>
        <v>84212</v>
      </c>
      <c r="V66" s="31">
        <f t="shared" si="20"/>
        <v>-8206</v>
      </c>
      <c r="W66" s="31"/>
      <c r="X66" s="31"/>
      <c r="Y66" s="31">
        <f t="shared" si="21"/>
        <v>0</v>
      </c>
      <c r="Z66" s="31"/>
      <c r="AA66" s="31"/>
      <c r="AB66" s="31">
        <f t="shared" si="22"/>
        <v>0</v>
      </c>
    </row>
    <row r="67" spans="1:187" s="6" customFormat="1" ht="141.75" x14ac:dyDescent="0.25">
      <c r="A67" s="27" t="s">
        <v>306</v>
      </c>
      <c r="B67" s="31">
        <f t="shared" si="0"/>
        <v>0</v>
      </c>
      <c r="C67" s="31">
        <f t="shared" si="0"/>
        <v>3557480</v>
      </c>
      <c r="D67" s="31">
        <f t="shared" si="0"/>
        <v>3557480</v>
      </c>
      <c r="E67" s="31">
        <v>0</v>
      </c>
      <c r="F67" s="31">
        <v>0</v>
      </c>
      <c r="G67" s="31">
        <f t="shared" si="1"/>
        <v>0</v>
      </c>
      <c r="H67" s="31"/>
      <c r="I67" s="31"/>
      <c r="J67" s="31">
        <f t="shared" si="16"/>
        <v>0</v>
      </c>
      <c r="K67" s="31"/>
      <c r="L67" s="31"/>
      <c r="M67" s="31">
        <f t="shared" si="17"/>
        <v>0</v>
      </c>
      <c r="N67" s="31"/>
      <c r="O67" s="31"/>
      <c r="P67" s="31">
        <f t="shared" si="18"/>
        <v>0</v>
      </c>
      <c r="Q67" s="31"/>
      <c r="R67" s="31"/>
      <c r="S67" s="31">
        <f t="shared" si="19"/>
        <v>0</v>
      </c>
      <c r="T67" s="31">
        <f>2534-2534</f>
        <v>0</v>
      </c>
      <c r="U67" s="31">
        <f>2534-2534</f>
        <v>0</v>
      </c>
      <c r="V67" s="31">
        <f t="shared" si="20"/>
        <v>0</v>
      </c>
      <c r="W67" s="31"/>
      <c r="X67" s="31">
        <v>728123</v>
      </c>
      <c r="Y67" s="31">
        <f t="shared" si="21"/>
        <v>728123</v>
      </c>
      <c r="Z67" s="31"/>
      <c r="AA67" s="31">
        <v>2829357</v>
      </c>
      <c r="AB67" s="31">
        <f t="shared" si="22"/>
        <v>2829357</v>
      </c>
    </row>
    <row r="68" spans="1:187" s="6" customFormat="1" ht="63" x14ac:dyDescent="0.25">
      <c r="A68" s="27" t="s">
        <v>69</v>
      </c>
      <c r="B68" s="31">
        <f t="shared" si="0"/>
        <v>2936444</v>
      </c>
      <c r="C68" s="31">
        <f t="shared" si="0"/>
        <v>0</v>
      </c>
      <c r="D68" s="31">
        <f t="shared" si="0"/>
        <v>-2936444</v>
      </c>
      <c r="E68" s="31">
        <v>0</v>
      </c>
      <c r="F68" s="31">
        <v>0</v>
      </c>
      <c r="G68" s="31">
        <f t="shared" si="1"/>
        <v>0</v>
      </c>
      <c r="H68" s="31"/>
      <c r="I68" s="31"/>
      <c r="J68" s="31">
        <f t="shared" si="16"/>
        <v>0</v>
      </c>
      <c r="K68" s="31">
        <v>2936444</v>
      </c>
      <c r="L68" s="31">
        <f>2936444-2936444</f>
        <v>0</v>
      </c>
      <c r="M68" s="31">
        <f t="shared" si="17"/>
        <v>-2936444</v>
      </c>
      <c r="N68" s="31"/>
      <c r="O68" s="31"/>
      <c r="P68" s="31">
        <f t="shared" si="18"/>
        <v>0</v>
      </c>
      <c r="Q68" s="31"/>
      <c r="R68" s="31"/>
      <c r="S68" s="31">
        <f t="shared" si="19"/>
        <v>0</v>
      </c>
      <c r="T68" s="31">
        <f>2534-2534</f>
        <v>0</v>
      </c>
      <c r="U68" s="31">
        <f>2534-2534</f>
        <v>0</v>
      </c>
      <c r="V68" s="31">
        <f t="shared" si="20"/>
        <v>0</v>
      </c>
      <c r="W68" s="31"/>
      <c r="X68" s="31"/>
      <c r="Y68" s="31">
        <f t="shared" si="21"/>
        <v>0</v>
      </c>
      <c r="Z68" s="31"/>
      <c r="AA68" s="31"/>
      <c r="AB68" s="31">
        <f t="shared" si="22"/>
        <v>0</v>
      </c>
    </row>
    <row r="69" spans="1:187" s="6" customFormat="1" ht="31.5" x14ac:dyDescent="0.25">
      <c r="A69" s="27" t="s">
        <v>70</v>
      </c>
      <c r="B69" s="31">
        <f t="shared" si="0"/>
        <v>2169714</v>
      </c>
      <c r="C69" s="31">
        <f t="shared" si="0"/>
        <v>0</v>
      </c>
      <c r="D69" s="31">
        <f t="shared" si="0"/>
        <v>-2169714</v>
      </c>
      <c r="E69" s="31">
        <v>0</v>
      </c>
      <c r="F69" s="31">
        <v>0</v>
      </c>
      <c r="G69" s="31">
        <f t="shared" si="1"/>
        <v>0</v>
      </c>
      <c r="H69" s="31"/>
      <c r="I69" s="31"/>
      <c r="J69" s="31">
        <f t="shared" si="16"/>
        <v>0</v>
      </c>
      <c r="K69" s="31">
        <v>2169714</v>
      </c>
      <c r="L69" s="31">
        <f>2169714-2169714</f>
        <v>0</v>
      </c>
      <c r="M69" s="31">
        <f t="shared" si="17"/>
        <v>-2169714</v>
      </c>
      <c r="N69" s="31"/>
      <c r="O69" s="31"/>
      <c r="P69" s="31">
        <f t="shared" si="18"/>
        <v>0</v>
      </c>
      <c r="Q69" s="31"/>
      <c r="R69" s="31"/>
      <c r="S69" s="31">
        <f t="shared" si="19"/>
        <v>0</v>
      </c>
      <c r="T69" s="31">
        <v>0</v>
      </c>
      <c r="U69" s="31">
        <v>0</v>
      </c>
      <c r="V69" s="31">
        <f t="shared" si="20"/>
        <v>0</v>
      </c>
      <c r="W69" s="31"/>
      <c r="X69" s="31"/>
      <c r="Y69" s="31">
        <f t="shared" si="21"/>
        <v>0</v>
      </c>
      <c r="Z69" s="31"/>
      <c r="AA69" s="31"/>
      <c r="AB69" s="31">
        <f t="shared" si="22"/>
        <v>0</v>
      </c>
    </row>
    <row r="70" spans="1:187" s="6" customFormat="1" ht="157.5" x14ac:dyDescent="0.25">
      <c r="A70" s="27" t="s">
        <v>71</v>
      </c>
      <c r="B70" s="31">
        <f t="shared" si="0"/>
        <v>6949042</v>
      </c>
      <c r="C70" s="31">
        <f t="shared" si="0"/>
        <v>6949042</v>
      </c>
      <c r="D70" s="31">
        <f t="shared" si="0"/>
        <v>0</v>
      </c>
      <c r="E70" s="31">
        <v>0</v>
      </c>
      <c r="F70" s="31">
        <v>0</v>
      </c>
      <c r="G70" s="31">
        <f t="shared" si="1"/>
        <v>0</v>
      </c>
      <c r="H70" s="31"/>
      <c r="I70" s="31"/>
      <c r="J70" s="31">
        <f t="shared" si="16"/>
        <v>0</v>
      </c>
      <c r="K70" s="31">
        <v>0</v>
      </c>
      <c r="L70" s="31">
        <v>0</v>
      </c>
      <c r="M70" s="31">
        <f t="shared" si="17"/>
        <v>0</v>
      </c>
      <c r="N70" s="31">
        <v>6949042</v>
      </c>
      <c r="O70" s="31">
        <v>6949042</v>
      </c>
      <c r="P70" s="31">
        <f t="shared" si="18"/>
        <v>0</v>
      </c>
      <c r="Q70" s="31"/>
      <c r="R70" s="31"/>
      <c r="S70" s="31">
        <f t="shared" si="19"/>
        <v>0</v>
      </c>
      <c r="T70" s="31">
        <v>0</v>
      </c>
      <c r="U70" s="31">
        <v>0</v>
      </c>
      <c r="V70" s="31">
        <f t="shared" si="20"/>
        <v>0</v>
      </c>
      <c r="W70" s="31"/>
      <c r="X70" s="31"/>
      <c r="Y70" s="31">
        <f t="shared" si="21"/>
        <v>0</v>
      </c>
      <c r="Z70" s="31"/>
      <c r="AA70" s="31"/>
      <c r="AB70" s="31">
        <f t="shared" si="22"/>
        <v>0</v>
      </c>
    </row>
    <row r="71" spans="1:187" s="6" customFormat="1" ht="31.5" x14ac:dyDescent="0.25">
      <c r="A71" s="30" t="s">
        <v>72</v>
      </c>
      <c r="B71" s="31">
        <f t="shared" si="0"/>
        <v>50000</v>
      </c>
      <c r="C71" s="31">
        <f t="shared" si="0"/>
        <v>49854</v>
      </c>
      <c r="D71" s="31">
        <f t="shared" si="0"/>
        <v>-146</v>
      </c>
      <c r="E71" s="31">
        <f>18700-18700</f>
        <v>0</v>
      </c>
      <c r="F71" s="31">
        <f>18700-18700</f>
        <v>0</v>
      </c>
      <c r="G71" s="31">
        <f t="shared" si="1"/>
        <v>0</v>
      </c>
      <c r="H71" s="31"/>
      <c r="I71" s="31"/>
      <c r="J71" s="31">
        <f t="shared" si="16"/>
        <v>0</v>
      </c>
      <c r="K71" s="31">
        <v>0</v>
      </c>
      <c r="L71" s="31">
        <v>0</v>
      </c>
      <c r="M71" s="31">
        <f t="shared" si="17"/>
        <v>0</v>
      </c>
      <c r="N71" s="31"/>
      <c r="O71" s="31"/>
      <c r="P71" s="31">
        <f t="shared" si="18"/>
        <v>0</v>
      </c>
      <c r="Q71" s="31"/>
      <c r="R71" s="31"/>
      <c r="S71" s="31">
        <f t="shared" si="19"/>
        <v>0</v>
      </c>
      <c r="T71" s="31">
        <f>31300+18700</f>
        <v>50000</v>
      </c>
      <c r="U71" s="31">
        <f>31300+18700-146</f>
        <v>49854</v>
      </c>
      <c r="V71" s="31">
        <f t="shared" si="20"/>
        <v>-146</v>
      </c>
      <c r="W71" s="31"/>
      <c r="X71" s="31"/>
      <c r="Y71" s="31">
        <f t="shared" si="21"/>
        <v>0</v>
      </c>
      <c r="Z71" s="31"/>
      <c r="AA71" s="31"/>
      <c r="AB71" s="31">
        <f t="shared" si="22"/>
        <v>0</v>
      </c>
    </row>
    <row r="72" spans="1:187" s="6" customFormat="1" ht="31.5" x14ac:dyDescent="0.25">
      <c r="A72" s="35" t="s">
        <v>73</v>
      </c>
      <c r="B72" s="31">
        <f t="shared" ref="B72:D137" si="23">E72+H72+K72+N72+Q72+T72+W72+Z72</f>
        <v>287421</v>
      </c>
      <c r="C72" s="31">
        <f t="shared" si="23"/>
        <v>329964</v>
      </c>
      <c r="D72" s="31">
        <f t="shared" si="23"/>
        <v>42543</v>
      </c>
      <c r="E72" s="31">
        <f>330000-42579</f>
        <v>287421</v>
      </c>
      <c r="F72" s="31">
        <f>330000-42579+27488+540+382+550+863+12720</f>
        <v>329964</v>
      </c>
      <c r="G72" s="31">
        <f t="shared" ref="G72:G133" si="24">F72-E72</f>
        <v>42543</v>
      </c>
      <c r="H72" s="31">
        <v>0</v>
      </c>
      <c r="I72" s="31">
        <v>0</v>
      </c>
      <c r="J72" s="31">
        <f t="shared" ref="J72:J133" si="25">I72-H72</f>
        <v>0</v>
      </c>
      <c r="K72" s="31"/>
      <c r="L72" s="31"/>
      <c r="M72" s="31">
        <f t="shared" ref="M72:M133" si="26">L72-K72</f>
        <v>0</v>
      </c>
      <c r="N72" s="31">
        <v>0</v>
      </c>
      <c r="O72" s="31">
        <v>0</v>
      </c>
      <c r="P72" s="31">
        <f t="shared" ref="P72:P133" si="27">O72-N72</f>
        <v>0</v>
      </c>
      <c r="Q72" s="31"/>
      <c r="R72" s="31"/>
      <c r="S72" s="31">
        <f t="shared" ref="S72:S133" si="28">R72-Q72</f>
        <v>0</v>
      </c>
      <c r="T72" s="31">
        <v>0</v>
      </c>
      <c r="U72" s="31">
        <v>0</v>
      </c>
      <c r="V72" s="31">
        <f t="shared" ref="V72:V133" si="29">U72-T72</f>
        <v>0</v>
      </c>
      <c r="W72" s="31">
        <v>0</v>
      </c>
      <c r="X72" s="31">
        <v>0</v>
      </c>
      <c r="Y72" s="31">
        <f t="shared" ref="Y72:Y133" si="30">X72-W72</f>
        <v>0</v>
      </c>
      <c r="Z72" s="31"/>
      <c r="AA72" s="31"/>
      <c r="AB72" s="31">
        <f t="shared" ref="AB72:AB133" si="31">AA72-Z72</f>
        <v>0</v>
      </c>
    </row>
    <row r="73" spans="1:187" s="6" customFormat="1" ht="47.25" x14ac:dyDescent="0.25">
      <c r="A73" s="30" t="s">
        <v>74</v>
      </c>
      <c r="B73" s="31">
        <f t="shared" si="23"/>
        <v>2755061</v>
      </c>
      <c r="C73" s="31">
        <f t="shared" si="23"/>
        <v>2755061</v>
      </c>
      <c r="D73" s="31">
        <f t="shared" si="23"/>
        <v>0</v>
      </c>
      <c r="E73" s="31">
        <v>0</v>
      </c>
      <c r="F73" s="31">
        <v>0</v>
      </c>
      <c r="G73" s="31">
        <f t="shared" si="24"/>
        <v>0</v>
      </c>
      <c r="H73" s="31">
        <f>698588+44818+19949</f>
        <v>763355</v>
      </c>
      <c r="I73" s="31">
        <f>698588+44818+19949</f>
        <v>763355</v>
      </c>
      <c r="J73" s="31">
        <f t="shared" si="25"/>
        <v>0</v>
      </c>
      <c r="K73" s="31">
        <f>763355-698588-44818-19949</f>
        <v>0</v>
      </c>
      <c r="L73" s="31">
        <f>763355-698588-44818-19949</f>
        <v>0</v>
      </c>
      <c r="M73" s="31">
        <f t="shared" si="26"/>
        <v>0</v>
      </c>
      <c r="N73" s="31"/>
      <c r="O73" s="31"/>
      <c r="P73" s="31">
        <f t="shared" si="27"/>
        <v>0</v>
      </c>
      <c r="Q73" s="31"/>
      <c r="R73" s="31"/>
      <c r="S73" s="31">
        <f t="shared" si="28"/>
        <v>0</v>
      </c>
      <c r="T73" s="31">
        <v>1991706</v>
      </c>
      <c r="U73" s="31">
        <v>1991706</v>
      </c>
      <c r="V73" s="31">
        <f t="shared" si="29"/>
        <v>0</v>
      </c>
      <c r="W73" s="31"/>
      <c r="X73" s="31"/>
      <c r="Y73" s="31">
        <f t="shared" si="30"/>
        <v>0</v>
      </c>
      <c r="Z73" s="31"/>
      <c r="AA73" s="31"/>
      <c r="AB73" s="31">
        <f t="shared" si="31"/>
        <v>0</v>
      </c>
    </row>
    <row r="74" spans="1:187" s="6" customFormat="1" ht="31.5" x14ac:dyDescent="0.25">
      <c r="A74" s="35" t="s">
        <v>75</v>
      </c>
      <c r="B74" s="31">
        <f t="shared" si="23"/>
        <v>185000</v>
      </c>
      <c r="C74" s="31">
        <f t="shared" si="23"/>
        <v>185000</v>
      </c>
      <c r="D74" s="31">
        <f t="shared" si="23"/>
        <v>0</v>
      </c>
      <c r="E74" s="31">
        <f>185000-185000</f>
        <v>0</v>
      </c>
      <c r="F74" s="31">
        <f>185000-185000</f>
        <v>0</v>
      </c>
      <c r="G74" s="31">
        <f t="shared" si="24"/>
        <v>0</v>
      </c>
      <c r="H74" s="31">
        <v>185000</v>
      </c>
      <c r="I74" s="31">
        <v>185000</v>
      </c>
      <c r="J74" s="31">
        <f t="shared" si="25"/>
        <v>0</v>
      </c>
      <c r="K74" s="31">
        <f>185000-185000</f>
        <v>0</v>
      </c>
      <c r="L74" s="31">
        <f>185000-185000</f>
        <v>0</v>
      </c>
      <c r="M74" s="31">
        <f t="shared" si="26"/>
        <v>0</v>
      </c>
      <c r="N74" s="31">
        <v>0</v>
      </c>
      <c r="O74" s="31">
        <v>0</v>
      </c>
      <c r="P74" s="31">
        <f t="shared" si="27"/>
        <v>0</v>
      </c>
      <c r="Q74" s="31"/>
      <c r="R74" s="31"/>
      <c r="S74" s="31">
        <f t="shared" si="28"/>
        <v>0</v>
      </c>
      <c r="T74" s="31">
        <v>0</v>
      </c>
      <c r="U74" s="31">
        <v>0</v>
      </c>
      <c r="V74" s="31">
        <f t="shared" si="29"/>
        <v>0</v>
      </c>
      <c r="W74" s="31">
        <v>0</v>
      </c>
      <c r="X74" s="31">
        <v>0</v>
      </c>
      <c r="Y74" s="31">
        <f t="shared" si="30"/>
        <v>0</v>
      </c>
      <c r="Z74" s="31"/>
      <c r="AA74" s="31"/>
      <c r="AB74" s="31">
        <f t="shared" si="31"/>
        <v>0</v>
      </c>
    </row>
    <row r="75" spans="1:187" s="23" customFormat="1" ht="31.5" x14ac:dyDescent="0.25">
      <c r="A75" s="24" t="s">
        <v>76</v>
      </c>
      <c r="B75" s="25">
        <f t="shared" si="23"/>
        <v>3044331</v>
      </c>
      <c r="C75" s="25">
        <f t="shared" si="23"/>
        <v>3050951</v>
      </c>
      <c r="D75" s="25">
        <f t="shared" si="23"/>
        <v>6620</v>
      </c>
      <c r="E75" s="25">
        <f>SUM(E76)</f>
        <v>341122</v>
      </c>
      <c r="F75" s="25">
        <f>SUM(F76)</f>
        <v>336952</v>
      </c>
      <c r="G75" s="25">
        <f t="shared" si="24"/>
        <v>-4170</v>
      </c>
      <c r="H75" s="25">
        <f>SUM(H76)</f>
        <v>13080</v>
      </c>
      <c r="I75" s="25">
        <f>SUM(I76)</f>
        <v>13080</v>
      </c>
      <c r="J75" s="25">
        <f t="shared" si="25"/>
        <v>0</v>
      </c>
      <c r="K75" s="25">
        <f>SUM(K76)</f>
        <v>41264</v>
      </c>
      <c r="L75" s="25">
        <f>SUM(L76)</f>
        <v>41264</v>
      </c>
      <c r="M75" s="25">
        <f t="shared" si="26"/>
        <v>0</v>
      </c>
      <c r="N75" s="25">
        <f>SUM(N76)</f>
        <v>2552865</v>
      </c>
      <c r="O75" s="25">
        <f>SUM(O76)</f>
        <v>2563655</v>
      </c>
      <c r="P75" s="25">
        <f t="shared" si="27"/>
        <v>10790</v>
      </c>
      <c r="Q75" s="25">
        <f>SUM(Q76)</f>
        <v>96000</v>
      </c>
      <c r="R75" s="25">
        <f>SUM(R76)</f>
        <v>96000</v>
      </c>
      <c r="S75" s="25">
        <f t="shared" si="28"/>
        <v>0</v>
      </c>
      <c r="T75" s="25">
        <f>SUM(T76)</f>
        <v>0</v>
      </c>
      <c r="U75" s="25">
        <f>SUM(U76)</f>
        <v>0</v>
      </c>
      <c r="V75" s="25">
        <f t="shared" si="29"/>
        <v>0</v>
      </c>
      <c r="W75" s="25">
        <f>SUM(W76)</f>
        <v>0</v>
      </c>
      <c r="X75" s="25">
        <f>SUM(X76)</f>
        <v>0</v>
      </c>
      <c r="Y75" s="25">
        <f t="shared" si="30"/>
        <v>0</v>
      </c>
      <c r="Z75" s="25">
        <f>SUM(Z76)</f>
        <v>0</v>
      </c>
      <c r="AA75" s="25">
        <f>SUM(AA76)</f>
        <v>0</v>
      </c>
      <c r="AB75" s="25">
        <f t="shared" si="31"/>
        <v>0</v>
      </c>
    </row>
    <row r="76" spans="1:187" s="6" customFormat="1" x14ac:dyDescent="0.25">
      <c r="A76" s="24" t="s">
        <v>18</v>
      </c>
      <c r="B76" s="25">
        <f t="shared" si="23"/>
        <v>3044331</v>
      </c>
      <c r="C76" s="25">
        <f t="shared" si="23"/>
        <v>3050951</v>
      </c>
      <c r="D76" s="25">
        <f t="shared" si="23"/>
        <v>6620</v>
      </c>
      <c r="E76" s="25">
        <f>SUM(E77:E85)</f>
        <v>341122</v>
      </c>
      <c r="F76" s="25">
        <f>SUM(F77:F85)</f>
        <v>336952</v>
      </c>
      <c r="G76" s="25">
        <f t="shared" si="24"/>
        <v>-4170</v>
      </c>
      <c r="H76" s="25">
        <f>SUM(H77:H85)</f>
        <v>13080</v>
      </c>
      <c r="I76" s="25">
        <f>SUM(I77:I85)</f>
        <v>13080</v>
      </c>
      <c r="J76" s="25">
        <f t="shared" si="25"/>
        <v>0</v>
      </c>
      <c r="K76" s="25">
        <f>SUM(K77:K85)</f>
        <v>41264</v>
      </c>
      <c r="L76" s="25">
        <f>SUM(L77:L85)</f>
        <v>41264</v>
      </c>
      <c r="M76" s="25">
        <f t="shared" si="26"/>
        <v>0</v>
      </c>
      <c r="N76" s="25">
        <f>SUM(N77:N85)</f>
        <v>2552865</v>
      </c>
      <c r="O76" s="25">
        <f>SUM(O77:O85)</f>
        <v>2563655</v>
      </c>
      <c r="P76" s="25">
        <f t="shared" si="27"/>
        <v>10790</v>
      </c>
      <c r="Q76" s="25">
        <f>SUM(Q77:Q85)</f>
        <v>96000</v>
      </c>
      <c r="R76" s="25">
        <f>SUM(R77:R85)</f>
        <v>96000</v>
      </c>
      <c r="S76" s="25">
        <f t="shared" si="28"/>
        <v>0</v>
      </c>
      <c r="T76" s="25">
        <f>SUM(T77:T85)</f>
        <v>0</v>
      </c>
      <c r="U76" s="25">
        <f>SUM(U77:U85)</f>
        <v>0</v>
      </c>
      <c r="V76" s="25">
        <f t="shared" si="29"/>
        <v>0</v>
      </c>
      <c r="W76" s="25">
        <f>SUM(W77:W85)</f>
        <v>0</v>
      </c>
      <c r="X76" s="25">
        <f>SUM(X77:X85)</f>
        <v>0</v>
      </c>
      <c r="Y76" s="25">
        <f t="shared" si="30"/>
        <v>0</v>
      </c>
      <c r="Z76" s="25">
        <f>SUM(Z77:Z85)</f>
        <v>0</v>
      </c>
      <c r="AA76" s="25">
        <f>SUM(AA77:AA85)</f>
        <v>0</v>
      </c>
      <c r="AB76" s="25">
        <f t="shared" si="31"/>
        <v>0</v>
      </c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</row>
    <row r="77" spans="1:187" s="6" customFormat="1" x14ac:dyDescent="0.25">
      <c r="A77" s="35" t="s">
        <v>77</v>
      </c>
      <c r="B77" s="31">
        <f t="shared" si="23"/>
        <v>33000</v>
      </c>
      <c r="C77" s="31">
        <f t="shared" si="23"/>
        <v>33000</v>
      </c>
      <c r="D77" s="31">
        <f t="shared" si="23"/>
        <v>0</v>
      </c>
      <c r="E77" s="31">
        <v>33000</v>
      </c>
      <c r="F77" s="31">
        <v>33000</v>
      </c>
      <c r="G77" s="31">
        <f t="shared" si="24"/>
        <v>0</v>
      </c>
      <c r="H77" s="31"/>
      <c r="I77" s="31"/>
      <c r="J77" s="31">
        <f t="shared" si="25"/>
        <v>0</v>
      </c>
      <c r="K77" s="31">
        <v>0</v>
      </c>
      <c r="L77" s="31">
        <v>0</v>
      </c>
      <c r="M77" s="31">
        <f t="shared" si="26"/>
        <v>0</v>
      </c>
      <c r="N77" s="31"/>
      <c r="O77" s="31"/>
      <c r="P77" s="31">
        <f t="shared" si="27"/>
        <v>0</v>
      </c>
      <c r="Q77" s="31"/>
      <c r="R77" s="31"/>
      <c r="S77" s="31">
        <f t="shared" si="28"/>
        <v>0</v>
      </c>
      <c r="T77" s="31"/>
      <c r="U77" s="31"/>
      <c r="V77" s="31">
        <f t="shared" si="29"/>
        <v>0</v>
      </c>
      <c r="W77" s="31"/>
      <c r="X77" s="31"/>
      <c r="Y77" s="31">
        <f t="shared" si="30"/>
        <v>0</v>
      </c>
      <c r="Z77" s="31"/>
      <c r="AA77" s="31"/>
      <c r="AB77" s="31">
        <f t="shared" si="31"/>
        <v>0</v>
      </c>
    </row>
    <row r="78" spans="1:187" s="6" customFormat="1" ht="31.5" x14ac:dyDescent="0.25">
      <c r="A78" s="27" t="s">
        <v>78</v>
      </c>
      <c r="B78" s="28">
        <f t="shared" si="23"/>
        <v>32000</v>
      </c>
      <c r="C78" s="28">
        <f t="shared" si="23"/>
        <v>32000</v>
      </c>
      <c r="D78" s="28">
        <f t="shared" si="23"/>
        <v>0</v>
      </c>
      <c r="E78" s="28">
        <v>0</v>
      </c>
      <c r="F78" s="28">
        <v>0</v>
      </c>
      <c r="G78" s="28">
        <f t="shared" si="24"/>
        <v>0</v>
      </c>
      <c r="H78" s="28"/>
      <c r="I78" s="28"/>
      <c r="J78" s="28">
        <f t="shared" si="25"/>
        <v>0</v>
      </c>
      <c r="K78" s="28">
        <v>32000</v>
      </c>
      <c r="L78" s="28">
        <v>32000</v>
      </c>
      <c r="M78" s="28">
        <f t="shared" si="26"/>
        <v>0</v>
      </c>
      <c r="N78" s="28"/>
      <c r="O78" s="28"/>
      <c r="P78" s="28">
        <f t="shared" si="27"/>
        <v>0</v>
      </c>
      <c r="Q78" s="28"/>
      <c r="R78" s="28"/>
      <c r="S78" s="28">
        <f t="shared" si="28"/>
        <v>0</v>
      </c>
      <c r="T78" s="28"/>
      <c r="U78" s="28"/>
      <c r="V78" s="28">
        <f t="shared" si="29"/>
        <v>0</v>
      </c>
      <c r="W78" s="28"/>
      <c r="X78" s="28"/>
      <c r="Y78" s="28">
        <f t="shared" si="30"/>
        <v>0</v>
      </c>
      <c r="Z78" s="28"/>
      <c r="AA78" s="28"/>
      <c r="AB78" s="28">
        <f t="shared" si="31"/>
        <v>0</v>
      </c>
    </row>
    <row r="79" spans="1:187" s="6" customFormat="1" x14ac:dyDescent="0.25">
      <c r="A79" s="27" t="s">
        <v>79</v>
      </c>
      <c r="B79" s="28">
        <f t="shared" si="23"/>
        <v>96000</v>
      </c>
      <c r="C79" s="28">
        <f t="shared" si="23"/>
        <v>96000</v>
      </c>
      <c r="D79" s="28">
        <f t="shared" si="23"/>
        <v>0</v>
      </c>
      <c r="E79" s="28">
        <v>0</v>
      </c>
      <c r="F79" s="28">
        <v>0</v>
      </c>
      <c r="G79" s="28">
        <f t="shared" si="24"/>
        <v>0</v>
      </c>
      <c r="H79" s="28"/>
      <c r="I79" s="28"/>
      <c r="J79" s="28">
        <f t="shared" si="25"/>
        <v>0</v>
      </c>
      <c r="K79" s="28">
        <v>0</v>
      </c>
      <c r="L79" s="28">
        <v>0</v>
      </c>
      <c r="M79" s="28">
        <f t="shared" si="26"/>
        <v>0</v>
      </c>
      <c r="N79" s="28"/>
      <c r="O79" s="28"/>
      <c r="P79" s="28">
        <f t="shared" si="27"/>
        <v>0</v>
      </c>
      <c r="Q79" s="28">
        <v>96000</v>
      </c>
      <c r="R79" s="28">
        <v>96000</v>
      </c>
      <c r="S79" s="28">
        <f t="shared" si="28"/>
        <v>0</v>
      </c>
      <c r="T79" s="28"/>
      <c r="U79" s="28"/>
      <c r="V79" s="28">
        <f t="shared" si="29"/>
        <v>0</v>
      </c>
      <c r="W79" s="28"/>
      <c r="X79" s="28"/>
      <c r="Y79" s="28">
        <f t="shared" si="30"/>
        <v>0</v>
      </c>
      <c r="Z79" s="28"/>
      <c r="AA79" s="28"/>
      <c r="AB79" s="28">
        <f t="shared" si="31"/>
        <v>0</v>
      </c>
    </row>
    <row r="80" spans="1:187" s="6" customFormat="1" ht="47.25" x14ac:dyDescent="0.25">
      <c r="A80" s="27" t="s">
        <v>80</v>
      </c>
      <c r="B80" s="28">
        <f t="shared" si="23"/>
        <v>13080</v>
      </c>
      <c r="C80" s="28">
        <f t="shared" si="23"/>
        <v>13080</v>
      </c>
      <c r="D80" s="28">
        <f t="shared" si="23"/>
        <v>0</v>
      </c>
      <c r="E80" s="28">
        <v>0</v>
      </c>
      <c r="F80" s="28">
        <v>0</v>
      </c>
      <c r="G80" s="28">
        <f t="shared" si="24"/>
        <v>0</v>
      </c>
      <c r="H80" s="28">
        <v>13080</v>
      </c>
      <c r="I80" s="28">
        <v>13080</v>
      </c>
      <c r="J80" s="28">
        <f t="shared" si="25"/>
        <v>0</v>
      </c>
      <c r="K80" s="28">
        <v>0</v>
      </c>
      <c r="L80" s="28">
        <v>0</v>
      </c>
      <c r="M80" s="28">
        <f t="shared" si="26"/>
        <v>0</v>
      </c>
      <c r="N80" s="28"/>
      <c r="O80" s="28"/>
      <c r="P80" s="28">
        <f t="shared" si="27"/>
        <v>0</v>
      </c>
      <c r="Q80" s="28"/>
      <c r="R80" s="28"/>
      <c r="S80" s="28">
        <f t="shared" si="28"/>
        <v>0</v>
      </c>
      <c r="T80" s="28"/>
      <c r="U80" s="28"/>
      <c r="V80" s="28">
        <f t="shared" si="29"/>
        <v>0</v>
      </c>
      <c r="W80" s="28"/>
      <c r="X80" s="28"/>
      <c r="Y80" s="28">
        <f t="shared" si="30"/>
        <v>0</v>
      </c>
      <c r="Z80" s="28"/>
      <c r="AA80" s="28"/>
      <c r="AB80" s="28">
        <f t="shared" si="31"/>
        <v>0</v>
      </c>
    </row>
    <row r="81" spans="1:187" s="6" customFormat="1" ht="63" x14ac:dyDescent="0.25">
      <c r="A81" s="35" t="s">
        <v>81</v>
      </c>
      <c r="B81" s="31">
        <f t="shared" si="23"/>
        <v>152264</v>
      </c>
      <c r="C81" s="31">
        <f t="shared" si="23"/>
        <v>152264</v>
      </c>
      <c r="D81" s="31">
        <f t="shared" si="23"/>
        <v>0</v>
      </c>
      <c r="E81" s="31">
        <f>130000+20000</f>
        <v>150000</v>
      </c>
      <c r="F81" s="31">
        <f>130000+20000</f>
        <v>150000</v>
      </c>
      <c r="G81" s="31">
        <f t="shared" si="24"/>
        <v>0</v>
      </c>
      <c r="H81" s="31"/>
      <c r="I81" s="31"/>
      <c r="J81" s="31">
        <f t="shared" si="25"/>
        <v>0</v>
      </c>
      <c r="K81" s="31">
        <v>2264</v>
      </c>
      <c r="L81" s="31">
        <v>2264</v>
      </c>
      <c r="M81" s="31">
        <f t="shared" si="26"/>
        <v>0</v>
      </c>
      <c r="N81" s="31"/>
      <c r="O81" s="31"/>
      <c r="P81" s="31">
        <f t="shared" si="27"/>
        <v>0</v>
      </c>
      <c r="Q81" s="31"/>
      <c r="R81" s="31"/>
      <c r="S81" s="31">
        <f t="shared" si="28"/>
        <v>0</v>
      </c>
      <c r="T81" s="31"/>
      <c r="U81" s="31"/>
      <c r="V81" s="31">
        <f t="shared" si="29"/>
        <v>0</v>
      </c>
      <c r="W81" s="31"/>
      <c r="X81" s="31"/>
      <c r="Y81" s="31">
        <f t="shared" si="30"/>
        <v>0</v>
      </c>
      <c r="Z81" s="31"/>
      <c r="AA81" s="31"/>
      <c r="AB81" s="31">
        <f t="shared" si="31"/>
        <v>0</v>
      </c>
    </row>
    <row r="82" spans="1:187" s="6" customFormat="1" ht="31.5" x14ac:dyDescent="0.25">
      <c r="A82" s="35" t="s">
        <v>82</v>
      </c>
      <c r="B82" s="31">
        <f t="shared" si="23"/>
        <v>53042</v>
      </c>
      <c r="C82" s="31">
        <f t="shared" si="23"/>
        <v>52660</v>
      </c>
      <c r="D82" s="31">
        <f t="shared" si="23"/>
        <v>-382</v>
      </c>
      <c r="E82" s="31">
        <f>51000+2042</f>
        <v>53042</v>
      </c>
      <c r="F82" s="31">
        <f>51000+2042-382</f>
        <v>52660</v>
      </c>
      <c r="G82" s="31">
        <f t="shared" si="24"/>
        <v>-382</v>
      </c>
      <c r="H82" s="31">
        <v>0</v>
      </c>
      <c r="I82" s="31">
        <v>0</v>
      </c>
      <c r="J82" s="31">
        <f t="shared" si="25"/>
        <v>0</v>
      </c>
      <c r="K82" s="31"/>
      <c r="L82" s="31"/>
      <c r="M82" s="31">
        <f t="shared" si="26"/>
        <v>0</v>
      </c>
      <c r="N82" s="31"/>
      <c r="O82" s="31"/>
      <c r="P82" s="31">
        <f t="shared" si="27"/>
        <v>0</v>
      </c>
      <c r="Q82" s="31"/>
      <c r="R82" s="31"/>
      <c r="S82" s="31">
        <f t="shared" si="28"/>
        <v>0</v>
      </c>
      <c r="T82" s="31"/>
      <c r="U82" s="31"/>
      <c r="V82" s="31">
        <f t="shared" si="29"/>
        <v>0</v>
      </c>
      <c r="W82" s="31"/>
      <c r="X82" s="31"/>
      <c r="Y82" s="31">
        <f t="shared" si="30"/>
        <v>0</v>
      </c>
      <c r="Z82" s="31"/>
      <c r="AA82" s="31"/>
      <c r="AB82" s="31">
        <f t="shared" si="31"/>
        <v>0</v>
      </c>
    </row>
    <row r="83" spans="1:187" s="6" customFormat="1" ht="63" x14ac:dyDescent="0.25">
      <c r="A83" s="36" t="s">
        <v>83</v>
      </c>
      <c r="B83" s="31">
        <f t="shared" si="23"/>
        <v>316301</v>
      </c>
      <c r="C83" s="31">
        <f t="shared" si="23"/>
        <v>323303</v>
      </c>
      <c r="D83" s="31">
        <f t="shared" si="23"/>
        <v>7002</v>
      </c>
      <c r="E83" s="31">
        <f>105080</f>
        <v>105080</v>
      </c>
      <c r="F83" s="31">
        <f>105080-550-1134-2104</f>
        <v>101292</v>
      </c>
      <c r="G83" s="31">
        <f t="shared" si="24"/>
        <v>-3788</v>
      </c>
      <c r="H83" s="31">
        <v>0</v>
      </c>
      <c r="I83" s="31">
        <v>0</v>
      </c>
      <c r="J83" s="31">
        <f t="shared" si="25"/>
        <v>0</v>
      </c>
      <c r="K83" s="31">
        <v>0</v>
      </c>
      <c r="L83" s="31">
        <v>0</v>
      </c>
      <c r="M83" s="31">
        <f t="shared" si="26"/>
        <v>0</v>
      </c>
      <c r="N83" s="31">
        <f>316301-105080</f>
        <v>211221</v>
      </c>
      <c r="O83" s="31">
        <f>316301-105080+3238+7552</f>
        <v>222011</v>
      </c>
      <c r="P83" s="31">
        <f t="shared" si="27"/>
        <v>10790</v>
      </c>
      <c r="Q83" s="31"/>
      <c r="R83" s="31"/>
      <c r="S83" s="31">
        <f t="shared" si="28"/>
        <v>0</v>
      </c>
      <c r="T83" s="31"/>
      <c r="U83" s="31"/>
      <c r="V83" s="31">
        <f t="shared" si="29"/>
        <v>0</v>
      </c>
      <c r="W83" s="31"/>
      <c r="X83" s="31"/>
      <c r="Y83" s="31">
        <f t="shared" si="30"/>
        <v>0</v>
      </c>
      <c r="Z83" s="31"/>
      <c r="AA83" s="31"/>
      <c r="AB83" s="31">
        <f t="shared" si="31"/>
        <v>0</v>
      </c>
    </row>
    <row r="84" spans="1:187" s="6" customFormat="1" ht="78.75" x14ac:dyDescent="0.25">
      <c r="A84" s="36" t="s">
        <v>84</v>
      </c>
      <c r="B84" s="31">
        <f t="shared" si="23"/>
        <v>2341644</v>
      </c>
      <c r="C84" s="31">
        <f t="shared" si="23"/>
        <v>2341644</v>
      </c>
      <c r="D84" s="31">
        <f t="shared" si="23"/>
        <v>0</v>
      </c>
      <c r="E84" s="31">
        <v>0</v>
      </c>
      <c r="F84" s="31">
        <v>0</v>
      </c>
      <c r="G84" s="31">
        <f t="shared" si="24"/>
        <v>0</v>
      </c>
      <c r="H84" s="31">
        <v>0</v>
      </c>
      <c r="I84" s="31">
        <v>0</v>
      </c>
      <c r="J84" s="31">
        <f t="shared" si="25"/>
        <v>0</v>
      </c>
      <c r="K84" s="31">
        <v>0</v>
      </c>
      <c r="L84" s="31">
        <v>0</v>
      </c>
      <c r="M84" s="31">
        <f t="shared" si="26"/>
        <v>0</v>
      </c>
      <c r="N84" s="31">
        <v>2341644</v>
      </c>
      <c r="O84" s="31">
        <v>2341644</v>
      </c>
      <c r="P84" s="31">
        <f t="shared" si="27"/>
        <v>0</v>
      </c>
      <c r="Q84" s="31"/>
      <c r="R84" s="31"/>
      <c r="S84" s="31">
        <f t="shared" si="28"/>
        <v>0</v>
      </c>
      <c r="T84" s="31"/>
      <c r="U84" s="31"/>
      <c r="V84" s="31">
        <f t="shared" si="29"/>
        <v>0</v>
      </c>
      <c r="W84" s="31"/>
      <c r="X84" s="31"/>
      <c r="Y84" s="31">
        <f t="shared" si="30"/>
        <v>0</v>
      </c>
      <c r="Z84" s="31"/>
      <c r="AA84" s="31"/>
      <c r="AB84" s="31">
        <f t="shared" si="31"/>
        <v>0</v>
      </c>
    </row>
    <row r="85" spans="1:187" s="6" customFormat="1" x14ac:dyDescent="0.25">
      <c r="A85" s="36" t="s">
        <v>85</v>
      </c>
      <c r="B85" s="31">
        <f t="shared" si="23"/>
        <v>7000</v>
      </c>
      <c r="C85" s="31">
        <f t="shared" si="23"/>
        <v>7000</v>
      </c>
      <c r="D85" s="31">
        <f t="shared" si="23"/>
        <v>0</v>
      </c>
      <c r="E85" s="31">
        <v>0</v>
      </c>
      <c r="F85" s="31">
        <v>0</v>
      </c>
      <c r="G85" s="31">
        <f t="shared" si="24"/>
        <v>0</v>
      </c>
      <c r="H85" s="31">
        <v>0</v>
      </c>
      <c r="I85" s="31">
        <v>0</v>
      </c>
      <c r="J85" s="31">
        <f t="shared" si="25"/>
        <v>0</v>
      </c>
      <c r="K85" s="31">
        <v>7000</v>
      </c>
      <c r="L85" s="31">
        <v>7000</v>
      </c>
      <c r="M85" s="31">
        <f t="shared" si="26"/>
        <v>0</v>
      </c>
      <c r="N85" s="31">
        <v>0</v>
      </c>
      <c r="O85" s="31">
        <v>0</v>
      </c>
      <c r="P85" s="31">
        <f t="shared" si="27"/>
        <v>0</v>
      </c>
      <c r="Q85" s="31"/>
      <c r="R85" s="31"/>
      <c r="S85" s="31">
        <f t="shared" si="28"/>
        <v>0</v>
      </c>
      <c r="T85" s="31"/>
      <c r="U85" s="31"/>
      <c r="V85" s="31">
        <f t="shared" si="29"/>
        <v>0</v>
      </c>
      <c r="W85" s="31"/>
      <c r="X85" s="31"/>
      <c r="Y85" s="31">
        <f t="shared" si="30"/>
        <v>0</v>
      </c>
      <c r="Z85" s="31"/>
      <c r="AA85" s="31"/>
      <c r="AB85" s="31">
        <f t="shared" si="31"/>
        <v>0</v>
      </c>
    </row>
    <row r="86" spans="1:187" s="6" customFormat="1" x14ac:dyDescent="0.25">
      <c r="A86" s="24" t="s">
        <v>86</v>
      </c>
      <c r="B86" s="25">
        <f t="shared" si="23"/>
        <v>4176031</v>
      </c>
      <c r="C86" s="25">
        <f t="shared" si="23"/>
        <v>4176031</v>
      </c>
      <c r="D86" s="25">
        <f t="shared" si="23"/>
        <v>0</v>
      </c>
      <c r="E86" s="25">
        <f>SUM(E87)</f>
        <v>2074347</v>
      </c>
      <c r="F86" s="25">
        <f>SUM(F87)</f>
        <v>2042316</v>
      </c>
      <c r="G86" s="25">
        <f t="shared" si="24"/>
        <v>-32031</v>
      </c>
      <c r="H86" s="25">
        <f>SUM(H87)</f>
        <v>0</v>
      </c>
      <c r="I86" s="25">
        <f>SUM(I87)</f>
        <v>0</v>
      </c>
      <c r="J86" s="25">
        <f t="shared" si="25"/>
        <v>0</v>
      </c>
      <c r="K86" s="25">
        <f>SUM(K87)</f>
        <v>0</v>
      </c>
      <c r="L86" s="25">
        <f>SUM(L87)</f>
        <v>0</v>
      </c>
      <c r="M86" s="25">
        <f t="shared" si="26"/>
        <v>0</v>
      </c>
      <c r="N86" s="25">
        <f>SUM(N87)</f>
        <v>1384648</v>
      </c>
      <c r="O86" s="25">
        <f>SUM(O87)</f>
        <v>1416679</v>
      </c>
      <c r="P86" s="25">
        <f t="shared" si="27"/>
        <v>32031</v>
      </c>
      <c r="Q86" s="25">
        <f>SUM(Q87)</f>
        <v>0</v>
      </c>
      <c r="R86" s="25">
        <f>SUM(R87)</f>
        <v>0</v>
      </c>
      <c r="S86" s="25">
        <f t="shared" si="28"/>
        <v>0</v>
      </c>
      <c r="T86" s="25">
        <f>SUM(T87)</f>
        <v>0</v>
      </c>
      <c r="U86" s="25">
        <f>SUM(U87)</f>
        <v>0</v>
      </c>
      <c r="V86" s="25">
        <f t="shared" si="29"/>
        <v>0</v>
      </c>
      <c r="W86" s="25">
        <f>SUM(W87)</f>
        <v>0</v>
      </c>
      <c r="X86" s="25">
        <f>SUM(X87)</f>
        <v>0</v>
      </c>
      <c r="Y86" s="25">
        <f t="shared" si="30"/>
        <v>0</v>
      </c>
      <c r="Z86" s="25">
        <f>SUM(Z87)</f>
        <v>717036</v>
      </c>
      <c r="AA86" s="25">
        <f>SUM(AA87)</f>
        <v>717036</v>
      </c>
      <c r="AB86" s="25">
        <f t="shared" si="31"/>
        <v>0</v>
      </c>
    </row>
    <row r="87" spans="1:187" s="6" customFormat="1" x14ac:dyDescent="0.25">
      <c r="A87" s="24" t="s">
        <v>18</v>
      </c>
      <c r="B87" s="25">
        <f t="shared" si="23"/>
        <v>4176031</v>
      </c>
      <c r="C87" s="25">
        <f t="shared" si="23"/>
        <v>4176031</v>
      </c>
      <c r="D87" s="25">
        <f t="shared" si="23"/>
        <v>0</v>
      </c>
      <c r="E87" s="25">
        <f>SUM(E88:E89)</f>
        <v>2074347</v>
      </c>
      <c r="F87" s="25">
        <f>SUM(F88:F89)</f>
        <v>2042316</v>
      </c>
      <c r="G87" s="25">
        <f t="shared" si="24"/>
        <v>-32031</v>
      </c>
      <c r="H87" s="25">
        <f>SUM(H88:H89)</f>
        <v>0</v>
      </c>
      <c r="I87" s="25">
        <f>SUM(I88:I89)</f>
        <v>0</v>
      </c>
      <c r="J87" s="25">
        <f t="shared" si="25"/>
        <v>0</v>
      </c>
      <c r="K87" s="25">
        <f>SUM(K88:K89)</f>
        <v>0</v>
      </c>
      <c r="L87" s="25">
        <f>SUM(L88:L89)</f>
        <v>0</v>
      </c>
      <c r="M87" s="25">
        <f t="shared" si="26"/>
        <v>0</v>
      </c>
      <c r="N87" s="25">
        <f>SUM(N88:N89)</f>
        <v>1384648</v>
      </c>
      <c r="O87" s="25">
        <f>SUM(O88:O89)</f>
        <v>1416679</v>
      </c>
      <c r="P87" s="25">
        <f t="shared" si="27"/>
        <v>32031</v>
      </c>
      <c r="Q87" s="25">
        <f>SUM(Q88:Q89)</f>
        <v>0</v>
      </c>
      <c r="R87" s="25">
        <f>SUM(R88:R89)</f>
        <v>0</v>
      </c>
      <c r="S87" s="25">
        <f t="shared" si="28"/>
        <v>0</v>
      </c>
      <c r="T87" s="25">
        <f>SUM(T88:T89)</f>
        <v>0</v>
      </c>
      <c r="U87" s="25">
        <f>SUM(U88:U89)</f>
        <v>0</v>
      </c>
      <c r="V87" s="25">
        <f t="shared" si="29"/>
        <v>0</v>
      </c>
      <c r="W87" s="25">
        <f>SUM(W88:W89)</f>
        <v>0</v>
      </c>
      <c r="X87" s="25">
        <f>SUM(X88:X89)</f>
        <v>0</v>
      </c>
      <c r="Y87" s="25">
        <f t="shared" si="30"/>
        <v>0</v>
      </c>
      <c r="Z87" s="25">
        <f>SUM(Z88:Z89)</f>
        <v>717036</v>
      </c>
      <c r="AA87" s="25">
        <f>SUM(AA88:AA89)</f>
        <v>717036</v>
      </c>
      <c r="AB87" s="25">
        <f t="shared" si="31"/>
        <v>0</v>
      </c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</row>
    <row r="88" spans="1:187" s="6" customFormat="1" ht="47.25" x14ac:dyDescent="0.25">
      <c r="A88" s="30" t="s">
        <v>87</v>
      </c>
      <c r="B88" s="31">
        <f t="shared" si="23"/>
        <v>1908860</v>
      </c>
      <c r="C88" s="31">
        <f t="shared" si="23"/>
        <v>1908860</v>
      </c>
      <c r="D88" s="31">
        <f t="shared" si="23"/>
        <v>0</v>
      </c>
      <c r="E88" s="31">
        <f>1032700+876160</f>
        <v>1908860</v>
      </c>
      <c r="F88" s="31">
        <f>1032700+876160</f>
        <v>1908860</v>
      </c>
      <c r="G88" s="31">
        <f t="shared" si="24"/>
        <v>0</v>
      </c>
      <c r="H88" s="31"/>
      <c r="I88" s="31"/>
      <c r="J88" s="31">
        <f t="shared" si="25"/>
        <v>0</v>
      </c>
      <c r="K88" s="31"/>
      <c r="L88" s="31"/>
      <c r="M88" s="31">
        <f t="shared" si="26"/>
        <v>0</v>
      </c>
      <c r="N88" s="31"/>
      <c r="O88" s="31"/>
      <c r="P88" s="31">
        <f t="shared" si="27"/>
        <v>0</v>
      </c>
      <c r="Q88" s="31"/>
      <c r="R88" s="31"/>
      <c r="S88" s="31">
        <f t="shared" si="28"/>
        <v>0</v>
      </c>
      <c r="T88" s="31"/>
      <c r="U88" s="31"/>
      <c r="V88" s="31">
        <f t="shared" si="29"/>
        <v>0</v>
      </c>
      <c r="W88" s="31"/>
      <c r="X88" s="31"/>
      <c r="Y88" s="31">
        <f t="shared" si="30"/>
        <v>0</v>
      </c>
      <c r="Z88" s="31">
        <v>0</v>
      </c>
      <c r="AA88" s="31">
        <v>0</v>
      </c>
      <c r="AB88" s="31">
        <f t="shared" si="31"/>
        <v>0</v>
      </c>
    </row>
    <row r="89" spans="1:187" s="6" customFormat="1" ht="94.5" x14ac:dyDescent="0.25">
      <c r="A89" s="30" t="s">
        <v>88</v>
      </c>
      <c r="B89" s="31">
        <f t="shared" si="23"/>
        <v>2267171</v>
      </c>
      <c r="C89" s="31">
        <f t="shared" si="23"/>
        <v>2267171</v>
      </c>
      <c r="D89" s="31">
        <f t="shared" si="23"/>
        <v>0</v>
      </c>
      <c r="E89" s="31">
        <v>165487</v>
      </c>
      <c r="F89" s="31">
        <f>165487-32031</f>
        <v>133456</v>
      </c>
      <c r="G89" s="31">
        <f t="shared" si="24"/>
        <v>-32031</v>
      </c>
      <c r="H89" s="31">
        <v>0</v>
      </c>
      <c r="I89" s="31">
        <v>0</v>
      </c>
      <c r="J89" s="31">
        <f t="shared" si="25"/>
        <v>0</v>
      </c>
      <c r="K89" s="31">
        <v>0</v>
      </c>
      <c r="L89" s="31">
        <v>0</v>
      </c>
      <c r="M89" s="31">
        <f t="shared" si="26"/>
        <v>0</v>
      </c>
      <c r="N89" s="31">
        <f>2398071-105080-876160-33440-130900+194513-62356</f>
        <v>1384648</v>
      </c>
      <c r="O89" s="31">
        <f>2398071-105080-876160-33440-130900+194513-62356+32031</f>
        <v>1416679</v>
      </c>
      <c r="P89" s="31">
        <f t="shared" si="27"/>
        <v>32031</v>
      </c>
      <c r="Q89" s="31"/>
      <c r="R89" s="31"/>
      <c r="S89" s="31">
        <f t="shared" si="28"/>
        <v>0</v>
      </c>
      <c r="T89" s="31"/>
      <c r="U89" s="31"/>
      <c r="V89" s="31">
        <f t="shared" si="29"/>
        <v>0</v>
      </c>
      <c r="W89" s="31"/>
      <c r="X89" s="31"/>
      <c r="Y89" s="31">
        <f t="shared" si="30"/>
        <v>0</v>
      </c>
      <c r="Z89" s="31">
        <f>105080+876160+33440-360000+62356</f>
        <v>717036</v>
      </c>
      <c r="AA89" s="31">
        <f>105080+876160+33440-360000+62356</f>
        <v>717036</v>
      </c>
      <c r="AB89" s="31">
        <f t="shared" si="31"/>
        <v>0</v>
      </c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</row>
    <row r="90" spans="1:187" s="6" customFormat="1" x14ac:dyDescent="0.25">
      <c r="A90" s="24" t="s">
        <v>89</v>
      </c>
      <c r="B90" s="25">
        <f t="shared" si="23"/>
        <v>22544950</v>
      </c>
      <c r="C90" s="25">
        <f t="shared" si="23"/>
        <v>25259316</v>
      </c>
      <c r="D90" s="25">
        <f t="shared" si="23"/>
        <v>2714366</v>
      </c>
      <c r="E90" s="25">
        <f>SUM(E91,E106,E118,E195,E245,E288,E317,E176)</f>
        <v>574185</v>
      </c>
      <c r="F90" s="25">
        <f>SUM(F91,F106,F118,F195,F245,F288,F317,F176)</f>
        <v>622383</v>
      </c>
      <c r="G90" s="25">
        <f t="shared" si="24"/>
        <v>48198</v>
      </c>
      <c r="H90" s="25">
        <f>SUM(H91,H106,H118,H195,H245,H288,H317,H176)</f>
        <v>31336</v>
      </c>
      <c r="I90" s="25">
        <f>SUM(I91,I106,I118,I195,I245,I288,I317,I176)</f>
        <v>31336</v>
      </c>
      <c r="J90" s="25">
        <f t="shared" si="25"/>
        <v>0</v>
      </c>
      <c r="K90" s="25">
        <f>SUM(K91,K106,K118,K195,K245,K288,K317,K176)</f>
        <v>1345597</v>
      </c>
      <c r="L90" s="25">
        <f>SUM(L91,L106,L118,L195,L245,L288,L317,L176)</f>
        <v>1757672</v>
      </c>
      <c r="M90" s="25">
        <f t="shared" si="26"/>
        <v>412075</v>
      </c>
      <c r="N90" s="25">
        <f>SUM(N91,N106,N118,N195,N245,N288,N317,N176)</f>
        <v>11169871</v>
      </c>
      <c r="O90" s="25">
        <f>SUM(O91,O106,O118,O195,O245,O288,O317,O176)</f>
        <v>11149661</v>
      </c>
      <c r="P90" s="25">
        <f t="shared" si="27"/>
        <v>-20210</v>
      </c>
      <c r="Q90" s="25">
        <f>SUM(Q91,Q106,Q118,Q195,Q245,Q288,Q317,Q176)</f>
        <v>714687</v>
      </c>
      <c r="R90" s="25">
        <f>SUM(R91,R106,R118,R195,R245,R288,R317,R176)</f>
        <v>457671</v>
      </c>
      <c r="S90" s="25">
        <f t="shared" si="28"/>
        <v>-257016</v>
      </c>
      <c r="T90" s="25">
        <f>SUM(T91,T106,T118,T195,T245,T288,T317,T176)</f>
        <v>5063216</v>
      </c>
      <c r="U90" s="25">
        <f>SUM(U91,U106,U118,U195,U245,U288,U317,U176)</f>
        <v>5071568</v>
      </c>
      <c r="V90" s="25">
        <f t="shared" si="29"/>
        <v>8352</v>
      </c>
      <c r="W90" s="25">
        <f>SUM(W91,W106,W118,W195,W245,W288,W317,W176)</f>
        <v>30314</v>
      </c>
      <c r="X90" s="25">
        <f>SUM(X91,X106,X118,X195,X245,X288,X317,X176)</f>
        <v>565531</v>
      </c>
      <c r="Y90" s="25">
        <f t="shared" si="30"/>
        <v>535217</v>
      </c>
      <c r="Z90" s="25">
        <f>SUM(Z91,Z106,Z118,Z195,Z245,Z288,Z317,Z176)</f>
        <v>3615744</v>
      </c>
      <c r="AA90" s="25">
        <f>SUM(AA91,AA106,AA118,AA195,AA245,AA288,AA317,AA176)</f>
        <v>5603494</v>
      </c>
      <c r="AB90" s="25">
        <f t="shared" si="31"/>
        <v>1987750</v>
      </c>
    </row>
    <row r="91" spans="1:187" s="6" customFormat="1" x14ac:dyDescent="0.25">
      <c r="A91" s="24" t="s">
        <v>17</v>
      </c>
      <c r="B91" s="25">
        <f t="shared" si="23"/>
        <v>363762</v>
      </c>
      <c r="C91" s="25">
        <f t="shared" si="23"/>
        <v>412127</v>
      </c>
      <c r="D91" s="25">
        <f t="shared" si="23"/>
        <v>48365</v>
      </c>
      <c r="E91" s="25">
        <f>SUM(E92,E97,E99,E104)</f>
        <v>239800</v>
      </c>
      <c r="F91" s="25">
        <f>SUM(F92,F97,F99,F104)</f>
        <v>265449</v>
      </c>
      <c r="G91" s="25">
        <f t="shared" si="24"/>
        <v>25649</v>
      </c>
      <c r="H91" s="25">
        <f>SUM(H92,H97,H99,H104)</f>
        <v>0</v>
      </c>
      <c r="I91" s="25">
        <f>SUM(I92,I97,I99,I104)</f>
        <v>0</v>
      </c>
      <c r="J91" s="25">
        <f t="shared" si="25"/>
        <v>0</v>
      </c>
      <c r="K91" s="25">
        <f>SUM(K92,K97,K99,K104)</f>
        <v>79818</v>
      </c>
      <c r="L91" s="25">
        <f>SUM(L92,L97,L99,L104)</f>
        <v>102534</v>
      </c>
      <c r="M91" s="25">
        <f t="shared" si="26"/>
        <v>22716</v>
      </c>
      <c r="N91" s="25">
        <f>SUM(N92,N97,N99,N104)</f>
        <v>0</v>
      </c>
      <c r="O91" s="25">
        <f>SUM(O92,O97,O99,O104)</f>
        <v>0</v>
      </c>
      <c r="P91" s="25">
        <f t="shared" si="27"/>
        <v>0</v>
      </c>
      <c r="Q91" s="25">
        <f>SUM(Q92,Q97,Q99,Q104)</f>
        <v>0</v>
      </c>
      <c r="R91" s="25">
        <f>SUM(R92,R97,R99,R104)</f>
        <v>0</v>
      </c>
      <c r="S91" s="25">
        <f t="shared" si="28"/>
        <v>0</v>
      </c>
      <c r="T91" s="25">
        <f>SUM(T92,T97,T99,T104)</f>
        <v>0</v>
      </c>
      <c r="U91" s="25">
        <f>SUM(U92,U97,U99,U104)</f>
        <v>0</v>
      </c>
      <c r="V91" s="25">
        <f t="shared" si="29"/>
        <v>0</v>
      </c>
      <c r="W91" s="25">
        <f>SUM(W92,W97,W99,W104)</f>
        <v>0</v>
      </c>
      <c r="X91" s="25">
        <f>SUM(X92,X97,X99,X104)</f>
        <v>0</v>
      </c>
      <c r="Y91" s="25">
        <f t="shared" si="30"/>
        <v>0</v>
      </c>
      <c r="Z91" s="25">
        <f>SUM(Z92,Z97,Z99,Z104)</f>
        <v>44144</v>
      </c>
      <c r="AA91" s="25">
        <f>SUM(AA92,AA97,AA99,AA104)</f>
        <v>44144</v>
      </c>
      <c r="AB91" s="25">
        <f t="shared" si="31"/>
        <v>0</v>
      </c>
    </row>
    <row r="92" spans="1:187" s="6" customFormat="1" x14ac:dyDescent="0.25">
      <c r="A92" s="24" t="s">
        <v>90</v>
      </c>
      <c r="B92" s="25">
        <f t="shared" si="23"/>
        <v>21819</v>
      </c>
      <c r="C92" s="25">
        <f t="shared" si="23"/>
        <v>24535</v>
      </c>
      <c r="D92" s="25">
        <f t="shared" si="23"/>
        <v>2716</v>
      </c>
      <c r="E92" s="25">
        <f>SUM(E93:E96)</f>
        <v>0</v>
      </c>
      <c r="F92" s="25">
        <f>SUM(F93:F96)</f>
        <v>0</v>
      </c>
      <c r="G92" s="25">
        <f t="shared" si="24"/>
        <v>0</v>
      </c>
      <c r="H92" s="25">
        <f>SUM(H93:H96)</f>
        <v>0</v>
      </c>
      <c r="I92" s="25">
        <f>SUM(I93:I96)</f>
        <v>0</v>
      </c>
      <c r="J92" s="25">
        <f t="shared" si="25"/>
        <v>0</v>
      </c>
      <c r="K92" s="25">
        <f>SUM(K93:K96)</f>
        <v>21819</v>
      </c>
      <c r="L92" s="25">
        <f>SUM(L93:L96)</f>
        <v>24535</v>
      </c>
      <c r="M92" s="25">
        <f t="shared" si="26"/>
        <v>2716</v>
      </c>
      <c r="N92" s="25">
        <f>SUM(N93:N96)</f>
        <v>0</v>
      </c>
      <c r="O92" s="25">
        <f>SUM(O93:O96)</f>
        <v>0</v>
      </c>
      <c r="P92" s="25">
        <f t="shared" si="27"/>
        <v>0</v>
      </c>
      <c r="Q92" s="25">
        <f>SUM(Q93:Q96)</f>
        <v>0</v>
      </c>
      <c r="R92" s="25">
        <f>SUM(R93:R96)</f>
        <v>0</v>
      </c>
      <c r="S92" s="25">
        <f t="shared" si="28"/>
        <v>0</v>
      </c>
      <c r="T92" s="25">
        <f>SUM(T93:T96)</f>
        <v>0</v>
      </c>
      <c r="U92" s="25">
        <f>SUM(U93:U96)</f>
        <v>0</v>
      </c>
      <c r="V92" s="25">
        <f t="shared" si="29"/>
        <v>0</v>
      </c>
      <c r="W92" s="25">
        <f>SUM(W93:W96)</f>
        <v>0</v>
      </c>
      <c r="X92" s="25">
        <f>SUM(X93:X96)</f>
        <v>0</v>
      </c>
      <c r="Y92" s="25">
        <f t="shared" si="30"/>
        <v>0</v>
      </c>
      <c r="Z92" s="25">
        <f>SUM(Z93:Z96)</f>
        <v>0</v>
      </c>
      <c r="AA92" s="25">
        <f>SUM(AA93:AA96)</f>
        <v>0</v>
      </c>
      <c r="AB92" s="25">
        <f t="shared" si="31"/>
        <v>0</v>
      </c>
    </row>
    <row r="93" spans="1:187" s="6" customFormat="1" x14ac:dyDescent="0.25">
      <c r="A93" s="30" t="s">
        <v>91</v>
      </c>
      <c r="B93" s="31">
        <f t="shared" si="23"/>
        <v>20000</v>
      </c>
      <c r="C93" s="31">
        <f t="shared" si="23"/>
        <v>20000</v>
      </c>
      <c r="D93" s="31">
        <f t="shared" si="23"/>
        <v>0</v>
      </c>
      <c r="E93" s="31">
        <v>0</v>
      </c>
      <c r="F93" s="31">
        <v>0</v>
      </c>
      <c r="G93" s="31">
        <f t="shared" si="24"/>
        <v>0</v>
      </c>
      <c r="H93" s="31"/>
      <c r="I93" s="31"/>
      <c r="J93" s="31">
        <f t="shared" si="25"/>
        <v>0</v>
      </c>
      <c r="K93" s="31">
        <v>20000</v>
      </c>
      <c r="L93" s="31">
        <v>20000</v>
      </c>
      <c r="M93" s="31">
        <f t="shared" si="26"/>
        <v>0</v>
      </c>
      <c r="N93" s="31"/>
      <c r="O93" s="31"/>
      <c r="P93" s="31">
        <f t="shared" si="27"/>
        <v>0</v>
      </c>
      <c r="Q93" s="31"/>
      <c r="R93" s="31"/>
      <c r="S93" s="31">
        <f t="shared" si="28"/>
        <v>0</v>
      </c>
      <c r="T93" s="31"/>
      <c r="U93" s="31"/>
      <c r="V93" s="31">
        <f t="shared" si="29"/>
        <v>0</v>
      </c>
      <c r="W93" s="31"/>
      <c r="X93" s="31"/>
      <c r="Y93" s="31">
        <f t="shared" si="30"/>
        <v>0</v>
      </c>
      <c r="Z93" s="31"/>
      <c r="AA93" s="31"/>
      <c r="AB93" s="31">
        <f t="shared" si="31"/>
        <v>0</v>
      </c>
    </row>
    <row r="94" spans="1:187" s="6" customFormat="1" x14ac:dyDescent="0.25">
      <c r="A94" s="37" t="s">
        <v>92</v>
      </c>
      <c r="B94" s="31">
        <f t="shared" si="23"/>
        <v>940</v>
      </c>
      <c r="C94" s="31">
        <f t="shared" si="23"/>
        <v>940</v>
      </c>
      <c r="D94" s="31">
        <f t="shared" si="23"/>
        <v>0</v>
      </c>
      <c r="E94" s="31">
        <v>0</v>
      </c>
      <c r="F94" s="31">
        <v>0</v>
      </c>
      <c r="G94" s="31">
        <f t="shared" si="24"/>
        <v>0</v>
      </c>
      <c r="H94" s="31">
        <v>0</v>
      </c>
      <c r="I94" s="31">
        <v>0</v>
      </c>
      <c r="J94" s="31">
        <f t="shared" si="25"/>
        <v>0</v>
      </c>
      <c r="K94" s="31">
        <f>1680-740</f>
        <v>940</v>
      </c>
      <c r="L94" s="31">
        <f>1680-740</f>
        <v>940</v>
      </c>
      <c r="M94" s="31">
        <f t="shared" si="26"/>
        <v>0</v>
      </c>
      <c r="N94" s="31"/>
      <c r="O94" s="31"/>
      <c r="P94" s="31">
        <f t="shared" si="27"/>
        <v>0</v>
      </c>
      <c r="Q94" s="31"/>
      <c r="R94" s="31"/>
      <c r="S94" s="31">
        <f t="shared" si="28"/>
        <v>0</v>
      </c>
      <c r="T94" s="31"/>
      <c r="U94" s="31"/>
      <c r="V94" s="31">
        <f t="shared" si="29"/>
        <v>0</v>
      </c>
      <c r="W94" s="31"/>
      <c r="X94" s="31"/>
      <c r="Y94" s="31">
        <f t="shared" si="30"/>
        <v>0</v>
      </c>
      <c r="Z94" s="31"/>
      <c r="AA94" s="31"/>
      <c r="AB94" s="31">
        <f t="shared" si="31"/>
        <v>0</v>
      </c>
    </row>
    <row r="95" spans="1:187" s="6" customFormat="1" x14ac:dyDescent="0.25">
      <c r="A95" s="37" t="s">
        <v>93</v>
      </c>
      <c r="B95" s="31">
        <f t="shared" si="23"/>
        <v>0</v>
      </c>
      <c r="C95" s="31">
        <f t="shared" si="23"/>
        <v>2716</v>
      </c>
      <c r="D95" s="31">
        <f t="shared" si="23"/>
        <v>2716</v>
      </c>
      <c r="E95" s="31">
        <v>0</v>
      </c>
      <c r="F95" s="31">
        <v>0</v>
      </c>
      <c r="G95" s="31">
        <f t="shared" si="24"/>
        <v>0</v>
      </c>
      <c r="H95" s="31">
        <v>0</v>
      </c>
      <c r="I95" s="31">
        <v>0</v>
      </c>
      <c r="J95" s="31">
        <f t="shared" si="25"/>
        <v>0</v>
      </c>
      <c r="K95" s="31"/>
      <c r="L95" s="31">
        <v>2716</v>
      </c>
      <c r="M95" s="31">
        <f t="shared" si="26"/>
        <v>2716</v>
      </c>
      <c r="N95" s="31"/>
      <c r="O95" s="31"/>
      <c r="P95" s="31">
        <f t="shared" si="27"/>
        <v>0</v>
      </c>
      <c r="Q95" s="31"/>
      <c r="R95" s="31"/>
      <c r="S95" s="31">
        <f t="shared" si="28"/>
        <v>0</v>
      </c>
      <c r="T95" s="31"/>
      <c r="U95" s="31"/>
      <c r="V95" s="31">
        <f t="shared" si="29"/>
        <v>0</v>
      </c>
      <c r="W95" s="31"/>
      <c r="X95" s="31"/>
      <c r="Y95" s="31">
        <f t="shared" si="30"/>
        <v>0</v>
      </c>
      <c r="Z95" s="31"/>
      <c r="AA95" s="31"/>
      <c r="AB95" s="31">
        <f t="shared" si="31"/>
        <v>0</v>
      </c>
    </row>
    <row r="96" spans="1:187" s="6" customFormat="1" ht="31.5" x14ac:dyDescent="0.25">
      <c r="A96" s="37" t="s">
        <v>94</v>
      </c>
      <c r="B96" s="31">
        <f t="shared" si="23"/>
        <v>879</v>
      </c>
      <c r="C96" s="31">
        <f t="shared" si="23"/>
        <v>879</v>
      </c>
      <c r="D96" s="31">
        <f t="shared" si="23"/>
        <v>0</v>
      </c>
      <c r="E96" s="31">
        <v>0</v>
      </c>
      <c r="F96" s="31">
        <v>0</v>
      </c>
      <c r="G96" s="31">
        <f t="shared" si="24"/>
        <v>0</v>
      </c>
      <c r="H96" s="31">
        <v>0</v>
      </c>
      <c r="I96" s="31">
        <v>0</v>
      </c>
      <c r="J96" s="31">
        <f t="shared" si="25"/>
        <v>0</v>
      </c>
      <c r="K96" s="31">
        <v>879</v>
      </c>
      <c r="L96" s="31">
        <v>879</v>
      </c>
      <c r="M96" s="31">
        <f t="shared" si="26"/>
        <v>0</v>
      </c>
      <c r="N96" s="31"/>
      <c r="O96" s="31"/>
      <c r="P96" s="31">
        <f t="shared" si="27"/>
        <v>0</v>
      </c>
      <c r="Q96" s="31"/>
      <c r="R96" s="31"/>
      <c r="S96" s="31">
        <f t="shared" si="28"/>
        <v>0</v>
      </c>
      <c r="T96" s="31"/>
      <c r="U96" s="31"/>
      <c r="V96" s="31">
        <f t="shared" si="29"/>
        <v>0</v>
      </c>
      <c r="W96" s="31"/>
      <c r="X96" s="31"/>
      <c r="Y96" s="31">
        <f t="shared" si="30"/>
        <v>0</v>
      </c>
      <c r="Z96" s="31"/>
      <c r="AA96" s="31"/>
      <c r="AB96" s="31">
        <f t="shared" si="31"/>
        <v>0</v>
      </c>
    </row>
    <row r="97" spans="1:187" s="23" customFormat="1" x14ac:dyDescent="0.25">
      <c r="A97" s="24" t="s">
        <v>95</v>
      </c>
      <c r="B97" s="25">
        <f t="shared" si="23"/>
        <v>44144</v>
      </c>
      <c r="C97" s="25">
        <f t="shared" si="23"/>
        <v>44144</v>
      </c>
      <c r="D97" s="25">
        <f t="shared" si="23"/>
        <v>0</v>
      </c>
      <c r="E97" s="25">
        <f>SUM(E98:E98)</f>
        <v>0</v>
      </c>
      <c r="F97" s="25">
        <f>SUM(F98:F98)</f>
        <v>0</v>
      </c>
      <c r="G97" s="25">
        <f t="shared" si="24"/>
        <v>0</v>
      </c>
      <c r="H97" s="25">
        <f>SUM(H98:H98)</f>
        <v>0</v>
      </c>
      <c r="I97" s="25">
        <f>SUM(I98:I98)</f>
        <v>0</v>
      </c>
      <c r="J97" s="25">
        <f t="shared" si="25"/>
        <v>0</v>
      </c>
      <c r="K97" s="25">
        <f>SUM(K98:K98)</f>
        <v>0</v>
      </c>
      <c r="L97" s="25">
        <f>SUM(L98:L98)</f>
        <v>0</v>
      </c>
      <c r="M97" s="25">
        <f t="shared" si="26"/>
        <v>0</v>
      </c>
      <c r="N97" s="25">
        <f>SUM(N98:N98)</f>
        <v>0</v>
      </c>
      <c r="O97" s="25">
        <f>SUM(O98:O98)</f>
        <v>0</v>
      </c>
      <c r="P97" s="25">
        <f t="shared" si="27"/>
        <v>0</v>
      </c>
      <c r="Q97" s="25">
        <f>SUM(Q98:Q98)</f>
        <v>0</v>
      </c>
      <c r="R97" s="25">
        <f>SUM(R98:R98)</f>
        <v>0</v>
      </c>
      <c r="S97" s="25">
        <f t="shared" si="28"/>
        <v>0</v>
      </c>
      <c r="T97" s="25">
        <f>SUM(T98:T98)</f>
        <v>0</v>
      </c>
      <c r="U97" s="25">
        <f>SUM(U98:U98)</f>
        <v>0</v>
      </c>
      <c r="V97" s="25">
        <f t="shared" si="29"/>
        <v>0</v>
      </c>
      <c r="W97" s="25">
        <f>SUM(W98:W98)</f>
        <v>0</v>
      </c>
      <c r="X97" s="25">
        <f>SUM(X98:X98)</f>
        <v>0</v>
      </c>
      <c r="Y97" s="25">
        <f t="shared" si="30"/>
        <v>0</v>
      </c>
      <c r="Z97" s="25">
        <f>SUM(Z98:Z98)</f>
        <v>44144</v>
      </c>
      <c r="AA97" s="25">
        <f>SUM(AA98:AA98)</f>
        <v>44144</v>
      </c>
      <c r="AB97" s="25">
        <f t="shared" si="31"/>
        <v>0</v>
      </c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</row>
    <row r="98" spans="1:187" s="6" customFormat="1" ht="47.25" x14ac:dyDescent="0.25">
      <c r="A98" s="35" t="s">
        <v>96</v>
      </c>
      <c r="B98" s="31">
        <f t="shared" si="23"/>
        <v>44144</v>
      </c>
      <c r="C98" s="31">
        <f t="shared" si="23"/>
        <v>44144</v>
      </c>
      <c r="D98" s="31">
        <f t="shared" si="23"/>
        <v>0</v>
      </c>
      <c r="E98" s="31">
        <v>0</v>
      </c>
      <c r="F98" s="31">
        <v>0</v>
      </c>
      <c r="G98" s="31">
        <f t="shared" si="24"/>
        <v>0</v>
      </c>
      <c r="H98" s="31"/>
      <c r="I98" s="31"/>
      <c r="J98" s="31">
        <f t="shared" si="25"/>
        <v>0</v>
      </c>
      <c r="K98" s="31"/>
      <c r="L98" s="31"/>
      <c r="M98" s="31">
        <f t="shared" si="26"/>
        <v>0</v>
      </c>
      <c r="N98" s="31"/>
      <c r="O98" s="31"/>
      <c r="P98" s="31">
        <f t="shared" si="27"/>
        <v>0</v>
      </c>
      <c r="Q98" s="31"/>
      <c r="R98" s="31"/>
      <c r="S98" s="31">
        <f t="shared" si="28"/>
        <v>0</v>
      </c>
      <c r="T98" s="31"/>
      <c r="U98" s="31"/>
      <c r="V98" s="31">
        <f t="shared" si="29"/>
        <v>0</v>
      </c>
      <c r="W98" s="31"/>
      <c r="X98" s="31"/>
      <c r="Y98" s="31">
        <f t="shared" si="30"/>
        <v>0</v>
      </c>
      <c r="Z98" s="31">
        <v>44144</v>
      </c>
      <c r="AA98" s="31">
        <v>44144</v>
      </c>
      <c r="AB98" s="31">
        <f t="shared" si="31"/>
        <v>0</v>
      </c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</row>
    <row r="99" spans="1:187" s="6" customFormat="1" ht="31.5" x14ac:dyDescent="0.25">
      <c r="A99" s="24" t="s">
        <v>97</v>
      </c>
      <c r="B99" s="25">
        <f t="shared" si="23"/>
        <v>261899</v>
      </c>
      <c r="C99" s="25">
        <f t="shared" si="23"/>
        <v>307548</v>
      </c>
      <c r="D99" s="25">
        <f t="shared" si="23"/>
        <v>45649</v>
      </c>
      <c r="E99" s="25">
        <f>SUM(E100:E103)</f>
        <v>239800</v>
      </c>
      <c r="F99" s="25">
        <f>SUM(F100:F103)</f>
        <v>265449</v>
      </c>
      <c r="G99" s="25">
        <f t="shared" si="24"/>
        <v>25649</v>
      </c>
      <c r="H99" s="25">
        <f>SUM(H100:H103)</f>
        <v>0</v>
      </c>
      <c r="I99" s="25">
        <f>SUM(I100:I103)</f>
        <v>0</v>
      </c>
      <c r="J99" s="25">
        <f t="shared" si="25"/>
        <v>0</v>
      </c>
      <c r="K99" s="25">
        <f>SUM(K100:K103)</f>
        <v>22099</v>
      </c>
      <c r="L99" s="25">
        <f>SUM(L100:L103)</f>
        <v>42099</v>
      </c>
      <c r="M99" s="25">
        <f t="shared" si="26"/>
        <v>20000</v>
      </c>
      <c r="N99" s="25">
        <f>SUM(N100:N103)</f>
        <v>0</v>
      </c>
      <c r="O99" s="25">
        <f>SUM(O100:O103)</f>
        <v>0</v>
      </c>
      <c r="P99" s="25">
        <f t="shared" si="27"/>
        <v>0</v>
      </c>
      <c r="Q99" s="25">
        <f>SUM(Q100:Q103)</f>
        <v>0</v>
      </c>
      <c r="R99" s="25">
        <f>SUM(R100:R103)</f>
        <v>0</v>
      </c>
      <c r="S99" s="25">
        <f t="shared" si="28"/>
        <v>0</v>
      </c>
      <c r="T99" s="25">
        <f>SUM(T100:T103)</f>
        <v>0</v>
      </c>
      <c r="U99" s="25">
        <f>SUM(U100:U103)</f>
        <v>0</v>
      </c>
      <c r="V99" s="25">
        <f t="shared" si="29"/>
        <v>0</v>
      </c>
      <c r="W99" s="25">
        <f>SUM(W100:W103)</f>
        <v>0</v>
      </c>
      <c r="X99" s="25">
        <f>SUM(X100:X103)</f>
        <v>0</v>
      </c>
      <c r="Y99" s="25">
        <f t="shared" si="30"/>
        <v>0</v>
      </c>
      <c r="Z99" s="25">
        <f>SUM(Z100:Z103)</f>
        <v>0</v>
      </c>
      <c r="AA99" s="25">
        <f>SUM(AA100:AA103)</f>
        <v>0</v>
      </c>
      <c r="AB99" s="25">
        <f t="shared" si="31"/>
        <v>0</v>
      </c>
    </row>
    <row r="100" spans="1:187" s="6" customFormat="1" ht="47.25" x14ac:dyDescent="0.25">
      <c r="A100" s="37" t="s">
        <v>98</v>
      </c>
      <c r="B100" s="31">
        <f t="shared" si="23"/>
        <v>239800</v>
      </c>
      <c r="C100" s="31">
        <f t="shared" si="23"/>
        <v>212312</v>
      </c>
      <c r="D100" s="31">
        <f t="shared" si="23"/>
        <v>-27488</v>
      </c>
      <c r="E100" s="31">
        <v>239800</v>
      </c>
      <c r="F100" s="31">
        <f>239800-27488</f>
        <v>212312</v>
      </c>
      <c r="G100" s="31">
        <f t="shared" si="24"/>
        <v>-27488</v>
      </c>
      <c r="H100" s="31">
        <f>5788-5788</f>
        <v>0</v>
      </c>
      <c r="I100" s="31">
        <f>5788-5788</f>
        <v>0</v>
      </c>
      <c r="J100" s="31">
        <f t="shared" si="25"/>
        <v>0</v>
      </c>
      <c r="K100" s="31">
        <v>0</v>
      </c>
      <c r="L100" s="31">
        <v>0</v>
      </c>
      <c r="M100" s="31">
        <f t="shared" si="26"/>
        <v>0</v>
      </c>
      <c r="N100" s="31"/>
      <c r="O100" s="31"/>
      <c r="P100" s="31">
        <f t="shared" si="27"/>
        <v>0</v>
      </c>
      <c r="Q100" s="31"/>
      <c r="R100" s="31"/>
      <c r="S100" s="31">
        <f t="shared" si="28"/>
        <v>0</v>
      </c>
      <c r="T100" s="31"/>
      <c r="U100" s="31"/>
      <c r="V100" s="31">
        <f t="shared" si="29"/>
        <v>0</v>
      </c>
      <c r="W100" s="31"/>
      <c r="X100" s="31"/>
      <c r="Y100" s="31">
        <f t="shared" si="30"/>
        <v>0</v>
      </c>
      <c r="Z100" s="31"/>
      <c r="AA100" s="31"/>
      <c r="AB100" s="31">
        <f t="shared" si="31"/>
        <v>0</v>
      </c>
    </row>
    <row r="101" spans="1:187" s="6" customFormat="1" ht="31.5" x14ac:dyDescent="0.25">
      <c r="A101" s="27" t="s">
        <v>27</v>
      </c>
      <c r="B101" s="28">
        <f t="shared" si="23"/>
        <v>0</v>
      </c>
      <c r="C101" s="28">
        <f t="shared" si="23"/>
        <v>53137</v>
      </c>
      <c r="D101" s="28">
        <f t="shared" si="23"/>
        <v>53137</v>
      </c>
      <c r="E101" s="28">
        <v>0</v>
      </c>
      <c r="F101" s="28">
        <v>53137</v>
      </c>
      <c r="G101" s="28">
        <f t="shared" si="24"/>
        <v>53137</v>
      </c>
      <c r="H101" s="28"/>
      <c r="I101" s="28"/>
      <c r="J101" s="28">
        <f t="shared" si="25"/>
        <v>0</v>
      </c>
      <c r="K101" s="28"/>
      <c r="L101" s="28"/>
      <c r="M101" s="28">
        <f t="shared" si="26"/>
        <v>0</v>
      </c>
      <c r="N101" s="28"/>
      <c r="O101" s="28"/>
      <c r="P101" s="28">
        <f t="shared" si="27"/>
        <v>0</v>
      </c>
      <c r="Q101" s="28"/>
      <c r="R101" s="28"/>
      <c r="S101" s="28">
        <f t="shared" si="28"/>
        <v>0</v>
      </c>
      <c r="T101" s="28"/>
      <c r="U101" s="28"/>
      <c r="V101" s="28">
        <f t="shared" si="29"/>
        <v>0</v>
      </c>
      <c r="W101" s="28"/>
      <c r="X101" s="28"/>
      <c r="Y101" s="28">
        <f t="shared" si="30"/>
        <v>0</v>
      </c>
      <c r="Z101" s="28"/>
      <c r="AA101" s="28"/>
      <c r="AB101" s="28">
        <f t="shared" si="31"/>
        <v>0</v>
      </c>
    </row>
    <row r="102" spans="1:187" s="6" customFormat="1" x14ac:dyDescent="0.25">
      <c r="A102" s="37" t="s">
        <v>99</v>
      </c>
      <c r="B102" s="31">
        <f t="shared" si="23"/>
        <v>2099</v>
      </c>
      <c r="C102" s="31">
        <f t="shared" si="23"/>
        <v>2099</v>
      </c>
      <c r="D102" s="31">
        <f t="shared" si="23"/>
        <v>0</v>
      </c>
      <c r="E102" s="31">
        <v>0</v>
      </c>
      <c r="F102" s="31">
        <v>0</v>
      </c>
      <c r="G102" s="31">
        <f t="shared" si="24"/>
        <v>0</v>
      </c>
      <c r="H102" s="31">
        <f>5788-5788</f>
        <v>0</v>
      </c>
      <c r="I102" s="31">
        <f>5788-5788</f>
        <v>0</v>
      </c>
      <c r="J102" s="31">
        <f t="shared" si="25"/>
        <v>0</v>
      </c>
      <c r="K102" s="31">
        <v>2099</v>
      </c>
      <c r="L102" s="31">
        <v>2099</v>
      </c>
      <c r="M102" s="31">
        <f t="shared" si="26"/>
        <v>0</v>
      </c>
      <c r="N102" s="31"/>
      <c r="O102" s="31"/>
      <c r="P102" s="31">
        <f t="shared" si="27"/>
        <v>0</v>
      </c>
      <c r="Q102" s="31"/>
      <c r="R102" s="31"/>
      <c r="S102" s="31">
        <f t="shared" si="28"/>
        <v>0</v>
      </c>
      <c r="T102" s="31"/>
      <c r="U102" s="31"/>
      <c r="V102" s="31">
        <f t="shared" si="29"/>
        <v>0</v>
      </c>
      <c r="W102" s="31"/>
      <c r="X102" s="31"/>
      <c r="Y102" s="31">
        <f t="shared" si="30"/>
        <v>0</v>
      </c>
      <c r="Z102" s="31"/>
      <c r="AA102" s="31"/>
      <c r="AB102" s="31">
        <f t="shared" si="31"/>
        <v>0</v>
      </c>
    </row>
    <row r="103" spans="1:187" s="6" customFormat="1" ht="31.5" x14ac:dyDescent="0.25">
      <c r="A103" s="37" t="s">
        <v>100</v>
      </c>
      <c r="B103" s="31">
        <f t="shared" si="23"/>
        <v>20000</v>
      </c>
      <c r="C103" s="31">
        <f t="shared" si="23"/>
        <v>40000</v>
      </c>
      <c r="D103" s="31">
        <f t="shared" si="23"/>
        <v>20000</v>
      </c>
      <c r="E103" s="31">
        <v>0</v>
      </c>
      <c r="F103" s="31">
        <v>0</v>
      </c>
      <c r="G103" s="31">
        <f t="shared" si="24"/>
        <v>0</v>
      </c>
      <c r="H103" s="31"/>
      <c r="I103" s="31"/>
      <c r="J103" s="31">
        <f t="shared" si="25"/>
        <v>0</v>
      </c>
      <c r="K103" s="31">
        <v>20000</v>
      </c>
      <c r="L103" s="31">
        <f>20000+20000</f>
        <v>40000</v>
      </c>
      <c r="M103" s="31">
        <f t="shared" si="26"/>
        <v>20000</v>
      </c>
      <c r="N103" s="31"/>
      <c r="O103" s="31"/>
      <c r="P103" s="31">
        <f t="shared" si="27"/>
        <v>0</v>
      </c>
      <c r="Q103" s="31"/>
      <c r="R103" s="31"/>
      <c r="S103" s="31">
        <f t="shared" si="28"/>
        <v>0</v>
      </c>
      <c r="T103" s="31"/>
      <c r="U103" s="31"/>
      <c r="V103" s="31">
        <f t="shared" si="29"/>
        <v>0</v>
      </c>
      <c r="W103" s="31"/>
      <c r="X103" s="31"/>
      <c r="Y103" s="31">
        <f t="shared" si="30"/>
        <v>0</v>
      </c>
      <c r="Z103" s="31"/>
      <c r="AA103" s="31"/>
      <c r="AB103" s="31">
        <f t="shared" si="31"/>
        <v>0</v>
      </c>
    </row>
    <row r="104" spans="1:187" s="6" customFormat="1" x14ac:dyDescent="0.25">
      <c r="A104" s="24" t="s">
        <v>101</v>
      </c>
      <c r="B104" s="25">
        <f t="shared" si="23"/>
        <v>35900</v>
      </c>
      <c r="C104" s="25">
        <f t="shared" si="23"/>
        <v>35900</v>
      </c>
      <c r="D104" s="25">
        <f t="shared" si="23"/>
        <v>0</v>
      </c>
      <c r="E104" s="25">
        <f>SUM(E105:E105)</f>
        <v>0</v>
      </c>
      <c r="F104" s="25">
        <f>SUM(F105:F105)</f>
        <v>0</v>
      </c>
      <c r="G104" s="25">
        <f t="shared" si="24"/>
        <v>0</v>
      </c>
      <c r="H104" s="25">
        <f>SUM(H105:H105)</f>
        <v>0</v>
      </c>
      <c r="I104" s="25">
        <f>SUM(I105:I105)</f>
        <v>0</v>
      </c>
      <c r="J104" s="25">
        <f t="shared" si="25"/>
        <v>0</v>
      </c>
      <c r="K104" s="25">
        <f>SUM(K105:K105)</f>
        <v>35900</v>
      </c>
      <c r="L104" s="25">
        <f>SUM(L105:L105)</f>
        <v>35900</v>
      </c>
      <c r="M104" s="25">
        <f t="shared" si="26"/>
        <v>0</v>
      </c>
      <c r="N104" s="25">
        <f>SUM(N105:N105)</f>
        <v>0</v>
      </c>
      <c r="O104" s="25">
        <f>SUM(O105:O105)</f>
        <v>0</v>
      </c>
      <c r="P104" s="25">
        <f t="shared" si="27"/>
        <v>0</v>
      </c>
      <c r="Q104" s="25">
        <f>SUM(Q105:Q105)</f>
        <v>0</v>
      </c>
      <c r="R104" s="25">
        <f>SUM(R105:R105)</f>
        <v>0</v>
      </c>
      <c r="S104" s="25">
        <f t="shared" si="28"/>
        <v>0</v>
      </c>
      <c r="T104" s="25">
        <f>SUM(T105:T105)</f>
        <v>0</v>
      </c>
      <c r="U104" s="25">
        <f>SUM(U105:U105)</f>
        <v>0</v>
      </c>
      <c r="V104" s="25">
        <f t="shared" si="29"/>
        <v>0</v>
      </c>
      <c r="W104" s="25">
        <f>SUM(W105:W105)</f>
        <v>0</v>
      </c>
      <c r="X104" s="25">
        <f>SUM(X105:X105)</f>
        <v>0</v>
      </c>
      <c r="Y104" s="25">
        <f t="shared" si="30"/>
        <v>0</v>
      </c>
      <c r="Z104" s="25">
        <f>SUM(Z105:Z105)</f>
        <v>0</v>
      </c>
      <c r="AA104" s="25">
        <f>SUM(AA105:AA105)</f>
        <v>0</v>
      </c>
      <c r="AB104" s="25">
        <f t="shared" si="31"/>
        <v>0</v>
      </c>
    </row>
    <row r="105" spans="1:187" s="23" customFormat="1" ht="31.5" x14ac:dyDescent="0.25">
      <c r="A105" s="32" t="s">
        <v>102</v>
      </c>
      <c r="B105" s="34">
        <f t="shared" si="23"/>
        <v>35900</v>
      </c>
      <c r="C105" s="34">
        <f t="shared" si="23"/>
        <v>35900</v>
      </c>
      <c r="D105" s="34">
        <f t="shared" si="23"/>
        <v>0</v>
      </c>
      <c r="E105" s="34"/>
      <c r="F105" s="34"/>
      <c r="G105" s="34">
        <f t="shared" si="24"/>
        <v>0</v>
      </c>
      <c r="H105" s="34"/>
      <c r="I105" s="34"/>
      <c r="J105" s="34">
        <f t="shared" si="25"/>
        <v>0</v>
      </c>
      <c r="K105" s="34">
        <v>35900</v>
      </c>
      <c r="L105" s="34">
        <v>35900</v>
      </c>
      <c r="M105" s="34">
        <f t="shared" si="26"/>
        <v>0</v>
      </c>
      <c r="N105" s="34"/>
      <c r="O105" s="34"/>
      <c r="P105" s="34">
        <f t="shared" si="27"/>
        <v>0</v>
      </c>
      <c r="Q105" s="34"/>
      <c r="R105" s="34"/>
      <c r="S105" s="34">
        <f t="shared" si="28"/>
        <v>0</v>
      </c>
      <c r="T105" s="34"/>
      <c r="U105" s="34"/>
      <c r="V105" s="34">
        <f t="shared" si="29"/>
        <v>0</v>
      </c>
      <c r="W105" s="34"/>
      <c r="X105" s="34"/>
      <c r="Y105" s="34">
        <f t="shared" si="30"/>
        <v>0</v>
      </c>
      <c r="Z105" s="34"/>
      <c r="AA105" s="34"/>
      <c r="AB105" s="34">
        <f t="shared" si="31"/>
        <v>0</v>
      </c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</row>
    <row r="106" spans="1:187" s="6" customFormat="1" x14ac:dyDescent="0.25">
      <c r="A106" s="29" t="s">
        <v>29</v>
      </c>
      <c r="B106" s="26">
        <f t="shared" si="23"/>
        <v>70934</v>
      </c>
      <c r="C106" s="26">
        <f t="shared" si="23"/>
        <v>70991</v>
      </c>
      <c r="D106" s="26">
        <f t="shared" si="23"/>
        <v>57</v>
      </c>
      <c r="E106" s="26">
        <f>SUM(E107,E109,E114)</f>
        <v>0</v>
      </c>
      <c r="F106" s="26">
        <f>SUM(F107,F109,F114)</f>
        <v>0</v>
      </c>
      <c r="G106" s="26">
        <f t="shared" si="24"/>
        <v>0</v>
      </c>
      <c r="H106" s="26">
        <f>SUM(H107,H109,H114)</f>
        <v>6060</v>
      </c>
      <c r="I106" s="26">
        <f>SUM(I107,I109,I114)</f>
        <v>6060</v>
      </c>
      <c r="J106" s="26">
        <f t="shared" si="25"/>
        <v>0</v>
      </c>
      <c r="K106" s="26">
        <f>SUM(K107,K109,K114)</f>
        <v>37357</v>
      </c>
      <c r="L106" s="26">
        <f>SUM(L107,L109,L114)</f>
        <v>37357</v>
      </c>
      <c r="M106" s="26">
        <f t="shared" si="26"/>
        <v>0</v>
      </c>
      <c r="N106" s="26">
        <f>SUM(N107,N109,N114)</f>
        <v>0</v>
      </c>
      <c r="O106" s="26">
        <f>SUM(O107,O109,O114)</f>
        <v>0</v>
      </c>
      <c r="P106" s="26">
        <f t="shared" si="27"/>
        <v>0</v>
      </c>
      <c r="Q106" s="26">
        <f>SUM(Q107,Q109,Q114)</f>
        <v>27517</v>
      </c>
      <c r="R106" s="26">
        <f>SUM(R107,R109,R114)</f>
        <v>8830</v>
      </c>
      <c r="S106" s="26">
        <f t="shared" si="28"/>
        <v>-18687</v>
      </c>
      <c r="T106" s="26">
        <f>SUM(T107,T109,T114)</f>
        <v>0</v>
      </c>
      <c r="U106" s="26">
        <f>SUM(U107,U109,U114)</f>
        <v>0</v>
      </c>
      <c r="V106" s="26">
        <f t="shared" si="29"/>
        <v>0</v>
      </c>
      <c r="W106" s="26">
        <f>SUM(W107,W109,W114)</f>
        <v>0</v>
      </c>
      <c r="X106" s="26">
        <f>SUM(X107,X109,X114)</f>
        <v>0</v>
      </c>
      <c r="Y106" s="26">
        <f t="shared" si="30"/>
        <v>0</v>
      </c>
      <c r="Z106" s="26">
        <f>SUM(Z107,Z109,Z114)</f>
        <v>0</v>
      </c>
      <c r="AA106" s="26">
        <f>SUM(AA107,AA109,AA114)</f>
        <v>18744</v>
      </c>
      <c r="AB106" s="26">
        <f t="shared" si="31"/>
        <v>18744</v>
      </c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</row>
    <row r="107" spans="1:187" s="6" customFormat="1" x14ac:dyDescent="0.25">
      <c r="A107" s="24" t="s">
        <v>90</v>
      </c>
      <c r="B107" s="25">
        <f t="shared" si="23"/>
        <v>8318</v>
      </c>
      <c r="C107" s="25">
        <f t="shared" si="23"/>
        <v>8375</v>
      </c>
      <c r="D107" s="25">
        <f t="shared" si="23"/>
        <v>57</v>
      </c>
      <c r="E107" s="25">
        <f>SUM(E108:E108)</f>
        <v>0</v>
      </c>
      <c r="F107" s="25">
        <f>SUM(F108:F108)</f>
        <v>0</v>
      </c>
      <c r="G107" s="25">
        <f t="shared" si="24"/>
        <v>0</v>
      </c>
      <c r="H107" s="25">
        <f>SUM(H108:H108)</f>
        <v>0</v>
      </c>
      <c r="I107" s="25">
        <f>SUM(I108:I108)</f>
        <v>0</v>
      </c>
      <c r="J107" s="25">
        <f t="shared" si="25"/>
        <v>0</v>
      </c>
      <c r="K107" s="25">
        <f>SUM(K108:K108)</f>
        <v>2662</v>
      </c>
      <c r="L107" s="25">
        <f>SUM(L108:L108)</f>
        <v>2662</v>
      </c>
      <c r="M107" s="25">
        <f t="shared" si="26"/>
        <v>0</v>
      </c>
      <c r="N107" s="25">
        <f>SUM(N108:N108)</f>
        <v>0</v>
      </c>
      <c r="O107" s="25">
        <f>SUM(O108:O108)</f>
        <v>0</v>
      </c>
      <c r="P107" s="25">
        <f t="shared" si="27"/>
        <v>0</v>
      </c>
      <c r="Q107" s="25">
        <f>SUM(Q108:Q108)</f>
        <v>5656</v>
      </c>
      <c r="R107" s="25">
        <f>SUM(R108:R108)</f>
        <v>5713</v>
      </c>
      <c r="S107" s="25">
        <f t="shared" si="28"/>
        <v>57</v>
      </c>
      <c r="T107" s="25">
        <f>SUM(T108:T108)</f>
        <v>0</v>
      </c>
      <c r="U107" s="25">
        <f>SUM(U108:U108)</f>
        <v>0</v>
      </c>
      <c r="V107" s="25">
        <f t="shared" si="29"/>
        <v>0</v>
      </c>
      <c r="W107" s="25">
        <f>SUM(W108:W108)</f>
        <v>0</v>
      </c>
      <c r="X107" s="25">
        <f>SUM(X108:X108)</f>
        <v>0</v>
      </c>
      <c r="Y107" s="25">
        <f t="shared" si="30"/>
        <v>0</v>
      </c>
      <c r="Z107" s="25">
        <f>SUM(Z108:Z108)</f>
        <v>0</v>
      </c>
      <c r="AA107" s="25">
        <f>SUM(AA108:AA108)</f>
        <v>0</v>
      </c>
      <c r="AB107" s="25">
        <f t="shared" si="31"/>
        <v>0</v>
      </c>
    </row>
    <row r="108" spans="1:187" s="6" customFormat="1" ht="31.5" x14ac:dyDescent="0.25">
      <c r="A108" s="30" t="s">
        <v>103</v>
      </c>
      <c r="B108" s="31">
        <f t="shared" si="23"/>
        <v>8318</v>
      </c>
      <c r="C108" s="31">
        <f t="shared" si="23"/>
        <v>8375</v>
      </c>
      <c r="D108" s="31">
        <f t="shared" si="23"/>
        <v>57</v>
      </c>
      <c r="E108" s="31">
        <v>0</v>
      </c>
      <c r="F108" s="31">
        <v>0</v>
      </c>
      <c r="G108" s="31">
        <f t="shared" si="24"/>
        <v>0</v>
      </c>
      <c r="H108" s="31"/>
      <c r="I108" s="31"/>
      <c r="J108" s="31">
        <f t="shared" si="25"/>
        <v>0</v>
      </c>
      <c r="K108" s="31">
        <f>1744+918</f>
        <v>2662</v>
      </c>
      <c r="L108" s="31">
        <f>1744+918</f>
        <v>2662</v>
      </c>
      <c r="M108" s="31">
        <f t="shared" si="26"/>
        <v>0</v>
      </c>
      <c r="N108" s="31"/>
      <c r="O108" s="31"/>
      <c r="P108" s="31">
        <f t="shared" si="27"/>
        <v>0</v>
      </c>
      <c r="Q108" s="31">
        <v>5656</v>
      </c>
      <c r="R108" s="31">
        <f>5656+57</f>
        <v>5713</v>
      </c>
      <c r="S108" s="31">
        <f t="shared" si="28"/>
        <v>57</v>
      </c>
      <c r="T108" s="31"/>
      <c r="U108" s="31"/>
      <c r="V108" s="31">
        <f t="shared" si="29"/>
        <v>0</v>
      </c>
      <c r="W108" s="31"/>
      <c r="X108" s="31"/>
      <c r="Y108" s="31">
        <f t="shared" si="30"/>
        <v>0</v>
      </c>
      <c r="Z108" s="31"/>
      <c r="AA108" s="31"/>
      <c r="AB108" s="31">
        <f t="shared" si="31"/>
        <v>0</v>
      </c>
    </row>
    <row r="109" spans="1:187" s="6" customFormat="1" ht="31.5" x14ac:dyDescent="0.25">
      <c r="A109" s="24" t="s">
        <v>97</v>
      </c>
      <c r="B109" s="26">
        <f t="shared" si="23"/>
        <v>41011</v>
      </c>
      <c r="C109" s="26">
        <f t="shared" si="23"/>
        <v>41011</v>
      </c>
      <c r="D109" s="26">
        <f t="shared" si="23"/>
        <v>0</v>
      </c>
      <c r="E109" s="26">
        <f>SUM(E110:E113)</f>
        <v>0</v>
      </c>
      <c r="F109" s="26">
        <f>SUM(F110:F113)</f>
        <v>0</v>
      </c>
      <c r="G109" s="26">
        <f t="shared" si="24"/>
        <v>0</v>
      </c>
      <c r="H109" s="26">
        <f>SUM(H110:H113)</f>
        <v>6060</v>
      </c>
      <c r="I109" s="26">
        <f>SUM(I110:I113)</f>
        <v>6060</v>
      </c>
      <c r="J109" s="26">
        <f t="shared" si="25"/>
        <v>0</v>
      </c>
      <c r="K109" s="26">
        <f>SUM(K110:K113)</f>
        <v>14951</v>
      </c>
      <c r="L109" s="26">
        <f>SUM(L110:L113)</f>
        <v>14951</v>
      </c>
      <c r="M109" s="26">
        <f t="shared" si="26"/>
        <v>0</v>
      </c>
      <c r="N109" s="26">
        <f>SUM(N110:N113)</f>
        <v>0</v>
      </c>
      <c r="O109" s="26">
        <f>SUM(O110:O113)</f>
        <v>0</v>
      </c>
      <c r="P109" s="26">
        <f t="shared" si="27"/>
        <v>0</v>
      </c>
      <c r="Q109" s="26">
        <f>SUM(Q110:Q113)</f>
        <v>20000</v>
      </c>
      <c r="R109" s="26">
        <f>SUM(R110:R113)</f>
        <v>1256</v>
      </c>
      <c r="S109" s="26">
        <f t="shared" si="28"/>
        <v>-18744</v>
      </c>
      <c r="T109" s="26">
        <f>SUM(T110:T113)</f>
        <v>0</v>
      </c>
      <c r="U109" s="26">
        <f>SUM(U110:U113)</f>
        <v>0</v>
      </c>
      <c r="V109" s="26">
        <f t="shared" si="29"/>
        <v>0</v>
      </c>
      <c r="W109" s="26">
        <f>SUM(W110:W113)</f>
        <v>0</v>
      </c>
      <c r="X109" s="26">
        <f>SUM(X110:X113)</f>
        <v>0</v>
      </c>
      <c r="Y109" s="26">
        <f t="shared" si="30"/>
        <v>0</v>
      </c>
      <c r="Z109" s="26">
        <f>SUM(Z110:Z113)</f>
        <v>0</v>
      </c>
      <c r="AA109" s="26">
        <f>SUM(AA110:AA113)</f>
        <v>18744</v>
      </c>
      <c r="AB109" s="26">
        <f t="shared" si="31"/>
        <v>18744</v>
      </c>
    </row>
    <row r="110" spans="1:187" s="6" customFormat="1" x14ac:dyDescent="0.25">
      <c r="A110" s="37" t="s">
        <v>104</v>
      </c>
      <c r="B110" s="31">
        <f t="shared" si="23"/>
        <v>20000</v>
      </c>
      <c r="C110" s="31">
        <f t="shared" si="23"/>
        <v>20000</v>
      </c>
      <c r="D110" s="31">
        <f t="shared" si="23"/>
        <v>0</v>
      </c>
      <c r="E110" s="31">
        <v>0</v>
      </c>
      <c r="F110" s="31">
        <v>0</v>
      </c>
      <c r="G110" s="31">
        <f t="shared" si="24"/>
        <v>0</v>
      </c>
      <c r="H110" s="31">
        <v>0</v>
      </c>
      <c r="I110" s="31">
        <v>0</v>
      </c>
      <c r="J110" s="31">
        <f t="shared" si="25"/>
        <v>0</v>
      </c>
      <c r="K110" s="31"/>
      <c r="L110" s="31"/>
      <c r="M110" s="31">
        <f t="shared" si="26"/>
        <v>0</v>
      </c>
      <c r="N110" s="31"/>
      <c r="O110" s="31"/>
      <c r="P110" s="31">
        <f t="shared" si="27"/>
        <v>0</v>
      </c>
      <c r="Q110" s="31">
        <f>10000+10000</f>
        <v>20000</v>
      </c>
      <c r="R110" s="31">
        <f>10000+10000-18744</f>
        <v>1256</v>
      </c>
      <c r="S110" s="31">
        <f t="shared" si="28"/>
        <v>-18744</v>
      </c>
      <c r="T110" s="31"/>
      <c r="U110" s="31"/>
      <c r="V110" s="31">
        <f t="shared" si="29"/>
        <v>0</v>
      </c>
      <c r="W110" s="31"/>
      <c r="X110" s="31"/>
      <c r="Y110" s="31">
        <f t="shared" si="30"/>
        <v>0</v>
      </c>
      <c r="Z110" s="31"/>
      <c r="AA110" s="31">
        <v>18744</v>
      </c>
      <c r="AB110" s="31">
        <f t="shared" si="31"/>
        <v>18744</v>
      </c>
    </row>
    <row r="111" spans="1:187" s="6" customFormat="1" ht="31.5" x14ac:dyDescent="0.25">
      <c r="A111" s="35" t="s">
        <v>105</v>
      </c>
      <c r="B111" s="31">
        <f t="shared" si="23"/>
        <v>7993</v>
      </c>
      <c r="C111" s="31">
        <f t="shared" si="23"/>
        <v>7993</v>
      </c>
      <c r="D111" s="31">
        <f t="shared" si="23"/>
        <v>0</v>
      </c>
      <c r="E111" s="31">
        <v>0</v>
      </c>
      <c r="F111" s="31">
        <v>0</v>
      </c>
      <c r="G111" s="31">
        <f t="shared" si="24"/>
        <v>0</v>
      </c>
      <c r="H111" s="31">
        <v>0</v>
      </c>
      <c r="I111" s="31">
        <v>0</v>
      </c>
      <c r="J111" s="31">
        <f t="shared" si="25"/>
        <v>0</v>
      </c>
      <c r="K111" s="31">
        <v>7993</v>
      </c>
      <c r="L111" s="31">
        <v>7993</v>
      </c>
      <c r="M111" s="31">
        <f t="shared" si="26"/>
        <v>0</v>
      </c>
      <c r="N111" s="31">
        <v>0</v>
      </c>
      <c r="O111" s="31">
        <v>0</v>
      </c>
      <c r="P111" s="31">
        <f t="shared" si="27"/>
        <v>0</v>
      </c>
      <c r="Q111" s="31">
        <v>0</v>
      </c>
      <c r="R111" s="31">
        <v>0</v>
      </c>
      <c r="S111" s="31">
        <f t="shared" si="28"/>
        <v>0</v>
      </c>
      <c r="T111" s="31">
        <v>0</v>
      </c>
      <c r="U111" s="31">
        <v>0</v>
      </c>
      <c r="V111" s="31">
        <f t="shared" si="29"/>
        <v>0</v>
      </c>
      <c r="W111" s="31">
        <v>0</v>
      </c>
      <c r="X111" s="31">
        <v>0</v>
      </c>
      <c r="Y111" s="31">
        <f t="shared" si="30"/>
        <v>0</v>
      </c>
      <c r="Z111" s="31"/>
      <c r="AA111" s="31"/>
      <c r="AB111" s="31">
        <f t="shared" si="31"/>
        <v>0</v>
      </c>
    </row>
    <row r="112" spans="1:187" s="6" customFormat="1" ht="47.25" x14ac:dyDescent="0.25">
      <c r="A112" s="35" t="s">
        <v>106</v>
      </c>
      <c r="B112" s="31">
        <f t="shared" si="23"/>
        <v>6958</v>
      </c>
      <c r="C112" s="31">
        <f t="shared" si="23"/>
        <v>6958</v>
      </c>
      <c r="D112" s="31">
        <f t="shared" si="23"/>
        <v>0</v>
      </c>
      <c r="E112" s="31">
        <v>0</v>
      </c>
      <c r="F112" s="31">
        <v>0</v>
      </c>
      <c r="G112" s="31">
        <f t="shared" si="24"/>
        <v>0</v>
      </c>
      <c r="H112" s="31">
        <v>0</v>
      </c>
      <c r="I112" s="31">
        <v>0</v>
      </c>
      <c r="J112" s="31">
        <f t="shared" si="25"/>
        <v>0</v>
      </c>
      <c r="K112" s="31">
        <f>6958</f>
        <v>6958</v>
      </c>
      <c r="L112" s="31">
        <f>6958</f>
        <v>6958</v>
      </c>
      <c r="M112" s="31">
        <f t="shared" si="26"/>
        <v>0</v>
      </c>
      <c r="N112" s="31">
        <v>0</v>
      </c>
      <c r="O112" s="31">
        <v>0</v>
      </c>
      <c r="P112" s="31">
        <f t="shared" si="27"/>
        <v>0</v>
      </c>
      <c r="Q112" s="31">
        <v>0</v>
      </c>
      <c r="R112" s="31">
        <v>0</v>
      </c>
      <c r="S112" s="31">
        <f t="shared" si="28"/>
        <v>0</v>
      </c>
      <c r="T112" s="31">
        <v>0</v>
      </c>
      <c r="U112" s="31">
        <v>0</v>
      </c>
      <c r="V112" s="31">
        <f t="shared" si="29"/>
        <v>0</v>
      </c>
      <c r="W112" s="31">
        <v>0</v>
      </c>
      <c r="X112" s="31">
        <v>0</v>
      </c>
      <c r="Y112" s="31">
        <f t="shared" si="30"/>
        <v>0</v>
      </c>
      <c r="Z112" s="31"/>
      <c r="AA112" s="31"/>
      <c r="AB112" s="31">
        <f t="shared" si="31"/>
        <v>0</v>
      </c>
    </row>
    <row r="113" spans="1:187" s="6" customFormat="1" ht="31.5" x14ac:dyDescent="0.25">
      <c r="A113" s="30" t="s">
        <v>107</v>
      </c>
      <c r="B113" s="31">
        <f t="shared" si="23"/>
        <v>6060</v>
      </c>
      <c r="C113" s="31">
        <f t="shared" si="23"/>
        <v>6060</v>
      </c>
      <c r="D113" s="31">
        <f t="shared" si="23"/>
        <v>0</v>
      </c>
      <c r="E113" s="31">
        <v>0</v>
      </c>
      <c r="F113" s="31">
        <v>0</v>
      </c>
      <c r="G113" s="31">
        <f t="shared" si="24"/>
        <v>0</v>
      </c>
      <c r="H113" s="31">
        <v>6060</v>
      </c>
      <c r="I113" s="31">
        <v>6060</v>
      </c>
      <c r="J113" s="31">
        <f t="shared" si="25"/>
        <v>0</v>
      </c>
      <c r="K113" s="31"/>
      <c r="L113" s="31"/>
      <c r="M113" s="31">
        <f t="shared" si="26"/>
        <v>0</v>
      </c>
      <c r="N113" s="31"/>
      <c r="O113" s="31"/>
      <c r="P113" s="31">
        <f t="shared" si="27"/>
        <v>0</v>
      </c>
      <c r="Q113" s="31"/>
      <c r="R113" s="31"/>
      <c r="S113" s="31">
        <f t="shared" si="28"/>
        <v>0</v>
      </c>
      <c r="T113" s="31"/>
      <c r="U113" s="31"/>
      <c r="V113" s="31">
        <f t="shared" si="29"/>
        <v>0</v>
      </c>
      <c r="W113" s="31"/>
      <c r="X113" s="31"/>
      <c r="Y113" s="31">
        <f t="shared" si="30"/>
        <v>0</v>
      </c>
      <c r="Z113" s="31">
        <v>0</v>
      </c>
      <c r="AA113" s="31">
        <v>0</v>
      </c>
      <c r="AB113" s="31">
        <f t="shared" si="31"/>
        <v>0</v>
      </c>
    </row>
    <row r="114" spans="1:187" s="6" customFormat="1" x14ac:dyDescent="0.25">
      <c r="A114" s="24" t="s">
        <v>108</v>
      </c>
      <c r="B114" s="25">
        <f t="shared" si="23"/>
        <v>21605</v>
      </c>
      <c r="C114" s="25">
        <f t="shared" si="23"/>
        <v>21605</v>
      </c>
      <c r="D114" s="25">
        <f t="shared" si="23"/>
        <v>0</v>
      </c>
      <c r="E114" s="25">
        <f>SUM(E115:E117)</f>
        <v>0</v>
      </c>
      <c r="F114" s="25">
        <f>SUM(F115:F117)</f>
        <v>0</v>
      </c>
      <c r="G114" s="25">
        <f t="shared" si="24"/>
        <v>0</v>
      </c>
      <c r="H114" s="25">
        <f>SUM(H115:H117)</f>
        <v>0</v>
      </c>
      <c r="I114" s="25">
        <f>SUM(I115:I117)</f>
        <v>0</v>
      </c>
      <c r="J114" s="25">
        <f t="shared" si="25"/>
        <v>0</v>
      </c>
      <c r="K114" s="25">
        <f>SUM(K115:K117)</f>
        <v>19744</v>
      </c>
      <c r="L114" s="25">
        <f>SUM(L115:L117)</f>
        <v>19744</v>
      </c>
      <c r="M114" s="25">
        <f t="shared" si="26"/>
        <v>0</v>
      </c>
      <c r="N114" s="25">
        <f>SUM(N115:N117)</f>
        <v>0</v>
      </c>
      <c r="O114" s="25">
        <f>SUM(O115:O117)</f>
        <v>0</v>
      </c>
      <c r="P114" s="25">
        <f t="shared" si="27"/>
        <v>0</v>
      </c>
      <c r="Q114" s="25">
        <f>SUM(Q115:Q117)</f>
        <v>1861</v>
      </c>
      <c r="R114" s="25">
        <f>SUM(R115:R117)</f>
        <v>1861</v>
      </c>
      <c r="S114" s="25">
        <f t="shared" si="28"/>
        <v>0</v>
      </c>
      <c r="T114" s="25">
        <f>SUM(T115:T117)</f>
        <v>0</v>
      </c>
      <c r="U114" s="25">
        <f>SUM(U115:U117)</f>
        <v>0</v>
      </c>
      <c r="V114" s="25">
        <f t="shared" si="29"/>
        <v>0</v>
      </c>
      <c r="W114" s="25">
        <f>SUM(W115:W117)</f>
        <v>0</v>
      </c>
      <c r="X114" s="25">
        <f>SUM(X115:X117)</f>
        <v>0</v>
      </c>
      <c r="Y114" s="25">
        <f t="shared" si="30"/>
        <v>0</v>
      </c>
      <c r="Z114" s="25">
        <f>SUM(Z115:Z117)</f>
        <v>0</v>
      </c>
      <c r="AA114" s="25">
        <f>SUM(AA115:AA117)</f>
        <v>0</v>
      </c>
      <c r="AB114" s="25">
        <f t="shared" si="31"/>
        <v>0</v>
      </c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</row>
    <row r="115" spans="1:187" s="6" customFormat="1" ht="78.75" x14ac:dyDescent="0.25">
      <c r="A115" s="30" t="s">
        <v>109</v>
      </c>
      <c r="B115" s="31">
        <f t="shared" si="23"/>
        <v>19744</v>
      </c>
      <c r="C115" s="31">
        <f t="shared" si="23"/>
        <v>19744</v>
      </c>
      <c r="D115" s="31">
        <f t="shared" si="23"/>
        <v>0</v>
      </c>
      <c r="E115" s="31">
        <v>0</v>
      </c>
      <c r="F115" s="31">
        <v>0</v>
      </c>
      <c r="G115" s="31">
        <f t="shared" si="24"/>
        <v>0</v>
      </c>
      <c r="H115" s="31"/>
      <c r="I115" s="31"/>
      <c r="J115" s="31">
        <f t="shared" si="25"/>
        <v>0</v>
      </c>
      <c r="K115" s="31">
        <v>19744</v>
      </c>
      <c r="L115" s="31">
        <v>19744</v>
      </c>
      <c r="M115" s="31">
        <f t="shared" si="26"/>
        <v>0</v>
      </c>
      <c r="N115" s="31"/>
      <c r="O115" s="31"/>
      <c r="P115" s="31">
        <f t="shared" si="27"/>
        <v>0</v>
      </c>
      <c r="Q115" s="31"/>
      <c r="R115" s="31"/>
      <c r="S115" s="31">
        <f t="shared" si="28"/>
        <v>0</v>
      </c>
      <c r="T115" s="31">
        <v>0</v>
      </c>
      <c r="U115" s="31">
        <v>0</v>
      </c>
      <c r="V115" s="31">
        <f t="shared" si="29"/>
        <v>0</v>
      </c>
      <c r="W115" s="31"/>
      <c r="X115" s="31"/>
      <c r="Y115" s="31">
        <f t="shared" si="30"/>
        <v>0</v>
      </c>
      <c r="Z115" s="31"/>
      <c r="AA115" s="31"/>
      <c r="AB115" s="31">
        <f t="shared" si="31"/>
        <v>0</v>
      </c>
    </row>
    <row r="116" spans="1:187" s="6" customFormat="1" ht="31.5" x14ac:dyDescent="0.25">
      <c r="A116" s="32" t="s">
        <v>110</v>
      </c>
      <c r="B116" s="31">
        <f t="shared" si="23"/>
        <v>1593</v>
      </c>
      <c r="C116" s="31">
        <f t="shared" si="23"/>
        <v>1593</v>
      </c>
      <c r="D116" s="31">
        <f t="shared" si="23"/>
        <v>0</v>
      </c>
      <c r="E116" s="31">
        <v>0</v>
      </c>
      <c r="F116" s="31">
        <v>0</v>
      </c>
      <c r="G116" s="31">
        <f t="shared" si="24"/>
        <v>0</v>
      </c>
      <c r="H116" s="31">
        <v>0</v>
      </c>
      <c r="I116" s="31">
        <v>0</v>
      </c>
      <c r="J116" s="31">
        <f t="shared" si="25"/>
        <v>0</v>
      </c>
      <c r="K116" s="31">
        <v>0</v>
      </c>
      <c r="L116" s="31">
        <v>0</v>
      </c>
      <c r="M116" s="31">
        <f t="shared" si="26"/>
        <v>0</v>
      </c>
      <c r="N116" s="31"/>
      <c r="O116" s="31"/>
      <c r="P116" s="31">
        <f t="shared" si="27"/>
        <v>0</v>
      </c>
      <c r="Q116" s="31">
        <v>1593</v>
      </c>
      <c r="R116" s="31">
        <v>1593</v>
      </c>
      <c r="S116" s="31">
        <f t="shared" si="28"/>
        <v>0</v>
      </c>
      <c r="T116" s="31">
        <v>0</v>
      </c>
      <c r="U116" s="31">
        <v>0</v>
      </c>
      <c r="V116" s="31">
        <f t="shared" si="29"/>
        <v>0</v>
      </c>
      <c r="W116" s="31"/>
      <c r="X116" s="31"/>
      <c r="Y116" s="31">
        <f t="shared" si="30"/>
        <v>0</v>
      </c>
      <c r="Z116" s="31"/>
      <c r="AA116" s="31"/>
      <c r="AB116" s="31">
        <f t="shared" si="31"/>
        <v>0</v>
      </c>
    </row>
    <row r="117" spans="1:187" s="6" customFormat="1" ht="31.5" x14ac:dyDescent="0.25">
      <c r="A117" s="32" t="s">
        <v>111</v>
      </c>
      <c r="B117" s="31">
        <f t="shared" si="23"/>
        <v>268</v>
      </c>
      <c r="C117" s="31">
        <f t="shared" si="23"/>
        <v>268</v>
      </c>
      <c r="D117" s="31">
        <f t="shared" si="23"/>
        <v>0</v>
      </c>
      <c r="E117" s="31">
        <v>0</v>
      </c>
      <c r="F117" s="31">
        <v>0</v>
      </c>
      <c r="G117" s="31">
        <f t="shared" si="24"/>
        <v>0</v>
      </c>
      <c r="H117" s="31">
        <v>0</v>
      </c>
      <c r="I117" s="31">
        <v>0</v>
      </c>
      <c r="J117" s="31">
        <f t="shared" si="25"/>
        <v>0</v>
      </c>
      <c r="K117" s="31">
        <v>0</v>
      </c>
      <c r="L117" s="31">
        <v>0</v>
      </c>
      <c r="M117" s="31">
        <f t="shared" si="26"/>
        <v>0</v>
      </c>
      <c r="N117" s="31"/>
      <c r="O117" s="31"/>
      <c r="P117" s="31">
        <f t="shared" si="27"/>
        <v>0</v>
      </c>
      <c r="Q117" s="31">
        <v>268</v>
      </c>
      <c r="R117" s="31">
        <v>268</v>
      </c>
      <c r="S117" s="31">
        <f t="shared" si="28"/>
        <v>0</v>
      </c>
      <c r="T117" s="31">
        <f>3019-3019</f>
        <v>0</v>
      </c>
      <c r="U117" s="31">
        <f>3019-3019</f>
        <v>0</v>
      </c>
      <c r="V117" s="31">
        <f t="shared" si="29"/>
        <v>0</v>
      </c>
      <c r="W117" s="31"/>
      <c r="X117" s="31"/>
      <c r="Y117" s="31">
        <f t="shared" si="30"/>
        <v>0</v>
      </c>
      <c r="Z117" s="31"/>
      <c r="AA117" s="31"/>
      <c r="AB117" s="31">
        <f t="shared" si="31"/>
        <v>0</v>
      </c>
    </row>
    <row r="118" spans="1:187" s="6" customFormat="1" x14ac:dyDescent="0.25">
      <c r="A118" s="24" t="s">
        <v>42</v>
      </c>
      <c r="B118" s="25">
        <f t="shared" si="23"/>
        <v>3380223</v>
      </c>
      <c r="C118" s="25">
        <f t="shared" si="23"/>
        <v>3448176</v>
      </c>
      <c r="D118" s="25">
        <f t="shared" si="23"/>
        <v>67953</v>
      </c>
      <c r="E118" s="25">
        <f>SUM(E119,E141,E162,E138,E174)</f>
        <v>0</v>
      </c>
      <c r="F118" s="25">
        <f>SUM(F119,F141,F162,F138,F174)</f>
        <v>0</v>
      </c>
      <c r="G118" s="25">
        <f t="shared" si="24"/>
        <v>0</v>
      </c>
      <c r="H118" s="25">
        <f>SUM(H119,H141,H162,H138,H174)</f>
        <v>0</v>
      </c>
      <c r="I118" s="25">
        <f>SUM(I119,I141,I162,I138,I174)</f>
        <v>0</v>
      </c>
      <c r="J118" s="25">
        <f t="shared" si="25"/>
        <v>0</v>
      </c>
      <c r="K118" s="25">
        <f>SUM(K119,K141,K162,K138,K174)</f>
        <v>171911</v>
      </c>
      <c r="L118" s="25">
        <f>SUM(L119,L141,L162,L138,L174)</f>
        <v>236219</v>
      </c>
      <c r="M118" s="25">
        <f t="shared" si="26"/>
        <v>64308</v>
      </c>
      <c r="N118" s="25">
        <f>SUM(N119,N141,N162,N138,N174)</f>
        <v>24644</v>
      </c>
      <c r="O118" s="25">
        <f>SUM(O119,O141,O162,O138,O174)</f>
        <v>24644</v>
      </c>
      <c r="P118" s="25">
        <f t="shared" si="27"/>
        <v>0</v>
      </c>
      <c r="Q118" s="25">
        <f>SUM(Q119,Q141,Q162,Q138,Q174)</f>
        <v>184020</v>
      </c>
      <c r="R118" s="25">
        <f>SUM(R119,R141,R162,R138,R174)</f>
        <v>184169</v>
      </c>
      <c r="S118" s="25">
        <f t="shared" si="28"/>
        <v>149</v>
      </c>
      <c r="T118" s="25">
        <f>SUM(T119,T141,T162,T138,T174)</f>
        <v>0</v>
      </c>
      <c r="U118" s="25">
        <f>SUM(U119,U141,U162,U138,U174)</f>
        <v>0</v>
      </c>
      <c r="V118" s="25">
        <f t="shared" si="29"/>
        <v>0</v>
      </c>
      <c r="W118" s="25">
        <f>SUM(W119,W141,W162,W138,W174)</f>
        <v>28048</v>
      </c>
      <c r="X118" s="25">
        <f>SUM(X119,X141,X162,X138,X174)</f>
        <v>61255</v>
      </c>
      <c r="Y118" s="25">
        <f t="shared" si="30"/>
        <v>33207</v>
      </c>
      <c r="Z118" s="25">
        <f>SUM(Z119,Z141,Z162,Z138,Z174)</f>
        <v>2971600</v>
      </c>
      <c r="AA118" s="25">
        <f>SUM(AA119,AA141,AA162,AA138,AA174)</f>
        <v>2941889</v>
      </c>
      <c r="AB118" s="25">
        <f t="shared" si="31"/>
        <v>-29711</v>
      </c>
    </row>
    <row r="119" spans="1:187" s="6" customFormat="1" x14ac:dyDescent="0.25">
      <c r="A119" s="24" t="s">
        <v>90</v>
      </c>
      <c r="B119" s="25">
        <f t="shared" si="23"/>
        <v>114305</v>
      </c>
      <c r="C119" s="25">
        <f t="shared" si="23"/>
        <v>124143</v>
      </c>
      <c r="D119" s="25">
        <f t="shared" si="23"/>
        <v>9838</v>
      </c>
      <c r="E119" s="25">
        <f>SUM(E120:E137)</f>
        <v>0</v>
      </c>
      <c r="F119" s="25">
        <f>SUM(F120:F137)</f>
        <v>0</v>
      </c>
      <c r="G119" s="25">
        <f t="shared" si="24"/>
        <v>0</v>
      </c>
      <c r="H119" s="25">
        <f>SUM(H120:H137)</f>
        <v>0</v>
      </c>
      <c r="I119" s="25">
        <f>SUM(I120:I137)</f>
        <v>0</v>
      </c>
      <c r="J119" s="25">
        <f t="shared" si="25"/>
        <v>0</v>
      </c>
      <c r="K119" s="25">
        <f>SUM(K120:K137)</f>
        <v>28987</v>
      </c>
      <c r="L119" s="25">
        <f>SUM(L120:L137)</f>
        <v>38676</v>
      </c>
      <c r="M119" s="25">
        <f t="shared" si="26"/>
        <v>9689</v>
      </c>
      <c r="N119" s="25">
        <f>SUM(N120:N137)</f>
        <v>7250</v>
      </c>
      <c r="O119" s="25">
        <f>SUM(O120:O137)</f>
        <v>7250</v>
      </c>
      <c r="P119" s="25">
        <f t="shared" si="27"/>
        <v>0</v>
      </c>
      <c r="Q119" s="25">
        <f>SUM(Q120:Q137)</f>
        <v>78068</v>
      </c>
      <c r="R119" s="25">
        <f>SUM(R120:R137)</f>
        <v>78217</v>
      </c>
      <c r="S119" s="25">
        <f t="shared" si="28"/>
        <v>149</v>
      </c>
      <c r="T119" s="25">
        <f>SUM(T120:T137)</f>
        <v>0</v>
      </c>
      <c r="U119" s="25">
        <f>SUM(U120:U137)</f>
        <v>0</v>
      </c>
      <c r="V119" s="25">
        <f t="shared" si="29"/>
        <v>0</v>
      </c>
      <c r="W119" s="25">
        <f>SUM(W120:W137)</f>
        <v>0</v>
      </c>
      <c r="X119" s="25">
        <f>SUM(X120:X137)</f>
        <v>0</v>
      </c>
      <c r="Y119" s="25">
        <f t="shared" si="30"/>
        <v>0</v>
      </c>
      <c r="Z119" s="25">
        <f>SUM(Z120:Z137)</f>
        <v>0</v>
      </c>
      <c r="AA119" s="25">
        <f>SUM(AA120:AA137)</f>
        <v>0</v>
      </c>
      <c r="AB119" s="25">
        <f t="shared" si="31"/>
        <v>0</v>
      </c>
    </row>
    <row r="120" spans="1:187" s="23" customFormat="1" ht="47.25" x14ac:dyDescent="0.25">
      <c r="A120" s="30" t="s">
        <v>112</v>
      </c>
      <c r="B120" s="31">
        <f t="shared" si="23"/>
        <v>8814</v>
      </c>
      <c r="C120" s="31">
        <f t="shared" si="23"/>
        <v>13814</v>
      </c>
      <c r="D120" s="31">
        <f t="shared" si="23"/>
        <v>5000</v>
      </c>
      <c r="E120" s="31">
        <v>0</v>
      </c>
      <c r="F120" s="31">
        <v>0</v>
      </c>
      <c r="G120" s="31">
        <f t="shared" si="24"/>
        <v>0</v>
      </c>
      <c r="H120" s="31"/>
      <c r="I120" s="31"/>
      <c r="J120" s="31">
        <f t="shared" si="25"/>
        <v>0</v>
      </c>
      <c r="K120" s="31">
        <v>0</v>
      </c>
      <c r="L120" s="31">
        <v>5000</v>
      </c>
      <c r="M120" s="31">
        <f t="shared" si="26"/>
        <v>5000</v>
      </c>
      <c r="N120" s="31"/>
      <c r="O120" s="31"/>
      <c r="P120" s="31">
        <f t="shared" si="27"/>
        <v>0</v>
      </c>
      <c r="Q120" s="31">
        <v>8814</v>
      </c>
      <c r="R120" s="31">
        <v>8814</v>
      </c>
      <c r="S120" s="31">
        <f t="shared" si="28"/>
        <v>0</v>
      </c>
      <c r="T120" s="31">
        <v>0</v>
      </c>
      <c r="U120" s="31">
        <v>0</v>
      </c>
      <c r="V120" s="31">
        <f t="shared" si="29"/>
        <v>0</v>
      </c>
      <c r="W120" s="31"/>
      <c r="X120" s="31"/>
      <c r="Y120" s="31">
        <f t="shared" si="30"/>
        <v>0</v>
      </c>
      <c r="Z120" s="31"/>
      <c r="AA120" s="31"/>
      <c r="AB120" s="31">
        <f t="shared" si="31"/>
        <v>0</v>
      </c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</row>
    <row r="121" spans="1:187" s="23" customFormat="1" ht="47.25" x14ac:dyDescent="0.25">
      <c r="A121" s="30" t="s">
        <v>113</v>
      </c>
      <c r="B121" s="31">
        <f t="shared" si="23"/>
        <v>19999</v>
      </c>
      <c r="C121" s="31">
        <f t="shared" si="23"/>
        <v>19999</v>
      </c>
      <c r="D121" s="31">
        <f t="shared" si="23"/>
        <v>0</v>
      </c>
      <c r="E121" s="31">
        <v>0</v>
      </c>
      <c r="F121" s="31">
        <v>0</v>
      </c>
      <c r="G121" s="31">
        <f t="shared" si="24"/>
        <v>0</v>
      </c>
      <c r="H121" s="31"/>
      <c r="I121" s="31"/>
      <c r="J121" s="31">
        <f t="shared" si="25"/>
        <v>0</v>
      </c>
      <c r="K121" s="31">
        <v>0</v>
      </c>
      <c r="L121" s="31">
        <v>0</v>
      </c>
      <c r="M121" s="31">
        <f t="shared" si="26"/>
        <v>0</v>
      </c>
      <c r="N121" s="31"/>
      <c r="O121" s="31"/>
      <c r="P121" s="31">
        <f t="shared" si="27"/>
        <v>0</v>
      </c>
      <c r="Q121" s="31">
        <v>19999</v>
      </c>
      <c r="R121" s="31">
        <v>19999</v>
      </c>
      <c r="S121" s="31">
        <f t="shared" si="28"/>
        <v>0</v>
      </c>
      <c r="T121" s="31">
        <v>0</v>
      </c>
      <c r="U121" s="31">
        <v>0</v>
      </c>
      <c r="V121" s="31">
        <f t="shared" si="29"/>
        <v>0</v>
      </c>
      <c r="W121" s="31"/>
      <c r="X121" s="31"/>
      <c r="Y121" s="31">
        <f t="shared" si="30"/>
        <v>0</v>
      </c>
      <c r="Z121" s="31"/>
      <c r="AA121" s="31"/>
      <c r="AB121" s="31">
        <f t="shared" si="31"/>
        <v>0</v>
      </c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</row>
    <row r="122" spans="1:187" s="23" customFormat="1" ht="31.5" x14ac:dyDescent="0.25">
      <c r="A122" s="30" t="s">
        <v>114</v>
      </c>
      <c r="B122" s="31">
        <f t="shared" si="23"/>
        <v>3280</v>
      </c>
      <c r="C122" s="31">
        <f t="shared" si="23"/>
        <v>3280</v>
      </c>
      <c r="D122" s="31">
        <f t="shared" si="23"/>
        <v>0</v>
      </c>
      <c r="E122" s="31">
        <v>0</v>
      </c>
      <c r="F122" s="31">
        <v>0</v>
      </c>
      <c r="G122" s="31">
        <f t="shared" si="24"/>
        <v>0</v>
      </c>
      <c r="H122" s="31"/>
      <c r="I122" s="31"/>
      <c r="J122" s="31">
        <f t="shared" si="25"/>
        <v>0</v>
      </c>
      <c r="K122" s="31">
        <v>0</v>
      </c>
      <c r="L122" s="31">
        <v>0</v>
      </c>
      <c r="M122" s="31">
        <f t="shared" si="26"/>
        <v>0</v>
      </c>
      <c r="N122" s="31"/>
      <c r="O122" s="31"/>
      <c r="P122" s="31">
        <f t="shared" si="27"/>
        <v>0</v>
      </c>
      <c r="Q122" s="31">
        <v>3280</v>
      </c>
      <c r="R122" s="31">
        <v>3280</v>
      </c>
      <c r="S122" s="31">
        <f t="shared" si="28"/>
        <v>0</v>
      </c>
      <c r="T122" s="31">
        <v>0</v>
      </c>
      <c r="U122" s="31">
        <v>0</v>
      </c>
      <c r="V122" s="31">
        <f t="shared" si="29"/>
        <v>0</v>
      </c>
      <c r="W122" s="31"/>
      <c r="X122" s="31"/>
      <c r="Y122" s="31">
        <f t="shared" si="30"/>
        <v>0</v>
      </c>
      <c r="Z122" s="31"/>
      <c r="AA122" s="31"/>
      <c r="AB122" s="31">
        <f t="shared" si="31"/>
        <v>0</v>
      </c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</row>
    <row r="123" spans="1:187" s="23" customFormat="1" ht="47.25" x14ac:dyDescent="0.25">
      <c r="A123" s="30" t="s">
        <v>115</v>
      </c>
      <c r="B123" s="31">
        <f t="shared" si="23"/>
        <v>24632</v>
      </c>
      <c r="C123" s="31">
        <f t="shared" si="23"/>
        <v>24632</v>
      </c>
      <c r="D123" s="31">
        <f t="shared" si="23"/>
        <v>0</v>
      </c>
      <c r="E123" s="31">
        <v>0</v>
      </c>
      <c r="F123" s="31">
        <v>0</v>
      </c>
      <c r="G123" s="31">
        <f t="shared" si="24"/>
        <v>0</v>
      </c>
      <c r="H123" s="31"/>
      <c r="I123" s="31"/>
      <c r="J123" s="31">
        <f t="shared" si="25"/>
        <v>0</v>
      </c>
      <c r="K123" s="31">
        <v>0</v>
      </c>
      <c r="L123" s="31">
        <v>0</v>
      </c>
      <c r="M123" s="31">
        <f t="shared" si="26"/>
        <v>0</v>
      </c>
      <c r="N123" s="31"/>
      <c r="O123" s="31"/>
      <c r="P123" s="31">
        <f t="shared" si="27"/>
        <v>0</v>
      </c>
      <c r="Q123" s="31">
        <v>24632</v>
      </c>
      <c r="R123" s="31">
        <v>24632</v>
      </c>
      <c r="S123" s="31">
        <f t="shared" si="28"/>
        <v>0</v>
      </c>
      <c r="T123" s="31">
        <v>0</v>
      </c>
      <c r="U123" s="31">
        <v>0</v>
      </c>
      <c r="V123" s="31">
        <f t="shared" si="29"/>
        <v>0</v>
      </c>
      <c r="W123" s="31"/>
      <c r="X123" s="31"/>
      <c r="Y123" s="31">
        <f t="shared" si="30"/>
        <v>0</v>
      </c>
      <c r="Z123" s="31"/>
      <c r="AA123" s="31"/>
      <c r="AB123" s="31">
        <f t="shared" si="31"/>
        <v>0</v>
      </c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</row>
    <row r="124" spans="1:187" s="23" customFormat="1" ht="31.5" x14ac:dyDescent="0.25">
      <c r="A124" s="30" t="s">
        <v>116</v>
      </c>
      <c r="B124" s="31">
        <f t="shared" si="23"/>
        <v>0</v>
      </c>
      <c r="C124" s="31">
        <f t="shared" si="23"/>
        <v>3746</v>
      </c>
      <c r="D124" s="31">
        <f t="shared" si="23"/>
        <v>3746</v>
      </c>
      <c r="E124" s="31">
        <v>0</v>
      </c>
      <c r="F124" s="31">
        <v>0</v>
      </c>
      <c r="G124" s="31">
        <f t="shared" si="24"/>
        <v>0</v>
      </c>
      <c r="H124" s="31"/>
      <c r="I124" s="31"/>
      <c r="J124" s="31">
        <f t="shared" si="25"/>
        <v>0</v>
      </c>
      <c r="K124" s="31">
        <v>0</v>
      </c>
      <c r="L124" s="31">
        <v>3746</v>
      </c>
      <c r="M124" s="31">
        <f t="shared" si="26"/>
        <v>3746</v>
      </c>
      <c r="N124" s="31"/>
      <c r="O124" s="31"/>
      <c r="P124" s="31">
        <f t="shared" si="27"/>
        <v>0</v>
      </c>
      <c r="Q124" s="31"/>
      <c r="R124" s="31"/>
      <c r="S124" s="31">
        <f t="shared" si="28"/>
        <v>0</v>
      </c>
      <c r="T124" s="31">
        <v>0</v>
      </c>
      <c r="U124" s="31">
        <v>0</v>
      </c>
      <c r="V124" s="31">
        <f t="shared" si="29"/>
        <v>0</v>
      </c>
      <c r="W124" s="31"/>
      <c r="X124" s="31"/>
      <c r="Y124" s="31">
        <f t="shared" si="30"/>
        <v>0</v>
      </c>
      <c r="Z124" s="31"/>
      <c r="AA124" s="31"/>
      <c r="AB124" s="31">
        <f t="shared" si="31"/>
        <v>0</v>
      </c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</row>
    <row r="125" spans="1:187" s="23" customFormat="1" x14ac:dyDescent="0.25">
      <c r="A125" s="30" t="s">
        <v>117</v>
      </c>
      <c r="B125" s="31">
        <f t="shared" si="23"/>
        <v>5870</v>
      </c>
      <c r="C125" s="31">
        <f t="shared" si="23"/>
        <v>5870</v>
      </c>
      <c r="D125" s="31">
        <f t="shared" si="23"/>
        <v>0</v>
      </c>
      <c r="E125" s="31">
        <v>0</v>
      </c>
      <c r="F125" s="31">
        <v>0</v>
      </c>
      <c r="G125" s="31">
        <f t="shared" si="24"/>
        <v>0</v>
      </c>
      <c r="H125" s="31"/>
      <c r="I125" s="31"/>
      <c r="J125" s="31">
        <f t="shared" si="25"/>
        <v>0</v>
      </c>
      <c r="K125" s="31">
        <v>5870</v>
      </c>
      <c r="L125" s="31">
        <v>5870</v>
      </c>
      <c r="M125" s="31">
        <f t="shared" si="26"/>
        <v>0</v>
      </c>
      <c r="N125" s="31"/>
      <c r="O125" s="31"/>
      <c r="P125" s="31">
        <f t="shared" si="27"/>
        <v>0</v>
      </c>
      <c r="Q125" s="31"/>
      <c r="R125" s="31"/>
      <c r="S125" s="31">
        <f t="shared" si="28"/>
        <v>0</v>
      </c>
      <c r="T125" s="31">
        <v>0</v>
      </c>
      <c r="U125" s="31">
        <v>0</v>
      </c>
      <c r="V125" s="31">
        <f t="shared" si="29"/>
        <v>0</v>
      </c>
      <c r="W125" s="31"/>
      <c r="X125" s="31"/>
      <c r="Y125" s="31">
        <f t="shared" si="30"/>
        <v>0</v>
      </c>
      <c r="Z125" s="31"/>
      <c r="AA125" s="31"/>
      <c r="AB125" s="31">
        <f t="shared" si="31"/>
        <v>0</v>
      </c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</row>
    <row r="126" spans="1:187" s="23" customFormat="1" ht="31.5" x14ac:dyDescent="0.25">
      <c r="A126" s="30" t="s">
        <v>118</v>
      </c>
      <c r="B126" s="31">
        <f t="shared" si="23"/>
        <v>18343</v>
      </c>
      <c r="C126" s="31">
        <f t="shared" si="23"/>
        <v>18343</v>
      </c>
      <c r="D126" s="31">
        <f t="shared" si="23"/>
        <v>0</v>
      </c>
      <c r="E126" s="31">
        <v>0</v>
      </c>
      <c r="F126" s="31">
        <v>0</v>
      </c>
      <c r="G126" s="31">
        <f t="shared" si="24"/>
        <v>0</v>
      </c>
      <c r="H126" s="31"/>
      <c r="I126" s="31"/>
      <c r="J126" s="31">
        <f t="shared" si="25"/>
        <v>0</v>
      </c>
      <c r="K126" s="31">
        <v>0</v>
      </c>
      <c r="L126" s="31">
        <v>0</v>
      </c>
      <c r="M126" s="31">
        <f t="shared" si="26"/>
        <v>0</v>
      </c>
      <c r="N126" s="31"/>
      <c r="O126" s="31"/>
      <c r="P126" s="31">
        <f t="shared" si="27"/>
        <v>0</v>
      </c>
      <c r="Q126" s="31">
        <v>18343</v>
      </c>
      <c r="R126" s="31">
        <v>18343</v>
      </c>
      <c r="S126" s="31">
        <f t="shared" si="28"/>
        <v>0</v>
      </c>
      <c r="T126" s="31">
        <v>0</v>
      </c>
      <c r="U126" s="31">
        <v>0</v>
      </c>
      <c r="V126" s="31">
        <f t="shared" si="29"/>
        <v>0</v>
      </c>
      <c r="W126" s="31"/>
      <c r="X126" s="31"/>
      <c r="Y126" s="31">
        <f t="shared" si="30"/>
        <v>0</v>
      </c>
      <c r="Z126" s="31"/>
      <c r="AA126" s="31"/>
      <c r="AB126" s="31">
        <f t="shared" si="31"/>
        <v>0</v>
      </c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</row>
    <row r="127" spans="1:187" s="23" customFormat="1" ht="31.5" x14ac:dyDescent="0.25">
      <c r="A127" s="30" t="s">
        <v>119</v>
      </c>
      <c r="B127" s="31">
        <f t="shared" si="23"/>
        <v>6241</v>
      </c>
      <c r="C127" s="31">
        <f t="shared" si="23"/>
        <v>6241</v>
      </c>
      <c r="D127" s="31">
        <f t="shared" si="23"/>
        <v>0</v>
      </c>
      <c r="E127" s="31">
        <v>0</v>
      </c>
      <c r="F127" s="31">
        <v>0</v>
      </c>
      <c r="G127" s="31">
        <f t="shared" si="24"/>
        <v>0</v>
      </c>
      <c r="H127" s="31"/>
      <c r="I127" s="31"/>
      <c r="J127" s="31">
        <f t="shared" si="25"/>
        <v>0</v>
      </c>
      <c r="K127" s="31">
        <v>6241</v>
      </c>
      <c r="L127" s="31">
        <v>6241</v>
      </c>
      <c r="M127" s="31">
        <f t="shared" si="26"/>
        <v>0</v>
      </c>
      <c r="N127" s="31"/>
      <c r="O127" s="31"/>
      <c r="P127" s="31">
        <f t="shared" si="27"/>
        <v>0</v>
      </c>
      <c r="Q127" s="31"/>
      <c r="R127" s="31"/>
      <c r="S127" s="31">
        <f t="shared" si="28"/>
        <v>0</v>
      </c>
      <c r="T127" s="31">
        <v>0</v>
      </c>
      <c r="U127" s="31">
        <v>0</v>
      </c>
      <c r="V127" s="31">
        <f t="shared" si="29"/>
        <v>0</v>
      </c>
      <c r="W127" s="31"/>
      <c r="X127" s="31"/>
      <c r="Y127" s="31">
        <f t="shared" si="30"/>
        <v>0</v>
      </c>
      <c r="Z127" s="31"/>
      <c r="AA127" s="31"/>
      <c r="AB127" s="31">
        <f t="shared" si="31"/>
        <v>0</v>
      </c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</row>
    <row r="128" spans="1:187" s="23" customFormat="1" ht="63" x14ac:dyDescent="0.25">
      <c r="A128" s="30" t="s">
        <v>120</v>
      </c>
      <c r="B128" s="31">
        <f t="shared" si="23"/>
        <v>1250</v>
      </c>
      <c r="C128" s="31">
        <f t="shared" si="23"/>
        <v>1250</v>
      </c>
      <c r="D128" s="31">
        <f t="shared" si="23"/>
        <v>0</v>
      </c>
      <c r="E128" s="31">
        <v>0</v>
      </c>
      <c r="F128" s="31">
        <v>0</v>
      </c>
      <c r="G128" s="31">
        <f t="shared" si="24"/>
        <v>0</v>
      </c>
      <c r="H128" s="31"/>
      <c r="I128" s="31"/>
      <c r="J128" s="31">
        <f t="shared" si="25"/>
        <v>0</v>
      </c>
      <c r="K128" s="31">
        <v>0</v>
      </c>
      <c r="L128" s="31">
        <v>0</v>
      </c>
      <c r="M128" s="31">
        <f t="shared" si="26"/>
        <v>0</v>
      </c>
      <c r="N128" s="31">
        <v>1250</v>
      </c>
      <c r="O128" s="31">
        <v>1250</v>
      </c>
      <c r="P128" s="31">
        <f t="shared" si="27"/>
        <v>0</v>
      </c>
      <c r="Q128" s="31"/>
      <c r="R128" s="31"/>
      <c r="S128" s="31">
        <f t="shared" si="28"/>
        <v>0</v>
      </c>
      <c r="T128" s="31">
        <v>0</v>
      </c>
      <c r="U128" s="31">
        <v>0</v>
      </c>
      <c r="V128" s="31">
        <f t="shared" si="29"/>
        <v>0</v>
      </c>
      <c r="W128" s="31"/>
      <c r="X128" s="31"/>
      <c r="Y128" s="31">
        <f t="shared" si="30"/>
        <v>0</v>
      </c>
      <c r="Z128" s="31"/>
      <c r="AA128" s="31"/>
      <c r="AB128" s="31">
        <f t="shared" si="31"/>
        <v>0</v>
      </c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</row>
    <row r="129" spans="1:187" s="6" customFormat="1" ht="31.5" x14ac:dyDescent="0.25">
      <c r="A129" s="30" t="s">
        <v>121</v>
      </c>
      <c r="B129" s="31">
        <f t="shared" si="23"/>
        <v>1500</v>
      </c>
      <c r="C129" s="31">
        <f t="shared" si="23"/>
        <v>1500</v>
      </c>
      <c r="D129" s="31">
        <f t="shared" si="23"/>
        <v>0</v>
      </c>
      <c r="E129" s="31">
        <v>0</v>
      </c>
      <c r="F129" s="31">
        <v>0</v>
      </c>
      <c r="G129" s="31">
        <f t="shared" si="24"/>
        <v>0</v>
      </c>
      <c r="H129" s="31"/>
      <c r="I129" s="31"/>
      <c r="J129" s="31">
        <f t="shared" si="25"/>
        <v>0</v>
      </c>
      <c r="K129" s="31">
        <v>1500</v>
      </c>
      <c r="L129" s="31">
        <v>1500</v>
      </c>
      <c r="M129" s="31">
        <f t="shared" si="26"/>
        <v>0</v>
      </c>
      <c r="N129" s="31"/>
      <c r="O129" s="31"/>
      <c r="P129" s="31">
        <f t="shared" si="27"/>
        <v>0</v>
      </c>
      <c r="Q129" s="31">
        <v>0</v>
      </c>
      <c r="R129" s="31">
        <v>0</v>
      </c>
      <c r="S129" s="31">
        <f t="shared" si="28"/>
        <v>0</v>
      </c>
      <c r="T129" s="31"/>
      <c r="U129" s="31"/>
      <c r="V129" s="31">
        <f t="shared" si="29"/>
        <v>0</v>
      </c>
      <c r="W129" s="31"/>
      <c r="X129" s="31"/>
      <c r="Y129" s="31">
        <f t="shared" si="30"/>
        <v>0</v>
      </c>
      <c r="Z129" s="31"/>
      <c r="AA129" s="31"/>
      <c r="AB129" s="31">
        <f t="shared" si="31"/>
        <v>0</v>
      </c>
    </row>
    <row r="130" spans="1:187" s="6" customFormat="1" ht="31.5" x14ac:dyDescent="0.25">
      <c r="A130" s="30" t="s">
        <v>122</v>
      </c>
      <c r="B130" s="31">
        <f t="shared" si="23"/>
        <v>8314</v>
      </c>
      <c r="C130" s="31">
        <f t="shared" si="23"/>
        <v>4188</v>
      </c>
      <c r="D130" s="31">
        <f t="shared" si="23"/>
        <v>-4126</v>
      </c>
      <c r="E130" s="31">
        <v>0</v>
      </c>
      <c r="F130" s="31">
        <v>0</v>
      </c>
      <c r="G130" s="31">
        <f t="shared" si="24"/>
        <v>0</v>
      </c>
      <c r="H130" s="31"/>
      <c r="I130" s="31"/>
      <c r="J130" s="31">
        <f t="shared" si="25"/>
        <v>0</v>
      </c>
      <c r="K130" s="31">
        <f>3660+4654</f>
        <v>8314</v>
      </c>
      <c r="L130" s="31">
        <f>3660+4654-3660-466</f>
        <v>4188</v>
      </c>
      <c r="M130" s="31">
        <f t="shared" si="26"/>
        <v>-4126</v>
      </c>
      <c r="N130" s="31"/>
      <c r="O130" s="31"/>
      <c r="P130" s="31">
        <f t="shared" si="27"/>
        <v>0</v>
      </c>
      <c r="Q130" s="31">
        <v>0</v>
      </c>
      <c r="R130" s="31">
        <v>0</v>
      </c>
      <c r="S130" s="31">
        <f t="shared" si="28"/>
        <v>0</v>
      </c>
      <c r="T130" s="31"/>
      <c r="U130" s="31"/>
      <c r="V130" s="31">
        <f t="shared" si="29"/>
        <v>0</v>
      </c>
      <c r="W130" s="31"/>
      <c r="X130" s="31"/>
      <c r="Y130" s="31">
        <f t="shared" si="30"/>
        <v>0</v>
      </c>
      <c r="Z130" s="31"/>
      <c r="AA130" s="31"/>
      <c r="AB130" s="31">
        <f t="shared" si="31"/>
        <v>0</v>
      </c>
    </row>
    <row r="131" spans="1:187" s="6" customFormat="1" x14ac:dyDescent="0.25">
      <c r="A131" s="30" t="s">
        <v>123</v>
      </c>
      <c r="B131" s="31">
        <f t="shared" si="23"/>
        <v>0</v>
      </c>
      <c r="C131" s="31">
        <f t="shared" si="23"/>
        <v>5069</v>
      </c>
      <c r="D131" s="31">
        <f t="shared" si="23"/>
        <v>5069</v>
      </c>
      <c r="E131" s="31">
        <v>0</v>
      </c>
      <c r="F131" s="31">
        <v>0</v>
      </c>
      <c r="G131" s="31">
        <f t="shared" si="24"/>
        <v>0</v>
      </c>
      <c r="H131" s="31"/>
      <c r="I131" s="31"/>
      <c r="J131" s="31">
        <f t="shared" si="25"/>
        <v>0</v>
      </c>
      <c r="K131" s="31"/>
      <c r="L131" s="31">
        <v>5069</v>
      </c>
      <c r="M131" s="31">
        <f t="shared" si="26"/>
        <v>5069</v>
      </c>
      <c r="N131" s="31"/>
      <c r="O131" s="31"/>
      <c r="P131" s="31">
        <f t="shared" si="27"/>
        <v>0</v>
      </c>
      <c r="Q131" s="31">
        <v>0</v>
      </c>
      <c r="R131" s="31">
        <v>0</v>
      </c>
      <c r="S131" s="31">
        <f t="shared" si="28"/>
        <v>0</v>
      </c>
      <c r="T131" s="31"/>
      <c r="U131" s="31"/>
      <c r="V131" s="31">
        <f t="shared" si="29"/>
        <v>0</v>
      </c>
      <c r="W131" s="31"/>
      <c r="X131" s="31"/>
      <c r="Y131" s="31">
        <f t="shared" si="30"/>
        <v>0</v>
      </c>
      <c r="Z131" s="31"/>
      <c r="AA131" s="31"/>
      <c r="AB131" s="31">
        <f t="shared" si="31"/>
        <v>0</v>
      </c>
    </row>
    <row r="132" spans="1:187" s="6" customFormat="1" ht="63" x14ac:dyDescent="0.25">
      <c r="A132" s="30" t="s">
        <v>124</v>
      </c>
      <c r="B132" s="31">
        <f t="shared" si="23"/>
        <v>6000</v>
      </c>
      <c r="C132" s="31">
        <f t="shared" si="23"/>
        <v>6000</v>
      </c>
      <c r="D132" s="31">
        <f t="shared" si="23"/>
        <v>0</v>
      </c>
      <c r="E132" s="31">
        <v>0</v>
      </c>
      <c r="F132" s="31">
        <v>0</v>
      </c>
      <c r="G132" s="31">
        <f t="shared" si="24"/>
        <v>0</v>
      </c>
      <c r="H132" s="31"/>
      <c r="I132" s="31"/>
      <c r="J132" s="31">
        <f t="shared" si="25"/>
        <v>0</v>
      </c>
      <c r="K132" s="31">
        <v>0</v>
      </c>
      <c r="L132" s="31">
        <v>0</v>
      </c>
      <c r="M132" s="31">
        <f t="shared" si="26"/>
        <v>0</v>
      </c>
      <c r="N132" s="31">
        <v>6000</v>
      </c>
      <c r="O132" s="31">
        <v>6000</v>
      </c>
      <c r="P132" s="31">
        <f t="shared" si="27"/>
        <v>0</v>
      </c>
      <c r="Q132" s="31">
        <v>0</v>
      </c>
      <c r="R132" s="31">
        <v>0</v>
      </c>
      <c r="S132" s="31">
        <f t="shared" si="28"/>
        <v>0</v>
      </c>
      <c r="T132" s="31"/>
      <c r="U132" s="31"/>
      <c r="V132" s="31">
        <f t="shared" si="29"/>
        <v>0</v>
      </c>
      <c r="W132" s="31"/>
      <c r="X132" s="31"/>
      <c r="Y132" s="31">
        <f t="shared" si="30"/>
        <v>0</v>
      </c>
      <c r="Z132" s="31"/>
      <c r="AA132" s="31"/>
      <c r="AB132" s="31">
        <f t="shared" si="31"/>
        <v>0</v>
      </c>
    </row>
    <row r="133" spans="1:187" s="23" customFormat="1" ht="31.5" x14ac:dyDescent="0.25">
      <c r="A133" s="30" t="s">
        <v>125</v>
      </c>
      <c r="B133" s="31">
        <f t="shared" si="23"/>
        <v>872</v>
      </c>
      <c r="C133" s="31">
        <f t="shared" si="23"/>
        <v>872</v>
      </c>
      <c r="D133" s="31">
        <f t="shared" si="23"/>
        <v>0</v>
      </c>
      <c r="E133" s="31">
        <v>0</v>
      </c>
      <c r="F133" s="31">
        <v>0</v>
      </c>
      <c r="G133" s="31">
        <f t="shared" si="24"/>
        <v>0</v>
      </c>
      <c r="H133" s="31"/>
      <c r="I133" s="31"/>
      <c r="J133" s="31">
        <f t="shared" si="25"/>
        <v>0</v>
      </c>
      <c r="K133" s="31">
        <v>872</v>
      </c>
      <c r="L133" s="31">
        <v>872</v>
      </c>
      <c r="M133" s="31">
        <f t="shared" si="26"/>
        <v>0</v>
      </c>
      <c r="N133" s="31"/>
      <c r="O133" s="31"/>
      <c r="P133" s="31">
        <f t="shared" si="27"/>
        <v>0</v>
      </c>
      <c r="Q133" s="31"/>
      <c r="R133" s="31"/>
      <c r="S133" s="31">
        <f t="shared" si="28"/>
        <v>0</v>
      </c>
      <c r="T133" s="31">
        <v>0</v>
      </c>
      <c r="U133" s="31">
        <v>0</v>
      </c>
      <c r="V133" s="31">
        <f t="shared" si="29"/>
        <v>0</v>
      </c>
      <c r="W133" s="31"/>
      <c r="X133" s="31"/>
      <c r="Y133" s="31">
        <f t="shared" si="30"/>
        <v>0</v>
      </c>
      <c r="Z133" s="31"/>
      <c r="AA133" s="31"/>
      <c r="AB133" s="31">
        <f t="shared" si="31"/>
        <v>0</v>
      </c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</row>
    <row r="134" spans="1:187" s="23" customFormat="1" ht="31.5" x14ac:dyDescent="0.25">
      <c r="A134" s="30" t="s">
        <v>126</v>
      </c>
      <c r="B134" s="31">
        <f t="shared" si="23"/>
        <v>2617</v>
      </c>
      <c r="C134" s="31">
        <f t="shared" si="23"/>
        <v>2617</v>
      </c>
      <c r="D134" s="31">
        <f t="shared" si="23"/>
        <v>0</v>
      </c>
      <c r="E134" s="31">
        <v>0</v>
      </c>
      <c r="F134" s="31">
        <v>0</v>
      </c>
      <c r="G134" s="31">
        <f t="shared" ref="G134:G194" si="32">F134-E134</f>
        <v>0</v>
      </c>
      <c r="H134" s="31"/>
      <c r="I134" s="31"/>
      <c r="J134" s="31">
        <f t="shared" ref="J134:J194" si="33">I134-H134</f>
        <v>0</v>
      </c>
      <c r="K134" s="31">
        <v>2617</v>
      </c>
      <c r="L134" s="31">
        <v>2617</v>
      </c>
      <c r="M134" s="31">
        <f t="shared" ref="M134:M194" si="34">L134-K134</f>
        <v>0</v>
      </c>
      <c r="N134" s="31"/>
      <c r="O134" s="31"/>
      <c r="P134" s="31">
        <f t="shared" ref="P134:P158" si="35">O134-N134</f>
        <v>0</v>
      </c>
      <c r="Q134" s="31"/>
      <c r="R134" s="31"/>
      <c r="S134" s="31">
        <f t="shared" ref="S134:S194" si="36">R134-Q134</f>
        <v>0</v>
      </c>
      <c r="T134" s="31">
        <v>0</v>
      </c>
      <c r="U134" s="31">
        <v>0</v>
      </c>
      <c r="V134" s="31">
        <f t="shared" ref="V134:V194" si="37">U134-T134</f>
        <v>0</v>
      </c>
      <c r="W134" s="31"/>
      <c r="X134" s="31"/>
      <c r="Y134" s="31">
        <f t="shared" ref="Y134:Y194" si="38">X134-W134</f>
        <v>0</v>
      </c>
      <c r="Z134" s="31"/>
      <c r="AA134" s="31"/>
      <c r="AB134" s="31">
        <f t="shared" ref="AB134:AB194" si="39">AA134-Z134</f>
        <v>0</v>
      </c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</row>
    <row r="135" spans="1:187" s="23" customFormat="1" ht="31.5" x14ac:dyDescent="0.25">
      <c r="A135" s="30" t="s">
        <v>127</v>
      </c>
      <c r="B135" s="31">
        <f t="shared" si="23"/>
        <v>1511</v>
      </c>
      <c r="C135" s="31">
        <f t="shared" si="23"/>
        <v>1511</v>
      </c>
      <c r="D135" s="31">
        <f t="shared" si="23"/>
        <v>0</v>
      </c>
      <c r="E135" s="31">
        <v>0</v>
      </c>
      <c r="F135" s="31">
        <v>0</v>
      </c>
      <c r="G135" s="31">
        <f t="shared" si="32"/>
        <v>0</v>
      </c>
      <c r="H135" s="31"/>
      <c r="I135" s="31"/>
      <c r="J135" s="31">
        <f t="shared" si="33"/>
        <v>0</v>
      </c>
      <c r="K135" s="31">
        <v>1511</v>
      </c>
      <c r="L135" s="31">
        <v>1511</v>
      </c>
      <c r="M135" s="31">
        <f t="shared" si="34"/>
        <v>0</v>
      </c>
      <c r="N135" s="31"/>
      <c r="O135" s="31"/>
      <c r="P135" s="31">
        <f t="shared" si="35"/>
        <v>0</v>
      </c>
      <c r="Q135" s="31"/>
      <c r="R135" s="31"/>
      <c r="S135" s="31">
        <f t="shared" si="36"/>
        <v>0</v>
      </c>
      <c r="T135" s="31">
        <v>0</v>
      </c>
      <c r="U135" s="31">
        <v>0</v>
      </c>
      <c r="V135" s="31">
        <f t="shared" si="37"/>
        <v>0</v>
      </c>
      <c r="W135" s="31"/>
      <c r="X135" s="31"/>
      <c r="Y135" s="31">
        <f t="shared" si="38"/>
        <v>0</v>
      </c>
      <c r="Z135" s="31"/>
      <c r="AA135" s="31"/>
      <c r="AB135" s="31">
        <f t="shared" si="39"/>
        <v>0</v>
      </c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</row>
    <row r="136" spans="1:187" s="23" customFormat="1" ht="31.5" x14ac:dyDescent="0.25">
      <c r="A136" s="30" t="s">
        <v>128</v>
      </c>
      <c r="B136" s="31">
        <f t="shared" si="23"/>
        <v>2062</v>
      </c>
      <c r="C136" s="31">
        <f t="shared" si="23"/>
        <v>2062</v>
      </c>
      <c r="D136" s="31">
        <f t="shared" si="23"/>
        <v>0</v>
      </c>
      <c r="E136" s="31">
        <v>0</v>
      </c>
      <c r="F136" s="31">
        <v>0</v>
      </c>
      <c r="G136" s="31">
        <f t="shared" si="32"/>
        <v>0</v>
      </c>
      <c r="H136" s="31"/>
      <c r="I136" s="31"/>
      <c r="J136" s="31">
        <f t="shared" si="33"/>
        <v>0</v>
      </c>
      <c r="K136" s="31">
        <v>2062</v>
      </c>
      <c r="L136" s="31">
        <v>2062</v>
      </c>
      <c r="M136" s="31">
        <f t="shared" si="34"/>
        <v>0</v>
      </c>
      <c r="N136" s="31"/>
      <c r="O136" s="31"/>
      <c r="P136" s="31">
        <f t="shared" si="35"/>
        <v>0</v>
      </c>
      <c r="Q136" s="31"/>
      <c r="R136" s="31"/>
      <c r="S136" s="31">
        <f t="shared" si="36"/>
        <v>0</v>
      </c>
      <c r="T136" s="31">
        <v>0</v>
      </c>
      <c r="U136" s="31">
        <v>0</v>
      </c>
      <c r="V136" s="31">
        <f t="shared" si="37"/>
        <v>0</v>
      </c>
      <c r="W136" s="31"/>
      <c r="X136" s="31"/>
      <c r="Y136" s="31">
        <f t="shared" si="38"/>
        <v>0</v>
      </c>
      <c r="Z136" s="31"/>
      <c r="AA136" s="31"/>
      <c r="AB136" s="31">
        <f t="shared" si="39"/>
        <v>0</v>
      </c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</row>
    <row r="137" spans="1:187" s="23" customFormat="1" ht="31.5" x14ac:dyDescent="0.25">
      <c r="A137" s="30" t="s">
        <v>129</v>
      </c>
      <c r="B137" s="31">
        <f t="shared" si="23"/>
        <v>3000</v>
      </c>
      <c r="C137" s="31">
        <f t="shared" si="23"/>
        <v>3149</v>
      </c>
      <c r="D137" s="31">
        <f t="shared" si="23"/>
        <v>149</v>
      </c>
      <c r="E137" s="31">
        <v>0</v>
      </c>
      <c r="F137" s="31">
        <v>0</v>
      </c>
      <c r="G137" s="31">
        <f t="shared" si="32"/>
        <v>0</v>
      </c>
      <c r="H137" s="31"/>
      <c r="I137" s="31"/>
      <c r="J137" s="31">
        <f t="shared" si="33"/>
        <v>0</v>
      </c>
      <c r="K137" s="31">
        <v>0</v>
      </c>
      <c r="L137" s="31">
        <v>0</v>
      </c>
      <c r="M137" s="31">
        <f t="shared" si="34"/>
        <v>0</v>
      </c>
      <c r="N137" s="31"/>
      <c r="O137" s="31"/>
      <c r="P137" s="31">
        <f t="shared" si="35"/>
        <v>0</v>
      </c>
      <c r="Q137" s="31">
        <v>3000</v>
      </c>
      <c r="R137" s="31">
        <f>3000+149</f>
        <v>3149</v>
      </c>
      <c r="S137" s="31">
        <f t="shared" si="36"/>
        <v>149</v>
      </c>
      <c r="T137" s="31">
        <v>0</v>
      </c>
      <c r="U137" s="31">
        <v>0</v>
      </c>
      <c r="V137" s="31">
        <f t="shared" si="37"/>
        <v>0</v>
      </c>
      <c r="W137" s="31"/>
      <c r="X137" s="31"/>
      <c r="Y137" s="31">
        <f t="shared" si="38"/>
        <v>0</v>
      </c>
      <c r="Z137" s="31"/>
      <c r="AA137" s="31"/>
      <c r="AB137" s="31">
        <f t="shared" si="39"/>
        <v>0</v>
      </c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</row>
    <row r="138" spans="1:187" s="6" customFormat="1" x14ac:dyDescent="0.25">
      <c r="A138" s="24" t="s">
        <v>95</v>
      </c>
      <c r="B138" s="25">
        <f t="shared" ref="B138:D207" si="40">E138+H138+K138+N138+Q138+T138+W138+Z138</f>
        <v>2976580</v>
      </c>
      <c r="C138" s="25">
        <f t="shared" si="40"/>
        <v>2976580</v>
      </c>
      <c r="D138" s="25">
        <f t="shared" si="40"/>
        <v>0</v>
      </c>
      <c r="E138" s="25">
        <f>SUM(E139:E140)</f>
        <v>0</v>
      </c>
      <c r="F138" s="25">
        <f>SUM(F139:F140)</f>
        <v>0</v>
      </c>
      <c r="G138" s="25">
        <f t="shared" si="32"/>
        <v>0</v>
      </c>
      <c r="H138" s="25">
        <f>SUM(H139:H140)</f>
        <v>0</v>
      </c>
      <c r="I138" s="25">
        <f>SUM(I139:I140)</f>
        <v>0</v>
      </c>
      <c r="J138" s="25">
        <f t="shared" si="33"/>
        <v>0</v>
      </c>
      <c r="K138" s="25">
        <f>SUM(K139:K140)</f>
        <v>4980</v>
      </c>
      <c r="L138" s="25">
        <f>SUM(L139:L140)</f>
        <v>4980</v>
      </c>
      <c r="M138" s="25">
        <f t="shared" si="34"/>
        <v>0</v>
      </c>
      <c r="N138" s="25">
        <f>SUM(N139:N140)</f>
        <v>0</v>
      </c>
      <c r="O138" s="25">
        <f>SUM(O139:O140)</f>
        <v>0</v>
      </c>
      <c r="P138" s="25">
        <f t="shared" si="35"/>
        <v>0</v>
      </c>
      <c r="Q138" s="25">
        <f>SUM(Q139:Q140)</f>
        <v>0</v>
      </c>
      <c r="R138" s="25">
        <f>SUM(R139:R140)</f>
        <v>0</v>
      </c>
      <c r="S138" s="25">
        <f t="shared" si="36"/>
        <v>0</v>
      </c>
      <c r="T138" s="25">
        <f>SUM(T139:T140)</f>
        <v>0</v>
      </c>
      <c r="U138" s="25">
        <f>SUM(U139:U140)</f>
        <v>0</v>
      </c>
      <c r="V138" s="25">
        <f t="shared" si="37"/>
        <v>0</v>
      </c>
      <c r="W138" s="25">
        <f>SUM(W139:W140)</f>
        <v>0</v>
      </c>
      <c r="X138" s="25">
        <f>SUM(X139:X140)</f>
        <v>29711</v>
      </c>
      <c r="Y138" s="25">
        <f t="shared" si="38"/>
        <v>29711</v>
      </c>
      <c r="Z138" s="25">
        <f>SUM(Z139:Z140)</f>
        <v>2971600</v>
      </c>
      <c r="AA138" s="25">
        <f>SUM(AA139:AA140)</f>
        <v>2941889</v>
      </c>
      <c r="AB138" s="25">
        <f t="shared" si="39"/>
        <v>-29711</v>
      </c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</row>
    <row r="139" spans="1:187" s="6" customFormat="1" x14ac:dyDescent="0.25">
      <c r="A139" s="30" t="s">
        <v>130</v>
      </c>
      <c r="B139" s="31">
        <f t="shared" si="40"/>
        <v>2971600</v>
      </c>
      <c r="C139" s="31">
        <f t="shared" si="40"/>
        <v>2971600</v>
      </c>
      <c r="D139" s="31">
        <f t="shared" si="40"/>
        <v>0</v>
      </c>
      <c r="E139" s="31">
        <v>0</v>
      </c>
      <c r="F139" s="31">
        <v>0</v>
      </c>
      <c r="G139" s="31">
        <f t="shared" si="32"/>
        <v>0</v>
      </c>
      <c r="H139" s="31"/>
      <c r="I139" s="31"/>
      <c r="J139" s="31">
        <f t="shared" si="33"/>
        <v>0</v>
      </c>
      <c r="K139" s="31">
        <v>0</v>
      </c>
      <c r="L139" s="31">
        <v>0</v>
      </c>
      <c r="M139" s="31">
        <f t="shared" si="34"/>
        <v>0</v>
      </c>
      <c r="N139" s="31">
        <v>0</v>
      </c>
      <c r="O139" s="31">
        <v>0</v>
      </c>
      <c r="P139" s="31">
        <f t="shared" si="35"/>
        <v>0</v>
      </c>
      <c r="Q139" s="31"/>
      <c r="R139" s="31"/>
      <c r="S139" s="31">
        <f t="shared" si="36"/>
        <v>0</v>
      </c>
      <c r="T139" s="31">
        <v>0</v>
      </c>
      <c r="U139" s="31">
        <v>0</v>
      </c>
      <c r="V139" s="31">
        <f t="shared" si="37"/>
        <v>0</v>
      </c>
      <c r="W139" s="31"/>
      <c r="X139" s="31">
        <f>29711</f>
        <v>29711</v>
      </c>
      <c r="Y139" s="31">
        <f t="shared" si="38"/>
        <v>29711</v>
      </c>
      <c r="Z139" s="31">
        <v>2971600</v>
      </c>
      <c r="AA139" s="31">
        <f>2971600-29711</f>
        <v>2941889</v>
      </c>
      <c r="AB139" s="31">
        <f t="shared" si="39"/>
        <v>-29711</v>
      </c>
    </row>
    <row r="140" spans="1:187" s="6" customFormat="1" ht="31.5" x14ac:dyDescent="0.25">
      <c r="A140" s="30" t="s">
        <v>131</v>
      </c>
      <c r="B140" s="31">
        <f t="shared" si="40"/>
        <v>4980</v>
      </c>
      <c r="C140" s="31">
        <f t="shared" si="40"/>
        <v>4980</v>
      </c>
      <c r="D140" s="31">
        <f t="shared" si="40"/>
        <v>0</v>
      </c>
      <c r="E140" s="31">
        <v>0</v>
      </c>
      <c r="F140" s="31">
        <v>0</v>
      </c>
      <c r="G140" s="31">
        <f t="shared" si="32"/>
        <v>0</v>
      </c>
      <c r="H140" s="31"/>
      <c r="I140" s="31"/>
      <c r="J140" s="31">
        <f t="shared" si="33"/>
        <v>0</v>
      </c>
      <c r="K140" s="31">
        <v>4980</v>
      </c>
      <c r="L140" s="31">
        <v>4980</v>
      </c>
      <c r="M140" s="31">
        <f t="shared" si="34"/>
        <v>0</v>
      </c>
      <c r="N140" s="31">
        <v>0</v>
      </c>
      <c r="O140" s="31">
        <v>0</v>
      </c>
      <c r="P140" s="31">
        <f t="shared" si="35"/>
        <v>0</v>
      </c>
      <c r="Q140" s="31"/>
      <c r="R140" s="31"/>
      <c r="S140" s="31">
        <f t="shared" si="36"/>
        <v>0</v>
      </c>
      <c r="T140" s="31">
        <v>0</v>
      </c>
      <c r="U140" s="31">
        <v>0</v>
      </c>
      <c r="V140" s="31">
        <f t="shared" si="37"/>
        <v>0</v>
      </c>
      <c r="W140" s="31"/>
      <c r="X140" s="31"/>
      <c r="Y140" s="31">
        <f t="shared" si="38"/>
        <v>0</v>
      </c>
      <c r="Z140" s="31"/>
      <c r="AA140" s="31"/>
      <c r="AB140" s="31">
        <f t="shared" si="39"/>
        <v>0</v>
      </c>
    </row>
    <row r="141" spans="1:187" s="6" customFormat="1" ht="31.5" x14ac:dyDescent="0.25">
      <c r="A141" s="24" t="s">
        <v>97</v>
      </c>
      <c r="B141" s="25">
        <f t="shared" si="40"/>
        <v>197876</v>
      </c>
      <c r="C141" s="25">
        <f t="shared" si="40"/>
        <v>225252</v>
      </c>
      <c r="D141" s="25">
        <f t="shared" si="40"/>
        <v>27376</v>
      </c>
      <c r="E141" s="25"/>
      <c r="F141" s="25"/>
      <c r="G141" s="25">
        <f t="shared" si="32"/>
        <v>0</v>
      </c>
      <c r="H141" s="25">
        <f>SUM(H142:H161)</f>
        <v>0</v>
      </c>
      <c r="I141" s="25">
        <f>SUM(I142:I161)</f>
        <v>0</v>
      </c>
      <c r="J141" s="25">
        <f t="shared" si="33"/>
        <v>0</v>
      </c>
      <c r="K141" s="25">
        <f>SUM(K142:K161)</f>
        <v>122875</v>
      </c>
      <c r="L141" s="25">
        <f>SUM(L142:L161)</f>
        <v>146755</v>
      </c>
      <c r="M141" s="25">
        <f t="shared" si="34"/>
        <v>23880</v>
      </c>
      <c r="N141" s="25">
        <f>SUM(N142:N161)</f>
        <v>14455</v>
      </c>
      <c r="O141" s="25">
        <f>SUM(O142:O161)</f>
        <v>14455</v>
      </c>
      <c r="P141" s="25">
        <f t="shared" si="35"/>
        <v>0</v>
      </c>
      <c r="Q141" s="25">
        <f>SUM(Q142:Q161)</f>
        <v>32498</v>
      </c>
      <c r="R141" s="25">
        <f>SUM(R142:R161)</f>
        <v>32498</v>
      </c>
      <c r="S141" s="25">
        <f t="shared" si="36"/>
        <v>0</v>
      </c>
      <c r="T141" s="25">
        <f>SUM(T142:T161)</f>
        <v>0</v>
      </c>
      <c r="U141" s="25">
        <f>SUM(U142:U161)</f>
        <v>0</v>
      </c>
      <c r="V141" s="25">
        <f t="shared" si="37"/>
        <v>0</v>
      </c>
      <c r="W141" s="25">
        <f>SUM(W142:W161)</f>
        <v>28048</v>
      </c>
      <c r="X141" s="25">
        <f>SUM(X142:X161)</f>
        <v>31544</v>
      </c>
      <c r="Y141" s="25">
        <f t="shared" si="38"/>
        <v>3496</v>
      </c>
      <c r="Z141" s="25">
        <f>SUM(Z142:Z161)</f>
        <v>0</v>
      </c>
      <c r="AA141" s="25">
        <f>SUM(AA142:AA161)</f>
        <v>0</v>
      </c>
      <c r="AB141" s="25">
        <f t="shared" si="39"/>
        <v>0</v>
      </c>
    </row>
    <row r="142" spans="1:187" s="6" customFormat="1" ht="63" x14ac:dyDescent="0.25">
      <c r="A142" s="30" t="s">
        <v>132</v>
      </c>
      <c r="B142" s="31">
        <f t="shared" si="40"/>
        <v>14455</v>
      </c>
      <c r="C142" s="31">
        <f t="shared" si="40"/>
        <v>14455</v>
      </c>
      <c r="D142" s="31">
        <f t="shared" si="40"/>
        <v>0</v>
      </c>
      <c r="E142" s="31">
        <v>0</v>
      </c>
      <c r="F142" s="31">
        <v>0</v>
      </c>
      <c r="G142" s="31">
        <f t="shared" si="32"/>
        <v>0</v>
      </c>
      <c r="H142" s="31"/>
      <c r="I142" s="31"/>
      <c r="J142" s="31">
        <f t="shared" si="33"/>
        <v>0</v>
      </c>
      <c r="K142" s="31">
        <v>0</v>
      </c>
      <c r="L142" s="31">
        <v>0</v>
      </c>
      <c r="M142" s="31">
        <f t="shared" si="34"/>
        <v>0</v>
      </c>
      <c r="N142" s="31">
        <v>14455</v>
      </c>
      <c r="O142" s="31">
        <v>14455</v>
      </c>
      <c r="P142" s="31">
        <f t="shared" si="35"/>
        <v>0</v>
      </c>
      <c r="Q142" s="31">
        <v>0</v>
      </c>
      <c r="R142" s="31">
        <v>0</v>
      </c>
      <c r="S142" s="31">
        <f t="shared" si="36"/>
        <v>0</v>
      </c>
      <c r="T142" s="31"/>
      <c r="U142" s="31"/>
      <c r="V142" s="31">
        <f t="shared" si="37"/>
        <v>0</v>
      </c>
      <c r="W142" s="31"/>
      <c r="X142" s="31"/>
      <c r="Y142" s="31">
        <f t="shared" si="38"/>
        <v>0</v>
      </c>
      <c r="Z142" s="31"/>
      <c r="AA142" s="31"/>
      <c r="AB142" s="31">
        <f t="shared" si="39"/>
        <v>0</v>
      </c>
    </row>
    <row r="143" spans="1:187" s="23" customFormat="1" ht="31.5" x14ac:dyDescent="0.25">
      <c r="A143" s="30" t="s">
        <v>133</v>
      </c>
      <c r="B143" s="31">
        <f t="shared" si="40"/>
        <v>7371</v>
      </c>
      <c r="C143" s="31">
        <f t="shared" si="40"/>
        <v>7371</v>
      </c>
      <c r="D143" s="31">
        <f t="shared" si="40"/>
        <v>0</v>
      </c>
      <c r="E143" s="31">
        <v>0</v>
      </c>
      <c r="F143" s="31">
        <v>0</v>
      </c>
      <c r="G143" s="31">
        <f t="shared" si="32"/>
        <v>0</v>
      </c>
      <c r="H143" s="31"/>
      <c r="I143" s="31"/>
      <c r="J143" s="31">
        <f t="shared" si="33"/>
        <v>0</v>
      </c>
      <c r="K143" s="31">
        <v>0</v>
      </c>
      <c r="L143" s="31">
        <v>0</v>
      </c>
      <c r="M143" s="31">
        <f t="shared" si="34"/>
        <v>0</v>
      </c>
      <c r="N143" s="31">
        <v>0</v>
      </c>
      <c r="O143" s="31">
        <v>0</v>
      </c>
      <c r="P143" s="31">
        <f t="shared" si="35"/>
        <v>0</v>
      </c>
      <c r="Q143" s="31"/>
      <c r="R143" s="31"/>
      <c r="S143" s="31">
        <f t="shared" si="36"/>
        <v>0</v>
      </c>
      <c r="T143" s="31">
        <v>0</v>
      </c>
      <c r="U143" s="31">
        <v>0</v>
      </c>
      <c r="V143" s="31">
        <f t="shared" si="37"/>
        <v>0</v>
      </c>
      <c r="W143" s="31">
        <v>7371</v>
      </c>
      <c r="X143" s="31">
        <v>7371</v>
      </c>
      <c r="Y143" s="31">
        <f t="shared" si="38"/>
        <v>0</v>
      </c>
      <c r="Z143" s="31"/>
      <c r="AA143" s="31"/>
      <c r="AB143" s="31">
        <f t="shared" si="39"/>
        <v>0</v>
      </c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</row>
    <row r="144" spans="1:187" s="23" customFormat="1" ht="47.25" x14ac:dyDescent="0.25">
      <c r="A144" s="30" t="s">
        <v>134</v>
      </c>
      <c r="B144" s="31">
        <f t="shared" si="40"/>
        <v>0</v>
      </c>
      <c r="C144" s="31">
        <f t="shared" si="40"/>
        <v>3496</v>
      </c>
      <c r="D144" s="31">
        <f t="shared" si="40"/>
        <v>3496</v>
      </c>
      <c r="E144" s="31">
        <v>0</v>
      </c>
      <c r="F144" s="31">
        <v>0</v>
      </c>
      <c r="G144" s="31">
        <f t="shared" si="32"/>
        <v>0</v>
      </c>
      <c r="H144" s="31"/>
      <c r="I144" s="31"/>
      <c r="J144" s="31">
        <f t="shared" si="33"/>
        <v>0</v>
      </c>
      <c r="K144" s="31">
        <v>0</v>
      </c>
      <c r="L144" s="31">
        <v>0</v>
      </c>
      <c r="M144" s="31">
        <f t="shared" si="34"/>
        <v>0</v>
      </c>
      <c r="N144" s="31">
        <v>0</v>
      </c>
      <c r="O144" s="31">
        <v>0</v>
      </c>
      <c r="P144" s="31">
        <f t="shared" si="35"/>
        <v>0</v>
      </c>
      <c r="Q144" s="31"/>
      <c r="R144" s="31"/>
      <c r="S144" s="31">
        <f t="shared" si="36"/>
        <v>0</v>
      </c>
      <c r="T144" s="31">
        <v>0</v>
      </c>
      <c r="U144" s="31">
        <v>0</v>
      </c>
      <c r="V144" s="31">
        <f t="shared" si="37"/>
        <v>0</v>
      </c>
      <c r="W144" s="31"/>
      <c r="X144" s="31">
        <v>3496</v>
      </c>
      <c r="Y144" s="31">
        <f t="shared" si="38"/>
        <v>3496</v>
      </c>
      <c r="Z144" s="31"/>
      <c r="AA144" s="31"/>
      <c r="AB144" s="31">
        <f t="shared" si="39"/>
        <v>0</v>
      </c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</row>
    <row r="145" spans="1:187" s="23" customFormat="1" ht="47.25" x14ac:dyDescent="0.25">
      <c r="A145" s="30" t="s">
        <v>135</v>
      </c>
      <c r="B145" s="31">
        <f t="shared" si="40"/>
        <v>0</v>
      </c>
      <c r="C145" s="31">
        <f t="shared" si="40"/>
        <v>1200</v>
      </c>
      <c r="D145" s="31">
        <f t="shared" si="40"/>
        <v>1200</v>
      </c>
      <c r="E145" s="31">
        <v>0</v>
      </c>
      <c r="F145" s="31">
        <v>0</v>
      </c>
      <c r="G145" s="31">
        <f t="shared" si="32"/>
        <v>0</v>
      </c>
      <c r="H145" s="31"/>
      <c r="I145" s="31"/>
      <c r="J145" s="31">
        <f t="shared" si="33"/>
        <v>0</v>
      </c>
      <c r="K145" s="31">
        <v>0</v>
      </c>
      <c r="L145" s="31">
        <v>1200</v>
      </c>
      <c r="M145" s="31">
        <f t="shared" si="34"/>
        <v>1200</v>
      </c>
      <c r="N145" s="31"/>
      <c r="O145" s="31"/>
      <c r="P145" s="31">
        <f t="shared" si="35"/>
        <v>0</v>
      </c>
      <c r="Q145" s="31"/>
      <c r="R145" s="31"/>
      <c r="S145" s="31">
        <f t="shared" si="36"/>
        <v>0</v>
      </c>
      <c r="T145" s="31">
        <v>0</v>
      </c>
      <c r="U145" s="31">
        <v>0</v>
      </c>
      <c r="V145" s="31">
        <f t="shared" si="37"/>
        <v>0</v>
      </c>
      <c r="W145" s="31"/>
      <c r="X145" s="31"/>
      <c r="Y145" s="31">
        <f t="shared" si="38"/>
        <v>0</v>
      </c>
      <c r="Z145" s="31"/>
      <c r="AA145" s="31"/>
      <c r="AB145" s="31">
        <f t="shared" si="39"/>
        <v>0</v>
      </c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</row>
    <row r="146" spans="1:187" s="23" customFormat="1" ht="31.5" x14ac:dyDescent="0.25">
      <c r="A146" s="30" t="s">
        <v>136</v>
      </c>
      <c r="B146" s="31">
        <f t="shared" si="40"/>
        <v>0</v>
      </c>
      <c r="C146" s="31">
        <f t="shared" si="40"/>
        <v>4591</v>
      </c>
      <c r="D146" s="31">
        <f t="shared" si="40"/>
        <v>4591</v>
      </c>
      <c r="E146" s="31">
        <v>0</v>
      </c>
      <c r="F146" s="31">
        <v>0</v>
      </c>
      <c r="G146" s="31">
        <f t="shared" si="32"/>
        <v>0</v>
      </c>
      <c r="H146" s="31"/>
      <c r="I146" s="31"/>
      <c r="J146" s="31">
        <f t="shared" si="33"/>
        <v>0</v>
      </c>
      <c r="K146" s="31">
        <v>0</v>
      </c>
      <c r="L146" s="31">
        <v>4591</v>
      </c>
      <c r="M146" s="31">
        <f t="shared" si="34"/>
        <v>4591</v>
      </c>
      <c r="N146" s="31"/>
      <c r="O146" s="31"/>
      <c r="P146" s="31">
        <f t="shared" si="35"/>
        <v>0</v>
      </c>
      <c r="Q146" s="31"/>
      <c r="R146" s="31"/>
      <c r="S146" s="31">
        <f t="shared" si="36"/>
        <v>0</v>
      </c>
      <c r="T146" s="31">
        <v>0</v>
      </c>
      <c r="U146" s="31">
        <v>0</v>
      </c>
      <c r="V146" s="31">
        <f t="shared" si="37"/>
        <v>0</v>
      </c>
      <c r="W146" s="31"/>
      <c r="X146" s="31"/>
      <c r="Y146" s="31">
        <f t="shared" si="38"/>
        <v>0</v>
      </c>
      <c r="Z146" s="31"/>
      <c r="AA146" s="31"/>
      <c r="AB146" s="31">
        <f t="shared" si="39"/>
        <v>0</v>
      </c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</row>
    <row r="147" spans="1:187" s="23" customFormat="1" ht="31.5" x14ac:dyDescent="0.25">
      <c r="A147" s="30" t="s">
        <v>137</v>
      </c>
      <c r="B147" s="31">
        <f t="shared" si="40"/>
        <v>0</v>
      </c>
      <c r="C147" s="31">
        <f t="shared" si="40"/>
        <v>3689</v>
      </c>
      <c r="D147" s="31">
        <f t="shared" si="40"/>
        <v>3689</v>
      </c>
      <c r="E147" s="31">
        <v>0</v>
      </c>
      <c r="F147" s="31">
        <v>0</v>
      </c>
      <c r="G147" s="31">
        <f t="shared" si="32"/>
        <v>0</v>
      </c>
      <c r="H147" s="31"/>
      <c r="I147" s="31"/>
      <c r="J147" s="31">
        <f t="shared" si="33"/>
        <v>0</v>
      </c>
      <c r="K147" s="31">
        <v>0</v>
      </c>
      <c r="L147" s="31">
        <v>3689</v>
      </c>
      <c r="M147" s="31">
        <f t="shared" si="34"/>
        <v>3689</v>
      </c>
      <c r="N147" s="31"/>
      <c r="O147" s="31"/>
      <c r="P147" s="31">
        <f t="shared" si="35"/>
        <v>0</v>
      </c>
      <c r="Q147" s="31"/>
      <c r="R147" s="31"/>
      <c r="S147" s="31">
        <f t="shared" si="36"/>
        <v>0</v>
      </c>
      <c r="T147" s="31">
        <v>0</v>
      </c>
      <c r="U147" s="31">
        <v>0</v>
      </c>
      <c r="V147" s="31">
        <f t="shared" si="37"/>
        <v>0</v>
      </c>
      <c r="W147" s="31"/>
      <c r="X147" s="31"/>
      <c r="Y147" s="31">
        <f t="shared" si="38"/>
        <v>0</v>
      </c>
      <c r="Z147" s="31"/>
      <c r="AA147" s="31"/>
      <c r="AB147" s="31">
        <f t="shared" si="39"/>
        <v>0</v>
      </c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</row>
    <row r="148" spans="1:187" s="6" customFormat="1" ht="36" customHeight="1" x14ac:dyDescent="0.25">
      <c r="A148" s="30" t="s">
        <v>138</v>
      </c>
      <c r="B148" s="31">
        <f t="shared" si="40"/>
        <v>1668</v>
      </c>
      <c r="C148" s="31">
        <f t="shared" si="40"/>
        <v>1668</v>
      </c>
      <c r="D148" s="31">
        <f t="shared" si="40"/>
        <v>0</v>
      </c>
      <c r="E148" s="31">
        <v>0</v>
      </c>
      <c r="F148" s="31">
        <v>0</v>
      </c>
      <c r="G148" s="31">
        <f t="shared" si="32"/>
        <v>0</v>
      </c>
      <c r="H148" s="31"/>
      <c r="I148" s="31"/>
      <c r="J148" s="31">
        <f t="shared" si="33"/>
        <v>0</v>
      </c>
      <c r="K148" s="31">
        <f>1700-32</f>
        <v>1668</v>
      </c>
      <c r="L148" s="31">
        <f>1700-32</f>
        <v>1668</v>
      </c>
      <c r="M148" s="31">
        <f t="shared" si="34"/>
        <v>0</v>
      </c>
      <c r="N148" s="31"/>
      <c r="O148" s="31"/>
      <c r="P148" s="31">
        <f t="shared" si="35"/>
        <v>0</v>
      </c>
      <c r="Q148" s="31">
        <v>0</v>
      </c>
      <c r="R148" s="31">
        <v>0</v>
      </c>
      <c r="S148" s="31">
        <f t="shared" si="36"/>
        <v>0</v>
      </c>
      <c r="T148" s="31"/>
      <c r="U148" s="31"/>
      <c r="V148" s="31">
        <f t="shared" si="37"/>
        <v>0</v>
      </c>
      <c r="W148" s="31"/>
      <c r="X148" s="31"/>
      <c r="Y148" s="31">
        <f t="shared" si="38"/>
        <v>0</v>
      </c>
      <c r="Z148" s="31"/>
      <c r="AA148" s="31"/>
      <c r="AB148" s="31">
        <f t="shared" si="39"/>
        <v>0</v>
      </c>
    </row>
    <row r="149" spans="1:187" s="6" customFormat="1" ht="31.5" x14ac:dyDescent="0.25">
      <c r="A149" s="30" t="s">
        <v>139</v>
      </c>
      <c r="B149" s="31">
        <f t="shared" si="40"/>
        <v>2420</v>
      </c>
      <c r="C149" s="31">
        <f t="shared" si="40"/>
        <v>2420</v>
      </c>
      <c r="D149" s="31">
        <f t="shared" si="40"/>
        <v>0</v>
      </c>
      <c r="E149" s="31">
        <v>0</v>
      </c>
      <c r="F149" s="31">
        <v>0</v>
      </c>
      <c r="G149" s="31">
        <f t="shared" si="32"/>
        <v>0</v>
      </c>
      <c r="H149" s="31"/>
      <c r="I149" s="31"/>
      <c r="J149" s="31">
        <f t="shared" si="33"/>
        <v>0</v>
      </c>
      <c r="K149" s="31">
        <v>2420</v>
      </c>
      <c r="L149" s="31">
        <v>2420</v>
      </c>
      <c r="M149" s="31">
        <f t="shared" si="34"/>
        <v>0</v>
      </c>
      <c r="N149" s="31"/>
      <c r="O149" s="31"/>
      <c r="P149" s="31">
        <f t="shared" si="35"/>
        <v>0</v>
      </c>
      <c r="Q149" s="31">
        <v>0</v>
      </c>
      <c r="R149" s="31">
        <v>0</v>
      </c>
      <c r="S149" s="31">
        <f t="shared" si="36"/>
        <v>0</v>
      </c>
      <c r="T149" s="31"/>
      <c r="U149" s="31"/>
      <c r="V149" s="31">
        <f t="shared" si="37"/>
        <v>0</v>
      </c>
      <c r="W149" s="31"/>
      <c r="X149" s="31"/>
      <c r="Y149" s="31">
        <f t="shared" si="38"/>
        <v>0</v>
      </c>
      <c r="Z149" s="31"/>
      <c r="AA149" s="31"/>
      <c r="AB149" s="31">
        <f t="shared" si="39"/>
        <v>0</v>
      </c>
    </row>
    <row r="150" spans="1:187" s="6" customFormat="1" ht="31.5" x14ac:dyDescent="0.25">
      <c r="A150" s="30" t="s">
        <v>140</v>
      </c>
      <c r="B150" s="31">
        <f t="shared" si="40"/>
        <v>3600</v>
      </c>
      <c r="C150" s="31">
        <f t="shared" si="40"/>
        <v>3600</v>
      </c>
      <c r="D150" s="31">
        <f t="shared" si="40"/>
        <v>0</v>
      </c>
      <c r="E150" s="31">
        <v>0</v>
      </c>
      <c r="F150" s="31">
        <v>0</v>
      </c>
      <c r="G150" s="31">
        <f t="shared" si="32"/>
        <v>0</v>
      </c>
      <c r="H150" s="31"/>
      <c r="I150" s="31"/>
      <c r="J150" s="31">
        <f t="shared" si="33"/>
        <v>0</v>
      </c>
      <c r="K150" s="31">
        <v>3600</v>
      </c>
      <c r="L150" s="31">
        <v>3600</v>
      </c>
      <c r="M150" s="31">
        <f t="shared" si="34"/>
        <v>0</v>
      </c>
      <c r="N150" s="31"/>
      <c r="O150" s="31"/>
      <c r="P150" s="31">
        <f t="shared" si="35"/>
        <v>0</v>
      </c>
      <c r="Q150" s="31">
        <v>0</v>
      </c>
      <c r="R150" s="31">
        <v>0</v>
      </c>
      <c r="S150" s="31">
        <f t="shared" si="36"/>
        <v>0</v>
      </c>
      <c r="T150" s="31"/>
      <c r="U150" s="31"/>
      <c r="V150" s="31">
        <f t="shared" si="37"/>
        <v>0</v>
      </c>
      <c r="W150" s="31"/>
      <c r="X150" s="31"/>
      <c r="Y150" s="31">
        <f t="shared" si="38"/>
        <v>0</v>
      </c>
      <c r="Z150" s="31"/>
      <c r="AA150" s="31"/>
      <c r="AB150" s="31">
        <f t="shared" si="39"/>
        <v>0</v>
      </c>
    </row>
    <row r="151" spans="1:187" s="6" customFormat="1" ht="31.5" x14ac:dyDescent="0.25">
      <c r="A151" s="30" t="s">
        <v>141</v>
      </c>
      <c r="B151" s="31">
        <f t="shared" si="40"/>
        <v>1704</v>
      </c>
      <c r="C151" s="31">
        <f t="shared" si="40"/>
        <v>1704</v>
      </c>
      <c r="D151" s="31">
        <f t="shared" si="40"/>
        <v>0</v>
      </c>
      <c r="E151" s="31">
        <v>0</v>
      </c>
      <c r="F151" s="31">
        <v>0</v>
      </c>
      <c r="G151" s="31">
        <f t="shared" si="32"/>
        <v>0</v>
      </c>
      <c r="H151" s="31"/>
      <c r="I151" s="31"/>
      <c r="J151" s="31">
        <f t="shared" si="33"/>
        <v>0</v>
      </c>
      <c r="K151" s="31">
        <v>1704</v>
      </c>
      <c r="L151" s="31">
        <v>1704</v>
      </c>
      <c r="M151" s="31">
        <f t="shared" si="34"/>
        <v>0</v>
      </c>
      <c r="N151" s="31"/>
      <c r="O151" s="31"/>
      <c r="P151" s="31">
        <f t="shared" si="35"/>
        <v>0</v>
      </c>
      <c r="Q151" s="31">
        <v>0</v>
      </c>
      <c r="R151" s="31">
        <v>0</v>
      </c>
      <c r="S151" s="31">
        <f t="shared" si="36"/>
        <v>0</v>
      </c>
      <c r="T151" s="31"/>
      <c r="U151" s="31"/>
      <c r="V151" s="31">
        <f t="shared" si="37"/>
        <v>0</v>
      </c>
      <c r="W151" s="31"/>
      <c r="X151" s="31"/>
      <c r="Y151" s="31">
        <f t="shared" si="38"/>
        <v>0</v>
      </c>
      <c r="Z151" s="31"/>
      <c r="AA151" s="31"/>
      <c r="AB151" s="31">
        <f t="shared" si="39"/>
        <v>0</v>
      </c>
    </row>
    <row r="152" spans="1:187" s="6" customFormat="1" ht="31.5" x14ac:dyDescent="0.25">
      <c r="A152" s="30" t="s">
        <v>142</v>
      </c>
      <c r="B152" s="31">
        <f t="shared" si="40"/>
        <v>21500</v>
      </c>
      <c r="C152" s="31">
        <f t="shared" si="40"/>
        <v>21500</v>
      </c>
      <c r="D152" s="31">
        <f t="shared" si="40"/>
        <v>0</v>
      </c>
      <c r="E152" s="31">
        <v>0</v>
      </c>
      <c r="F152" s="31">
        <v>0</v>
      </c>
      <c r="G152" s="31">
        <f t="shared" si="32"/>
        <v>0</v>
      </c>
      <c r="H152" s="31"/>
      <c r="I152" s="31"/>
      <c r="J152" s="31">
        <f t="shared" si="33"/>
        <v>0</v>
      </c>
      <c r="K152" s="31"/>
      <c r="L152" s="31"/>
      <c r="M152" s="31">
        <f t="shared" si="34"/>
        <v>0</v>
      </c>
      <c r="N152" s="31"/>
      <c r="O152" s="31"/>
      <c r="P152" s="31">
        <f t="shared" si="35"/>
        <v>0</v>
      </c>
      <c r="Q152" s="31">
        <f>21426+74</f>
        <v>21500</v>
      </c>
      <c r="R152" s="31">
        <f>21426+74</f>
        <v>21500</v>
      </c>
      <c r="S152" s="31">
        <f t="shared" si="36"/>
        <v>0</v>
      </c>
      <c r="T152" s="31"/>
      <c r="U152" s="31"/>
      <c r="V152" s="31">
        <f t="shared" si="37"/>
        <v>0</v>
      </c>
      <c r="W152" s="31"/>
      <c r="X152" s="31"/>
      <c r="Y152" s="31">
        <f t="shared" si="38"/>
        <v>0</v>
      </c>
      <c r="Z152" s="31"/>
      <c r="AA152" s="31"/>
      <c r="AB152" s="31">
        <f t="shared" si="39"/>
        <v>0</v>
      </c>
    </row>
    <row r="153" spans="1:187" s="6" customFormat="1" ht="31.5" x14ac:dyDescent="0.25">
      <c r="A153" s="30" t="s">
        <v>143</v>
      </c>
      <c r="B153" s="31">
        <f t="shared" si="40"/>
        <v>6430</v>
      </c>
      <c r="C153" s="31">
        <f t="shared" si="40"/>
        <v>6430</v>
      </c>
      <c r="D153" s="31">
        <f t="shared" si="40"/>
        <v>0</v>
      </c>
      <c r="E153" s="31">
        <v>0</v>
      </c>
      <c r="F153" s="31">
        <v>0</v>
      </c>
      <c r="G153" s="31">
        <f t="shared" si="32"/>
        <v>0</v>
      </c>
      <c r="H153" s="31"/>
      <c r="I153" s="31"/>
      <c r="J153" s="31">
        <f t="shared" si="33"/>
        <v>0</v>
      </c>
      <c r="K153" s="31">
        <v>0</v>
      </c>
      <c r="L153" s="31">
        <v>0</v>
      </c>
      <c r="M153" s="31">
        <f t="shared" si="34"/>
        <v>0</v>
      </c>
      <c r="N153" s="31"/>
      <c r="O153" s="31"/>
      <c r="P153" s="31">
        <f t="shared" si="35"/>
        <v>0</v>
      </c>
      <c r="Q153" s="31">
        <v>0</v>
      </c>
      <c r="R153" s="31">
        <v>0</v>
      </c>
      <c r="S153" s="31">
        <f t="shared" si="36"/>
        <v>0</v>
      </c>
      <c r="T153" s="31"/>
      <c r="U153" s="31"/>
      <c r="V153" s="31">
        <f t="shared" si="37"/>
        <v>0</v>
      </c>
      <c r="W153" s="31">
        <f>3215+3215</f>
        <v>6430</v>
      </c>
      <c r="X153" s="31">
        <f>3215+3215</f>
        <v>6430</v>
      </c>
      <c r="Y153" s="31">
        <f t="shared" si="38"/>
        <v>0</v>
      </c>
      <c r="Z153" s="31"/>
      <c r="AA153" s="31"/>
      <c r="AB153" s="31">
        <f t="shared" si="39"/>
        <v>0</v>
      </c>
    </row>
    <row r="154" spans="1:187" s="6" customFormat="1" ht="31.5" x14ac:dyDescent="0.25">
      <c r="A154" s="30" t="s">
        <v>144</v>
      </c>
      <c r="B154" s="31">
        <f t="shared" si="40"/>
        <v>2754</v>
      </c>
      <c r="C154" s="31">
        <f t="shared" si="40"/>
        <v>2754</v>
      </c>
      <c r="D154" s="31">
        <f t="shared" si="40"/>
        <v>0</v>
      </c>
      <c r="E154" s="31">
        <v>0</v>
      </c>
      <c r="F154" s="31">
        <v>0</v>
      </c>
      <c r="G154" s="31">
        <f t="shared" si="32"/>
        <v>0</v>
      </c>
      <c r="H154" s="31"/>
      <c r="I154" s="31"/>
      <c r="J154" s="31">
        <f t="shared" si="33"/>
        <v>0</v>
      </c>
      <c r="K154" s="31">
        <v>2754</v>
      </c>
      <c r="L154" s="31">
        <v>2754</v>
      </c>
      <c r="M154" s="31">
        <f t="shared" si="34"/>
        <v>0</v>
      </c>
      <c r="N154" s="31"/>
      <c r="O154" s="31"/>
      <c r="P154" s="31">
        <f t="shared" si="35"/>
        <v>0</v>
      </c>
      <c r="Q154" s="31">
        <v>0</v>
      </c>
      <c r="R154" s="31">
        <v>0</v>
      </c>
      <c r="S154" s="31">
        <f t="shared" si="36"/>
        <v>0</v>
      </c>
      <c r="T154" s="31"/>
      <c r="U154" s="31"/>
      <c r="V154" s="31">
        <f t="shared" si="37"/>
        <v>0</v>
      </c>
      <c r="W154" s="31"/>
      <c r="X154" s="31"/>
      <c r="Y154" s="31">
        <f t="shared" si="38"/>
        <v>0</v>
      </c>
      <c r="Z154" s="31"/>
      <c r="AA154" s="31"/>
      <c r="AB154" s="31">
        <f t="shared" si="39"/>
        <v>0</v>
      </c>
    </row>
    <row r="155" spans="1:187" s="6" customFormat="1" ht="31.5" x14ac:dyDescent="0.25">
      <c r="A155" s="30" t="s">
        <v>145</v>
      </c>
      <c r="B155" s="31">
        <f t="shared" si="40"/>
        <v>7222</v>
      </c>
      <c r="C155" s="31">
        <f t="shared" si="40"/>
        <v>7222</v>
      </c>
      <c r="D155" s="31">
        <f t="shared" si="40"/>
        <v>0</v>
      </c>
      <c r="E155" s="31">
        <v>0</v>
      </c>
      <c r="F155" s="31">
        <v>0</v>
      </c>
      <c r="G155" s="31">
        <f t="shared" si="32"/>
        <v>0</v>
      </c>
      <c r="H155" s="31"/>
      <c r="I155" s="31"/>
      <c r="J155" s="31">
        <f t="shared" si="33"/>
        <v>0</v>
      </c>
      <c r="K155" s="31"/>
      <c r="L155" s="31"/>
      <c r="M155" s="31">
        <f t="shared" si="34"/>
        <v>0</v>
      </c>
      <c r="N155" s="31"/>
      <c r="O155" s="31"/>
      <c r="P155" s="31">
        <f t="shared" si="35"/>
        <v>0</v>
      </c>
      <c r="Q155" s="31">
        <v>0</v>
      </c>
      <c r="R155" s="31">
        <v>0</v>
      </c>
      <c r="S155" s="31">
        <f t="shared" si="36"/>
        <v>0</v>
      </c>
      <c r="T155" s="31"/>
      <c r="U155" s="31"/>
      <c r="V155" s="31">
        <f t="shared" si="37"/>
        <v>0</v>
      </c>
      <c r="W155" s="31">
        <f>3137+4085</f>
        <v>7222</v>
      </c>
      <c r="X155" s="31">
        <f>3137+4085</f>
        <v>7222</v>
      </c>
      <c r="Y155" s="31">
        <f t="shared" si="38"/>
        <v>0</v>
      </c>
      <c r="Z155" s="31"/>
      <c r="AA155" s="31"/>
      <c r="AB155" s="31">
        <f t="shared" si="39"/>
        <v>0</v>
      </c>
    </row>
    <row r="156" spans="1:187" s="6" customFormat="1" ht="47.25" x14ac:dyDescent="0.25">
      <c r="A156" s="30" t="s">
        <v>146</v>
      </c>
      <c r="B156" s="31">
        <f t="shared" si="40"/>
        <v>7025</v>
      </c>
      <c r="C156" s="31">
        <f t="shared" si="40"/>
        <v>7025</v>
      </c>
      <c r="D156" s="31">
        <f t="shared" si="40"/>
        <v>0</v>
      </c>
      <c r="E156" s="31">
        <v>0</v>
      </c>
      <c r="F156" s="31">
        <v>0</v>
      </c>
      <c r="G156" s="31">
        <f t="shared" si="32"/>
        <v>0</v>
      </c>
      <c r="H156" s="31"/>
      <c r="I156" s="31"/>
      <c r="J156" s="31">
        <f t="shared" si="33"/>
        <v>0</v>
      </c>
      <c r="K156" s="31"/>
      <c r="L156" s="31"/>
      <c r="M156" s="31">
        <f t="shared" si="34"/>
        <v>0</v>
      </c>
      <c r="N156" s="31"/>
      <c r="O156" s="31"/>
      <c r="P156" s="31">
        <f t="shared" si="35"/>
        <v>0</v>
      </c>
      <c r="Q156" s="31">
        <v>0</v>
      </c>
      <c r="R156" s="31">
        <v>0</v>
      </c>
      <c r="S156" s="31">
        <f t="shared" si="36"/>
        <v>0</v>
      </c>
      <c r="T156" s="31"/>
      <c r="U156" s="31"/>
      <c r="V156" s="31">
        <f t="shared" si="37"/>
        <v>0</v>
      </c>
      <c r="W156" s="31">
        <v>7025</v>
      </c>
      <c r="X156" s="31">
        <v>7025</v>
      </c>
      <c r="Y156" s="31">
        <f t="shared" si="38"/>
        <v>0</v>
      </c>
      <c r="Z156" s="31"/>
      <c r="AA156" s="31"/>
      <c r="AB156" s="31">
        <f t="shared" si="39"/>
        <v>0</v>
      </c>
    </row>
    <row r="157" spans="1:187" s="6" customFormat="1" ht="31.5" x14ac:dyDescent="0.25">
      <c r="A157" s="30" t="s">
        <v>147</v>
      </c>
      <c r="B157" s="31">
        <f t="shared" si="40"/>
        <v>97111</v>
      </c>
      <c r="C157" s="31">
        <f t="shared" si="40"/>
        <v>97111</v>
      </c>
      <c r="D157" s="31">
        <f t="shared" si="40"/>
        <v>0</v>
      </c>
      <c r="E157" s="31">
        <v>0</v>
      </c>
      <c r="F157" s="31">
        <v>0</v>
      </c>
      <c r="G157" s="31">
        <f t="shared" si="32"/>
        <v>0</v>
      </c>
      <c r="H157" s="31"/>
      <c r="I157" s="31"/>
      <c r="J157" s="31">
        <f t="shared" si="33"/>
        <v>0</v>
      </c>
      <c r="K157" s="31">
        <v>97111</v>
      </c>
      <c r="L157" s="31">
        <v>97111</v>
      </c>
      <c r="M157" s="31">
        <f t="shared" si="34"/>
        <v>0</v>
      </c>
      <c r="N157" s="31"/>
      <c r="O157" s="31"/>
      <c r="P157" s="31">
        <f t="shared" si="35"/>
        <v>0</v>
      </c>
      <c r="Q157" s="31"/>
      <c r="R157" s="31"/>
      <c r="S157" s="31">
        <f t="shared" si="36"/>
        <v>0</v>
      </c>
      <c r="T157" s="31"/>
      <c r="U157" s="31"/>
      <c r="V157" s="31">
        <f t="shared" si="37"/>
        <v>0</v>
      </c>
      <c r="W157" s="31"/>
      <c r="X157" s="31"/>
      <c r="Y157" s="31">
        <f t="shared" si="38"/>
        <v>0</v>
      </c>
      <c r="Z157" s="31"/>
      <c r="AA157" s="31"/>
      <c r="AB157" s="31">
        <f t="shared" si="39"/>
        <v>0</v>
      </c>
    </row>
    <row r="158" spans="1:187" s="6" customFormat="1" x14ac:dyDescent="0.25">
      <c r="A158" s="30" t="s">
        <v>148</v>
      </c>
      <c r="B158" s="31">
        <f t="shared" si="40"/>
        <v>0</v>
      </c>
      <c r="C158" s="31">
        <f t="shared" si="40"/>
        <v>14400</v>
      </c>
      <c r="D158" s="31">
        <f t="shared" si="40"/>
        <v>14400</v>
      </c>
      <c r="E158" s="31">
        <v>0</v>
      </c>
      <c r="F158" s="31">
        <v>0</v>
      </c>
      <c r="G158" s="31">
        <f t="shared" si="32"/>
        <v>0</v>
      </c>
      <c r="H158" s="31"/>
      <c r="I158" s="31"/>
      <c r="J158" s="31">
        <f t="shared" si="33"/>
        <v>0</v>
      </c>
      <c r="K158" s="31">
        <f>9841-9841</f>
        <v>0</v>
      </c>
      <c r="L158" s="31">
        <v>14400</v>
      </c>
      <c r="M158" s="31">
        <f t="shared" si="34"/>
        <v>14400</v>
      </c>
      <c r="N158" s="31"/>
      <c r="O158" s="31"/>
      <c r="P158" s="31">
        <f t="shared" si="35"/>
        <v>0</v>
      </c>
      <c r="Q158" s="31">
        <f>60156-60156</f>
        <v>0</v>
      </c>
      <c r="R158" s="31">
        <f>60156-60156</f>
        <v>0</v>
      </c>
      <c r="S158" s="31">
        <f t="shared" si="36"/>
        <v>0</v>
      </c>
      <c r="T158" s="31"/>
      <c r="U158" s="31"/>
      <c r="V158" s="31">
        <f t="shared" si="37"/>
        <v>0</v>
      </c>
      <c r="W158" s="31"/>
      <c r="X158" s="31"/>
      <c r="Y158" s="31">
        <f t="shared" si="38"/>
        <v>0</v>
      </c>
      <c r="Z158" s="31"/>
      <c r="AA158" s="31"/>
      <c r="AB158" s="31">
        <f t="shared" si="39"/>
        <v>0</v>
      </c>
    </row>
    <row r="159" spans="1:187" s="6" customFormat="1" ht="31.5" x14ac:dyDescent="0.25">
      <c r="A159" s="30" t="s">
        <v>149</v>
      </c>
      <c r="B159" s="31">
        <f t="shared" si="40"/>
        <v>10965</v>
      </c>
      <c r="C159" s="31">
        <f t="shared" si="40"/>
        <v>10965</v>
      </c>
      <c r="D159" s="31">
        <f t="shared" si="40"/>
        <v>0</v>
      </c>
      <c r="E159" s="31">
        <v>0</v>
      </c>
      <c r="F159" s="31">
        <v>0</v>
      </c>
      <c r="G159" s="31">
        <f t="shared" si="32"/>
        <v>0</v>
      </c>
      <c r="H159" s="31"/>
      <c r="I159" s="31"/>
      <c r="J159" s="31">
        <f t="shared" si="33"/>
        <v>0</v>
      </c>
      <c r="K159" s="31">
        <v>10965</v>
      </c>
      <c r="L159" s="31">
        <v>10965</v>
      </c>
      <c r="M159" s="31">
        <f t="shared" si="34"/>
        <v>0</v>
      </c>
      <c r="N159" s="31"/>
      <c r="O159" s="31"/>
      <c r="P159" s="31"/>
      <c r="Q159" s="31"/>
      <c r="R159" s="31"/>
      <c r="S159" s="31">
        <f t="shared" si="36"/>
        <v>0</v>
      </c>
      <c r="T159" s="31"/>
      <c r="U159" s="31"/>
      <c r="V159" s="31">
        <f t="shared" si="37"/>
        <v>0</v>
      </c>
      <c r="W159" s="31"/>
      <c r="X159" s="31"/>
      <c r="Y159" s="31">
        <f t="shared" si="38"/>
        <v>0</v>
      </c>
      <c r="Z159" s="31"/>
      <c r="AA159" s="31"/>
      <c r="AB159" s="31">
        <f t="shared" si="39"/>
        <v>0</v>
      </c>
    </row>
    <row r="160" spans="1:187" s="6" customFormat="1" ht="31.5" x14ac:dyDescent="0.25">
      <c r="A160" s="30" t="s">
        <v>150</v>
      </c>
      <c r="B160" s="31">
        <f t="shared" si="40"/>
        <v>2653</v>
      </c>
      <c r="C160" s="31">
        <f t="shared" si="40"/>
        <v>2653</v>
      </c>
      <c r="D160" s="31">
        <f t="shared" si="40"/>
        <v>0</v>
      </c>
      <c r="E160" s="31">
        <v>0</v>
      </c>
      <c r="F160" s="31">
        <v>0</v>
      </c>
      <c r="G160" s="31">
        <f t="shared" si="32"/>
        <v>0</v>
      </c>
      <c r="H160" s="31"/>
      <c r="I160" s="31"/>
      <c r="J160" s="31">
        <f t="shared" si="33"/>
        <v>0</v>
      </c>
      <c r="K160" s="31">
        <v>2653</v>
      </c>
      <c r="L160" s="31">
        <v>2653</v>
      </c>
      <c r="M160" s="31">
        <f t="shared" si="34"/>
        <v>0</v>
      </c>
      <c r="N160" s="31"/>
      <c r="O160" s="31"/>
      <c r="P160" s="31"/>
      <c r="Q160" s="31"/>
      <c r="R160" s="31"/>
      <c r="S160" s="31">
        <f t="shared" si="36"/>
        <v>0</v>
      </c>
      <c r="T160" s="31"/>
      <c r="U160" s="31"/>
      <c r="V160" s="31">
        <f t="shared" si="37"/>
        <v>0</v>
      </c>
      <c r="W160" s="31"/>
      <c r="X160" s="31"/>
      <c r="Y160" s="31">
        <f t="shared" si="38"/>
        <v>0</v>
      </c>
      <c r="Z160" s="31"/>
      <c r="AA160" s="31"/>
      <c r="AB160" s="31">
        <f t="shared" si="39"/>
        <v>0</v>
      </c>
    </row>
    <row r="161" spans="1:187" s="6" customFormat="1" ht="31.5" x14ac:dyDescent="0.25">
      <c r="A161" s="30" t="s">
        <v>151</v>
      </c>
      <c r="B161" s="31">
        <f t="shared" si="40"/>
        <v>10998</v>
      </c>
      <c r="C161" s="31">
        <f t="shared" si="40"/>
        <v>10998</v>
      </c>
      <c r="D161" s="31">
        <f t="shared" si="40"/>
        <v>0</v>
      </c>
      <c r="E161" s="31">
        <v>0</v>
      </c>
      <c r="F161" s="31">
        <v>0</v>
      </c>
      <c r="G161" s="31">
        <f t="shared" si="32"/>
        <v>0</v>
      </c>
      <c r="H161" s="31"/>
      <c r="I161" s="31"/>
      <c r="J161" s="31">
        <f t="shared" si="33"/>
        <v>0</v>
      </c>
      <c r="K161" s="31">
        <v>0</v>
      </c>
      <c r="L161" s="31">
        <v>0</v>
      </c>
      <c r="M161" s="31">
        <f t="shared" si="34"/>
        <v>0</v>
      </c>
      <c r="N161" s="31"/>
      <c r="O161" s="31"/>
      <c r="P161" s="31">
        <f t="shared" ref="P161:P194" si="41">O161-N161</f>
        <v>0</v>
      </c>
      <c r="Q161" s="31">
        <v>10998</v>
      </c>
      <c r="R161" s="31">
        <v>10998</v>
      </c>
      <c r="S161" s="31">
        <f t="shared" si="36"/>
        <v>0</v>
      </c>
      <c r="T161" s="31"/>
      <c r="U161" s="31"/>
      <c r="V161" s="31">
        <f t="shared" si="37"/>
        <v>0</v>
      </c>
      <c r="W161" s="31"/>
      <c r="X161" s="31"/>
      <c r="Y161" s="31">
        <f t="shared" si="38"/>
        <v>0</v>
      </c>
      <c r="Z161" s="31"/>
      <c r="AA161" s="31"/>
      <c r="AB161" s="31">
        <f t="shared" si="39"/>
        <v>0</v>
      </c>
    </row>
    <row r="162" spans="1:187" s="6" customFormat="1" x14ac:dyDescent="0.25">
      <c r="A162" s="24" t="s">
        <v>152</v>
      </c>
      <c r="B162" s="25">
        <f t="shared" si="40"/>
        <v>21465</v>
      </c>
      <c r="C162" s="25">
        <f t="shared" si="40"/>
        <v>52204</v>
      </c>
      <c r="D162" s="25">
        <f t="shared" si="40"/>
        <v>30739</v>
      </c>
      <c r="E162" s="25">
        <f>SUM(E163:E173)</f>
        <v>0</v>
      </c>
      <c r="F162" s="25">
        <f>SUM(F163:F173)</f>
        <v>0</v>
      </c>
      <c r="G162" s="25">
        <f t="shared" si="32"/>
        <v>0</v>
      </c>
      <c r="H162" s="25">
        <f>SUM(H163:H173)</f>
        <v>0</v>
      </c>
      <c r="I162" s="25">
        <f>SUM(I163:I173)</f>
        <v>0</v>
      </c>
      <c r="J162" s="25">
        <f t="shared" si="33"/>
        <v>0</v>
      </c>
      <c r="K162" s="25">
        <f>SUM(K163:K173)</f>
        <v>5228</v>
      </c>
      <c r="L162" s="25">
        <f>SUM(L163:L173)</f>
        <v>35967</v>
      </c>
      <c r="M162" s="25">
        <f t="shared" si="34"/>
        <v>30739</v>
      </c>
      <c r="N162" s="25">
        <f>SUM(N163:N173)</f>
        <v>2939</v>
      </c>
      <c r="O162" s="25">
        <f>SUM(O163:O173)</f>
        <v>2939</v>
      </c>
      <c r="P162" s="25">
        <f t="shared" si="41"/>
        <v>0</v>
      </c>
      <c r="Q162" s="25">
        <f>SUM(Q163:Q173)</f>
        <v>13298</v>
      </c>
      <c r="R162" s="25">
        <f>SUM(R163:R173)</f>
        <v>13298</v>
      </c>
      <c r="S162" s="25">
        <f t="shared" si="36"/>
        <v>0</v>
      </c>
      <c r="T162" s="25">
        <f>SUM(T163:T173)</f>
        <v>0</v>
      </c>
      <c r="U162" s="25">
        <f>SUM(U163:U173)</f>
        <v>0</v>
      </c>
      <c r="V162" s="25">
        <f t="shared" si="37"/>
        <v>0</v>
      </c>
      <c r="W162" s="25">
        <f>SUM(W163:W173)</f>
        <v>0</v>
      </c>
      <c r="X162" s="25">
        <f>SUM(X163:X173)</f>
        <v>0</v>
      </c>
      <c r="Y162" s="25">
        <f t="shared" si="38"/>
        <v>0</v>
      </c>
      <c r="Z162" s="25">
        <f>SUM(Z163:Z173)</f>
        <v>0</v>
      </c>
      <c r="AA162" s="25">
        <f>SUM(AA163:AA173)</f>
        <v>0</v>
      </c>
      <c r="AB162" s="25">
        <f t="shared" si="39"/>
        <v>0</v>
      </c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</row>
    <row r="163" spans="1:187" s="6" customFormat="1" ht="31.5" x14ac:dyDescent="0.25">
      <c r="A163" s="30" t="s">
        <v>153</v>
      </c>
      <c r="B163" s="31">
        <f t="shared" si="40"/>
        <v>5040</v>
      </c>
      <c r="C163" s="31">
        <f t="shared" si="40"/>
        <v>5040</v>
      </c>
      <c r="D163" s="31">
        <f t="shared" si="40"/>
        <v>0</v>
      </c>
      <c r="E163" s="31"/>
      <c r="F163" s="31"/>
      <c r="G163" s="31">
        <f t="shared" si="32"/>
        <v>0</v>
      </c>
      <c r="H163" s="31"/>
      <c r="I163" s="31"/>
      <c r="J163" s="31">
        <f t="shared" si="33"/>
        <v>0</v>
      </c>
      <c r="K163" s="31">
        <v>0</v>
      </c>
      <c r="L163" s="31">
        <v>0</v>
      </c>
      <c r="M163" s="31">
        <f t="shared" si="34"/>
        <v>0</v>
      </c>
      <c r="N163" s="31">
        <v>0</v>
      </c>
      <c r="O163" s="31">
        <v>0</v>
      </c>
      <c r="P163" s="31">
        <f t="shared" si="41"/>
        <v>0</v>
      </c>
      <c r="Q163" s="31">
        <v>5040</v>
      </c>
      <c r="R163" s="31">
        <v>5040</v>
      </c>
      <c r="S163" s="31">
        <f t="shared" si="36"/>
        <v>0</v>
      </c>
      <c r="T163" s="31"/>
      <c r="U163" s="31"/>
      <c r="V163" s="31">
        <f t="shared" si="37"/>
        <v>0</v>
      </c>
      <c r="W163" s="31"/>
      <c r="X163" s="31"/>
      <c r="Y163" s="31">
        <f t="shared" si="38"/>
        <v>0</v>
      </c>
      <c r="Z163" s="31"/>
      <c r="AA163" s="31"/>
      <c r="AB163" s="31">
        <f t="shared" si="39"/>
        <v>0</v>
      </c>
    </row>
    <row r="164" spans="1:187" s="6" customFormat="1" x14ac:dyDescent="0.25">
      <c r="A164" s="30" t="s">
        <v>154</v>
      </c>
      <c r="B164" s="31">
        <f t="shared" si="40"/>
        <v>3048</v>
      </c>
      <c r="C164" s="31">
        <f t="shared" si="40"/>
        <v>3048</v>
      </c>
      <c r="D164" s="31">
        <f t="shared" si="40"/>
        <v>0</v>
      </c>
      <c r="E164" s="31"/>
      <c r="F164" s="31"/>
      <c r="G164" s="31">
        <f t="shared" si="32"/>
        <v>0</v>
      </c>
      <c r="H164" s="31"/>
      <c r="I164" s="31"/>
      <c r="J164" s="31">
        <f t="shared" si="33"/>
        <v>0</v>
      </c>
      <c r="K164" s="31">
        <v>0</v>
      </c>
      <c r="L164" s="31">
        <v>0</v>
      </c>
      <c r="M164" s="31">
        <f t="shared" si="34"/>
        <v>0</v>
      </c>
      <c r="N164" s="31">
        <v>0</v>
      </c>
      <c r="O164" s="31">
        <v>0</v>
      </c>
      <c r="P164" s="31">
        <f t="shared" si="41"/>
        <v>0</v>
      </c>
      <c r="Q164" s="31">
        <v>3048</v>
      </c>
      <c r="R164" s="31">
        <v>3048</v>
      </c>
      <c r="S164" s="31">
        <f t="shared" si="36"/>
        <v>0</v>
      </c>
      <c r="T164" s="31"/>
      <c r="U164" s="31"/>
      <c r="V164" s="31">
        <f t="shared" si="37"/>
        <v>0</v>
      </c>
      <c r="W164" s="31"/>
      <c r="X164" s="31"/>
      <c r="Y164" s="31">
        <f t="shared" si="38"/>
        <v>0</v>
      </c>
      <c r="Z164" s="31"/>
      <c r="AA164" s="31"/>
      <c r="AB164" s="31">
        <f t="shared" si="39"/>
        <v>0</v>
      </c>
    </row>
    <row r="165" spans="1:187" s="6" customFormat="1" ht="31.5" x14ac:dyDescent="0.25">
      <c r="A165" s="30" t="s">
        <v>155</v>
      </c>
      <c r="B165" s="31">
        <f t="shared" si="40"/>
        <v>2380</v>
      </c>
      <c r="C165" s="31">
        <f t="shared" si="40"/>
        <v>2380</v>
      </c>
      <c r="D165" s="31">
        <f t="shared" si="40"/>
        <v>0</v>
      </c>
      <c r="E165" s="31"/>
      <c r="F165" s="31"/>
      <c r="G165" s="31">
        <f t="shared" si="32"/>
        <v>0</v>
      </c>
      <c r="H165" s="31"/>
      <c r="I165" s="31"/>
      <c r="J165" s="31">
        <f t="shared" si="33"/>
        <v>0</v>
      </c>
      <c r="K165" s="31">
        <v>2380</v>
      </c>
      <c r="L165" s="31">
        <v>2380</v>
      </c>
      <c r="M165" s="31">
        <f t="shared" si="34"/>
        <v>0</v>
      </c>
      <c r="N165" s="31">
        <v>0</v>
      </c>
      <c r="O165" s="31">
        <v>0</v>
      </c>
      <c r="P165" s="31">
        <f t="shared" si="41"/>
        <v>0</v>
      </c>
      <c r="Q165" s="31"/>
      <c r="R165" s="31"/>
      <c r="S165" s="31">
        <f t="shared" si="36"/>
        <v>0</v>
      </c>
      <c r="T165" s="31"/>
      <c r="U165" s="31"/>
      <c r="V165" s="31">
        <f t="shared" si="37"/>
        <v>0</v>
      </c>
      <c r="W165" s="31"/>
      <c r="X165" s="31"/>
      <c r="Y165" s="31">
        <f t="shared" si="38"/>
        <v>0</v>
      </c>
      <c r="Z165" s="31"/>
      <c r="AA165" s="31"/>
      <c r="AB165" s="31">
        <f t="shared" si="39"/>
        <v>0</v>
      </c>
    </row>
    <row r="166" spans="1:187" s="6" customFormat="1" ht="31.5" x14ac:dyDescent="0.25">
      <c r="A166" s="30" t="s">
        <v>156</v>
      </c>
      <c r="B166" s="31">
        <f t="shared" si="40"/>
        <v>0</v>
      </c>
      <c r="C166" s="31">
        <f t="shared" si="40"/>
        <v>1529</v>
      </c>
      <c r="D166" s="31">
        <f t="shared" si="40"/>
        <v>1529</v>
      </c>
      <c r="E166" s="31"/>
      <c r="F166" s="31"/>
      <c r="G166" s="31">
        <f t="shared" si="32"/>
        <v>0</v>
      </c>
      <c r="H166" s="31"/>
      <c r="I166" s="31"/>
      <c r="J166" s="31">
        <f t="shared" si="33"/>
        <v>0</v>
      </c>
      <c r="K166" s="31"/>
      <c r="L166" s="31">
        <v>1529</v>
      </c>
      <c r="M166" s="31">
        <f t="shared" si="34"/>
        <v>1529</v>
      </c>
      <c r="N166" s="31">
        <v>0</v>
      </c>
      <c r="O166" s="31">
        <v>0</v>
      </c>
      <c r="P166" s="31">
        <f t="shared" si="41"/>
        <v>0</v>
      </c>
      <c r="Q166" s="31"/>
      <c r="R166" s="31"/>
      <c r="S166" s="31">
        <f t="shared" si="36"/>
        <v>0</v>
      </c>
      <c r="T166" s="31"/>
      <c r="U166" s="31"/>
      <c r="V166" s="31">
        <f t="shared" si="37"/>
        <v>0</v>
      </c>
      <c r="W166" s="31"/>
      <c r="X166" s="31"/>
      <c r="Y166" s="31">
        <f t="shared" si="38"/>
        <v>0</v>
      </c>
      <c r="Z166" s="31"/>
      <c r="AA166" s="31"/>
      <c r="AB166" s="31">
        <f t="shared" si="39"/>
        <v>0</v>
      </c>
    </row>
    <row r="167" spans="1:187" s="6" customFormat="1" ht="31.5" x14ac:dyDescent="0.25">
      <c r="A167" s="30" t="s">
        <v>157</v>
      </c>
      <c r="B167" s="31">
        <f t="shared" si="40"/>
        <v>0</v>
      </c>
      <c r="C167" s="31">
        <f t="shared" si="40"/>
        <v>27712</v>
      </c>
      <c r="D167" s="31">
        <f t="shared" si="40"/>
        <v>27712</v>
      </c>
      <c r="E167" s="31">
        <v>0</v>
      </c>
      <c r="F167" s="31">
        <v>0</v>
      </c>
      <c r="G167" s="31">
        <f t="shared" si="32"/>
        <v>0</v>
      </c>
      <c r="H167" s="31"/>
      <c r="I167" s="31"/>
      <c r="J167" s="31">
        <f t="shared" si="33"/>
        <v>0</v>
      </c>
      <c r="K167" s="31"/>
      <c r="L167" s="31">
        <v>27712</v>
      </c>
      <c r="M167" s="31">
        <f t="shared" si="34"/>
        <v>27712</v>
      </c>
      <c r="N167" s="31"/>
      <c r="O167" s="31"/>
      <c r="P167" s="31">
        <f t="shared" si="41"/>
        <v>0</v>
      </c>
      <c r="Q167" s="31"/>
      <c r="R167" s="31"/>
      <c r="S167" s="31">
        <f t="shared" si="36"/>
        <v>0</v>
      </c>
      <c r="T167" s="31"/>
      <c r="U167" s="31"/>
      <c r="V167" s="31">
        <f t="shared" si="37"/>
        <v>0</v>
      </c>
      <c r="W167" s="31"/>
      <c r="X167" s="31"/>
      <c r="Y167" s="31">
        <f t="shared" si="38"/>
        <v>0</v>
      </c>
      <c r="Z167" s="31"/>
      <c r="AA167" s="31"/>
      <c r="AB167" s="31">
        <f t="shared" si="39"/>
        <v>0</v>
      </c>
    </row>
    <row r="168" spans="1:187" s="6" customFormat="1" ht="47.25" x14ac:dyDescent="0.25">
      <c r="A168" s="30" t="s">
        <v>158</v>
      </c>
      <c r="B168" s="31">
        <f t="shared" si="40"/>
        <v>1540</v>
      </c>
      <c r="C168" s="31">
        <f t="shared" si="40"/>
        <v>1540</v>
      </c>
      <c r="D168" s="31">
        <f t="shared" si="40"/>
        <v>0</v>
      </c>
      <c r="E168" s="31"/>
      <c r="F168" s="31"/>
      <c r="G168" s="31">
        <f t="shared" si="32"/>
        <v>0</v>
      </c>
      <c r="H168" s="31"/>
      <c r="I168" s="31"/>
      <c r="J168" s="31">
        <f t="shared" si="33"/>
        <v>0</v>
      </c>
      <c r="K168" s="31">
        <v>0</v>
      </c>
      <c r="L168" s="31">
        <v>0</v>
      </c>
      <c r="M168" s="31">
        <f t="shared" si="34"/>
        <v>0</v>
      </c>
      <c r="N168" s="31">
        <v>1540</v>
      </c>
      <c r="O168" s="31">
        <v>1540</v>
      </c>
      <c r="P168" s="31">
        <f t="shared" si="41"/>
        <v>0</v>
      </c>
      <c r="Q168" s="31"/>
      <c r="R168" s="31"/>
      <c r="S168" s="31">
        <f t="shared" si="36"/>
        <v>0</v>
      </c>
      <c r="T168" s="31"/>
      <c r="U168" s="31"/>
      <c r="V168" s="31">
        <f t="shared" si="37"/>
        <v>0</v>
      </c>
      <c r="W168" s="31"/>
      <c r="X168" s="31"/>
      <c r="Y168" s="31">
        <f t="shared" si="38"/>
        <v>0</v>
      </c>
      <c r="Z168" s="31"/>
      <c r="AA168" s="31"/>
      <c r="AB168" s="31">
        <f t="shared" si="39"/>
        <v>0</v>
      </c>
    </row>
    <row r="169" spans="1:187" s="6" customFormat="1" ht="47.25" x14ac:dyDescent="0.25">
      <c r="A169" s="30" t="s">
        <v>159</v>
      </c>
      <c r="B169" s="31">
        <f t="shared" si="40"/>
        <v>1399</v>
      </c>
      <c r="C169" s="31">
        <f t="shared" si="40"/>
        <v>1399</v>
      </c>
      <c r="D169" s="31">
        <f t="shared" si="40"/>
        <v>0</v>
      </c>
      <c r="E169" s="31"/>
      <c r="F169" s="31"/>
      <c r="G169" s="31">
        <f t="shared" si="32"/>
        <v>0</v>
      </c>
      <c r="H169" s="31"/>
      <c r="I169" s="31"/>
      <c r="J169" s="31">
        <f t="shared" si="33"/>
        <v>0</v>
      </c>
      <c r="K169" s="31">
        <v>0</v>
      </c>
      <c r="L169" s="31">
        <v>0</v>
      </c>
      <c r="M169" s="31">
        <f t="shared" si="34"/>
        <v>0</v>
      </c>
      <c r="N169" s="31">
        <v>1399</v>
      </c>
      <c r="O169" s="31">
        <v>1399</v>
      </c>
      <c r="P169" s="31">
        <f t="shared" si="41"/>
        <v>0</v>
      </c>
      <c r="Q169" s="31"/>
      <c r="R169" s="31"/>
      <c r="S169" s="31">
        <f t="shared" si="36"/>
        <v>0</v>
      </c>
      <c r="T169" s="31"/>
      <c r="U169" s="31"/>
      <c r="V169" s="31">
        <f t="shared" si="37"/>
        <v>0</v>
      </c>
      <c r="W169" s="31"/>
      <c r="X169" s="31"/>
      <c r="Y169" s="31">
        <f t="shared" si="38"/>
        <v>0</v>
      </c>
      <c r="Z169" s="31"/>
      <c r="AA169" s="31"/>
      <c r="AB169" s="31">
        <f t="shared" si="39"/>
        <v>0</v>
      </c>
    </row>
    <row r="170" spans="1:187" s="6" customFormat="1" x14ac:dyDescent="0.25">
      <c r="A170" s="30" t="s">
        <v>160</v>
      </c>
      <c r="B170" s="31">
        <f t="shared" si="40"/>
        <v>1241</v>
      </c>
      <c r="C170" s="31">
        <f t="shared" si="40"/>
        <v>1241</v>
      </c>
      <c r="D170" s="31">
        <f t="shared" si="40"/>
        <v>0</v>
      </c>
      <c r="E170" s="31"/>
      <c r="F170" s="31"/>
      <c r="G170" s="31">
        <f t="shared" si="32"/>
        <v>0</v>
      </c>
      <c r="H170" s="31"/>
      <c r="I170" s="31"/>
      <c r="J170" s="31">
        <f t="shared" si="33"/>
        <v>0</v>
      </c>
      <c r="K170" s="31">
        <v>1241</v>
      </c>
      <c r="L170" s="31">
        <v>1241</v>
      </c>
      <c r="M170" s="31">
        <f t="shared" si="34"/>
        <v>0</v>
      </c>
      <c r="N170" s="31">
        <v>0</v>
      </c>
      <c r="O170" s="31">
        <v>0</v>
      </c>
      <c r="P170" s="31">
        <f t="shared" si="41"/>
        <v>0</v>
      </c>
      <c r="Q170" s="31">
        <v>0</v>
      </c>
      <c r="R170" s="31">
        <v>0</v>
      </c>
      <c r="S170" s="31">
        <f t="shared" si="36"/>
        <v>0</v>
      </c>
      <c r="T170" s="31"/>
      <c r="U170" s="31"/>
      <c r="V170" s="31">
        <f t="shared" si="37"/>
        <v>0</v>
      </c>
      <c r="W170" s="31"/>
      <c r="X170" s="31"/>
      <c r="Y170" s="31">
        <f t="shared" si="38"/>
        <v>0</v>
      </c>
      <c r="Z170" s="31"/>
      <c r="AA170" s="31"/>
      <c r="AB170" s="31">
        <f t="shared" si="39"/>
        <v>0</v>
      </c>
    </row>
    <row r="171" spans="1:187" s="6" customFormat="1" x14ac:dyDescent="0.25">
      <c r="A171" s="30" t="s">
        <v>161</v>
      </c>
      <c r="B171" s="31">
        <f t="shared" si="40"/>
        <v>0</v>
      </c>
      <c r="C171" s="31">
        <f t="shared" si="40"/>
        <v>1498</v>
      </c>
      <c r="D171" s="31">
        <f t="shared" si="40"/>
        <v>1498</v>
      </c>
      <c r="E171" s="31"/>
      <c r="F171" s="31"/>
      <c r="G171" s="31">
        <f t="shared" si="32"/>
        <v>0</v>
      </c>
      <c r="H171" s="31"/>
      <c r="I171" s="31"/>
      <c r="J171" s="31">
        <f t="shared" si="33"/>
        <v>0</v>
      </c>
      <c r="K171" s="31"/>
      <c r="L171" s="31">
        <v>1498</v>
      </c>
      <c r="M171" s="31">
        <f t="shared" si="34"/>
        <v>1498</v>
      </c>
      <c r="N171" s="31">
        <v>0</v>
      </c>
      <c r="O171" s="31">
        <v>0</v>
      </c>
      <c r="P171" s="31">
        <f t="shared" si="41"/>
        <v>0</v>
      </c>
      <c r="Q171" s="31">
        <v>0</v>
      </c>
      <c r="R171" s="31">
        <v>0</v>
      </c>
      <c r="S171" s="31">
        <f t="shared" si="36"/>
        <v>0</v>
      </c>
      <c r="T171" s="31"/>
      <c r="U171" s="31"/>
      <c r="V171" s="31">
        <f t="shared" si="37"/>
        <v>0</v>
      </c>
      <c r="W171" s="31"/>
      <c r="X171" s="31"/>
      <c r="Y171" s="31">
        <f t="shared" si="38"/>
        <v>0</v>
      </c>
      <c r="Z171" s="31"/>
      <c r="AA171" s="31"/>
      <c r="AB171" s="31">
        <f t="shared" si="39"/>
        <v>0</v>
      </c>
    </row>
    <row r="172" spans="1:187" s="6" customFormat="1" x14ac:dyDescent="0.25">
      <c r="A172" s="30" t="s">
        <v>162</v>
      </c>
      <c r="B172" s="31">
        <f t="shared" si="40"/>
        <v>1607</v>
      </c>
      <c r="C172" s="31">
        <f t="shared" si="40"/>
        <v>1607</v>
      </c>
      <c r="D172" s="31">
        <f t="shared" si="40"/>
        <v>0</v>
      </c>
      <c r="E172" s="31"/>
      <c r="F172" s="31"/>
      <c r="G172" s="31">
        <f t="shared" si="32"/>
        <v>0</v>
      </c>
      <c r="H172" s="31"/>
      <c r="I172" s="31"/>
      <c r="J172" s="31">
        <f t="shared" si="33"/>
        <v>0</v>
      </c>
      <c r="K172" s="31">
        <v>1607</v>
      </c>
      <c r="L172" s="31">
        <v>1607</v>
      </c>
      <c r="M172" s="31">
        <f t="shared" si="34"/>
        <v>0</v>
      </c>
      <c r="N172" s="31">
        <v>0</v>
      </c>
      <c r="O172" s="31">
        <v>0</v>
      </c>
      <c r="P172" s="31">
        <f t="shared" si="41"/>
        <v>0</v>
      </c>
      <c r="Q172" s="31">
        <v>0</v>
      </c>
      <c r="R172" s="31">
        <v>0</v>
      </c>
      <c r="S172" s="31">
        <f t="shared" si="36"/>
        <v>0</v>
      </c>
      <c r="T172" s="31"/>
      <c r="U172" s="31"/>
      <c r="V172" s="31">
        <f t="shared" si="37"/>
        <v>0</v>
      </c>
      <c r="W172" s="31"/>
      <c r="X172" s="31"/>
      <c r="Y172" s="31">
        <f t="shared" si="38"/>
        <v>0</v>
      </c>
      <c r="Z172" s="31"/>
      <c r="AA172" s="31"/>
      <c r="AB172" s="31">
        <f t="shared" si="39"/>
        <v>0</v>
      </c>
    </row>
    <row r="173" spans="1:187" s="6" customFormat="1" x14ac:dyDescent="0.25">
      <c r="A173" s="30" t="s">
        <v>163</v>
      </c>
      <c r="B173" s="31">
        <f t="shared" si="40"/>
        <v>5210</v>
      </c>
      <c r="C173" s="31">
        <f t="shared" si="40"/>
        <v>5210</v>
      </c>
      <c r="D173" s="31">
        <f t="shared" si="40"/>
        <v>0</v>
      </c>
      <c r="E173" s="31"/>
      <c r="F173" s="31"/>
      <c r="G173" s="31">
        <f t="shared" si="32"/>
        <v>0</v>
      </c>
      <c r="H173" s="31"/>
      <c r="I173" s="31"/>
      <c r="J173" s="31">
        <f t="shared" si="33"/>
        <v>0</v>
      </c>
      <c r="K173" s="31">
        <v>0</v>
      </c>
      <c r="L173" s="31">
        <v>0</v>
      </c>
      <c r="M173" s="31">
        <f t="shared" si="34"/>
        <v>0</v>
      </c>
      <c r="N173" s="31">
        <v>0</v>
      </c>
      <c r="O173" s="31">
        <v>0</v>
      </c>
      <c r="P173" s="31">
        <f t="shared" si="41"/>
        <v>0</v>
      </c>
      <c r="Q173" s="31">
        <v>5210</v>
      </c>
      <c r="R173" s="31">
        <v>5210</v>
      </c>
      <c r="S173" s="31">
        <f t="shared" si="36"/>
        <v>0</v>
      </c>
      <c r="T173" s="31"/>
      <c r="U173" s="31"/>
      <c r="V173" s="31">
        <f t="shared" si="37"/>
        <v>0</v>
      </c>
      <c r="W173" s="31"/>
      <c r="X173" s="31"/>
      <c r="Y173" s="31">
        <f t="shared" si="38"/>
        <v>0</v>
      </c>
      <c r="Z173" s="31"/>
      <c r="AA173" s="31"/>
      <c r="AB173" s="31">
        <f t="shared" si="39"/>
        <v>0</v>
      </c>
    </row>
    <row r="174" spans="1:187" s="6" customFormat="1" x14ac:dyDescent="0.25">
      <c r="A174" s="24" t="s">
        <v>164</v>
      </c>
      <c r="B174" s="25">
        <f t="shared" si="40"/>
        <v>69997</v>
      </c>
      <c r="C174" s="25">
        <f t="shared" si="40"/>
        <v>69997</v>
      </c>
      <c r="D174" s="25">
        <f t="shared" si="40"/>
        <v>0</v>
      </c>
      <c r="E174" s="25">
        <f>SUM(E175:E175)</f>
        <v>0</v>
      </c>
      <c r="F174" s="25">
        <f>SUM(F175:F175)</f>
        <v>0</v>
      </c>
      <c r="G174" s="25">
        <f t="shared" si="32"/>
        <v>0</v>
      </c>
      <c r="H174" s="25">
        <f>SUM(H175:H175)</f>
        <v>0</v>
      </c>
      <c r="I174" s="25">
        <f>SUM(I175:I175)</f>
        <v>0</v>
      </c>
      <c r="J174" s="25">
        <f t="shared" si="33"/>
        <v>0</v>
      </c>
      <c r="K174" s="25">
        <f>SUM(K175:K175)</f>
        <v>9841</v>
      </c>
      <c r="L174" s="25">
        <f>SUM(L175:L175)</f>
        <v>9841</v>
      </c>
      <c r="M174" s="25">
        <f t="shared" si="34"/>
        <v>0</v>
      </c>
      <c r="N174" s="25">
        <f>SUM(N175:N175)</f>
        <v>0</v>
      </c>
      <c r="O174" s="25">
        <f>SUM(O175:O175)</f>
        <v>0</v>
      </c>
      <c r="P174" s="25">
        <f t="shared" si="41"/>
        <v>0</v>
      </c>
      <c r="Q174" s="25">
        <f>SUM(Q175:Q175)</f>
        <v>60156</v>
      </c>
      <c r="R174" s="25">
        <f>SUM(R175:R175)</f>
        <v>60156</v>
      </c>
      <c r="S174" s="25">
        <f t="shared" si="36"/>
        <v>0</v>
      </c>
      <c r="T174" s="25">
        <f>SUM(T175:T175)</f>
        <v>0</v>
      </c>
      <c r="U174" s="25">
        <f>SUM(U175:U175)</f>
        <v>0</v>
      </c>
      <c r="V174" s="25">
        <f t="shared" si="37"/>
        <v>0</v>
      </c>
      <c r="W174" s="25">
        <f>SUM(W175:W175)</f>
        <v>0</v>
      </c>
      <c r="X174" s="25">
        <f>SUM(X175:X175)</f>
        <v>0</v>
      </c>
      <c r="Y174" s="25">
        <f t="shared" si="38"/>
        <v>0</v>
      </c>
      <c r="Z174" s="25">
        <f>SUM(Z175:Z175)</f>
        <v>0</v>
      </c>
      <c r="AA174" s="25">
        <f>SUM(AA175:AA175)</f>
        <v>0</v>
      </c>
      <c r="AB174" s="25">
        <f t="shared" si="39"/>
        <v>0</v>
      </c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</row>
    <row r="175" spans="1:187" s="6" customFormat="1" ht="31.5" x14ac:dyDescent="0.25">
      <c r="A175" s="30" t="s">
        <v>165</v>
      </c>
      <c r="B175" s="31">
        <f t="shared" si="40"/>
        <v>69997</v>
      </c>
      <c r="C175" s="31">
        <f t="shared" si="40"/>
        <v>69997</v>
      </c>
      <c r="D175" s="31">
        <f t="shared" si="40"/>
        <v>0</v>
      </c>
      <c r="E175" s="31">
        <v>0</v>
      </c>
      <c r="F175" s="31">
        <v>0</v>
      </c>
      <c r="G175" s="31">
        <f t="shared" si="32"/>
        <v>0</v>
      </c>
      <c r="H175" s="31"/>
      <c r="I175" s="31"/>
      <c r="J175" s="31">
        <f t="shared" si="33"/>
        <v>0</v>
      </c>
      <c r="K175" s="31">
        <f>9841</f>
        <v>9841</v>
      </c>
      <c r="L175" s="31">
        <f>9841</f>
        <v>9841</v>
      </c>
      <c r="M175" s="31">
        <f t="shared" si="34"/>
        <v>0</v>
      </c>
      <c r="N175" s="31"/>
      <c r="O175" s="31"/>
      <c r="P175" s="31">
        <f t="shared" si="41"/>
        <v>0</v>
      </c>
      <c r="Q175" s="31">
        <v>60156</v>
      </c>
      <c r="R175" s="31">
        <v>60156</v>
      </c>
      <c r="S175" s="31">
        <f t="shared" si="36"/>
        <v>0</v>
      </c>
      <c r="T175" s="31"/>
      <c r="U175" s="31"/>
      <c r="V175" s="31">
        <f t="shared" si="37"/>
        <v>0</v>
      </c>
      <c r="W175" s="31"/>
      <c r="X175" s="31"/>
      <c r="Y175" s="31">
        <f t="shared" si="38"/>
        <v>0</v>
      </c>
      <c r="Z175" s="31"/>
      <c r="AA175" s="31"/>
      <c r="AB175" s="31">
        <f t="shared" si="39"/>
        <v>0</v>
      </c>
    </row>
    <row r="176" spans="1:187" s="6" customFormat="1" x14ac:dyDescent="0.25">
      <c r="A176" s="24" t="s">
        <v>51</v>
      </c>
      <c r="B176" s="25">
        <f t="shared" si="40"/>
        <v>415745</v>
      </c>
      <c r="C176" s="25">
        <f t="shared" si="40"/>
        <v>414273</v>
      </c>
      <c r="D176" s="25">
        <f t="shared" si="40"/>
        <v>-1472</v>
      </c>
      <c r="E176" s="25">
        <f>SUM(E177,E183,E188,E181)</f>
        <v>0</v>
      </c>
      <c r="F176" s="25">
        <f>SUM(F177,F183,F188,F181)</f>
        <v>0</v>
      </c>
      <c r="G176" s="25">
        <f t="shared" si="32"/>
        <v>0</v>
      </c>
      <c r="H176" s="25">
        <f>SUM(H177,H183,H188,H181)</f>
        <v>0</v>
      </c>
      <c r="I176" s="25">
        <f>SUM(I177,I183,I188,I181)</f>
        <v>0</v>
      </c>
      <c r="J176" s="25">
        <f t="shared" si="33"/>
        <v>0</v>
      </c>
      <c r="K176" s="25">
        <f>SUM(K177,K183,K188,K181)</f>
        <v>5342</v>
      </c>
      <c r="L176" s="25">
        <f>SUM(L177,L183,L188,L181)</f>
        <v>128623</v>
      </c>
      <c r="M176" s="25">
        <f t="shared" si="34"/>
        <v>123281</v>
      </c>
      <c r="N176" s="25">
        <f>SUM(N177,N183,N188,N181)</f>
        <v>244839</v>
      </c>
      <c r="O176" s="25">
        <f>SUM(O177,O183,O188,O181)</f>
        <v>244839</v>
      </c>
      <c r="P176" s="25">
        <f t="shared" si="41"/>
        <v>0</v>
      </c>
      <c r="Q176" s="25">
        <f>SUM(Q177,Q183,Q188,Q181)</f>
        <v>165564</v>
      </c>
      <c r="R176" s="25">
        <f>SUM(R177,R183,R188,R181)</f>
        <v>40811</v>
      </c>
      <c r="S176" s="25">
        <f t="shared" si="36"/>
        <v>-124753</v>
      </c>
      <c r="T176" s="25">
        <f>SUM(T177,T183,T188,T181)</f>
        <v>0</v>
      </c>
      <c r="U176" s="25">
        <f>SUM(U177,U183,U188,U181)</f>
        <v>0</v>
      </c>
      <c r="V176" s="25">
        <f t="shared" si="37"/>
        <v>0</v>
      </c>
      <c r="W176" s="25">
        <f>SUM(W177,W183,W188,W181)</f>
        <v>0</v>
      </c>
      <c r="X176" s="25">
        <f>SUM(X177,X183,X188,X181)</f>
        <v>0</v>
      </c>
      <c r="Y176" s="25">
        <f t="shared" si="38"/>
        <v>0</v>
      </c>
      <c r="Z176" s="25">
        <f>SUM(Z177,Z183,Z188,Z181)</f>
        <v>0</v>
      </c>
      <c r="AA176" s="25">
        <f>SUM(AA177,AA183,AA188,AA181)</f>
        <v>0</v>
      </c>
      <c r="AB176" s="25">
        <f t="shared" si="39"/>
        <v>0</v>
      </c>
    </row>
    <row r="177" spans="1:187" s="6" customFormat="1" x14ac:dyDescent="0.25">
      <c r="A177" s="24" t="s">
        <v>90</v>
      </c>
      <c r="B177" s="25">
        <f t="shared" si="40"/>
        <v>13339</v>
      </c>
      <c r="C177" s="25">
        <f t="shared" si="40"/>
        <v>13149</v>
      </c>
      <c r="D177" s="25">
        <f t="shared" si="40"/>
        <v>-190</v>
      </c>
      <c r="E177" s="25">
        <f>SUM(E178:E180)</f>
        <v>0</v>
      </c>
      <c r="F177" s="25">
        <f>SUM(F178:F180)</f>
        <v>0</v>
      </c>
      <c r="G177" s="25">
        <f t="shared" si="32"/>
        <v>0</v>
      </c>
      <c r="H177" s="25">
        <f>SUM(H178:H180)</f>
        <v>0</v>
      </c>
      <c r="I177" s="25">
        <f>SUM(I178:I180)</f>
        <v>0</v>
      </c>
      <c r="J177" s="25">
        <f t="shared" si="33"/>
        <v>0</v>
      </c>
      <c r="K177" s="25">
        <f>SUM(K178:K180)</f>
        <v>0</v>
      </c>
      <c r="L177" s="25">
        <f>SUM(L178:L180)</f>
        <v>209</v>
      </c>
      <c r="M177" s="25">
        <f t="shared" si="34"/>
        <v>209</v>
      </c>
      <c r="N177" s="25">
        <f>SUM(N178:N180)</f>
        <v>0</v>
      </c>
      <c r="O177" s="25">
        <f>SUM(O178:O180)</f>
        <v>0</v>
      </c>
      <c r="P177" s="25">
        <f t="shared" si="41"/>
        <v>0</v>
      </c>
      <c r="Q177" s="25">
        <f>SUM(Q178:Q180)</f>
        <v>13339</v>
      </c>
      <c r="R177" s="25">
        <f>SUM(R178:R180)</f>
        <v>12940</v>
      </c>
      <c r="S177" s="25">
        <f t="shared" si="36"/>
        <v>-399</v>
      </c>
      <c r="T177" s="25">
        <f>SUM(T178:T180)</f>
        <v>0</v>
      </c>
      <c r="U177" s="25">
        <f>SUM(U178:U180)</f>
        <v>0</v>
      </c>
      <c r="V177" s="25">
        <f t="shared" si="37"/>
        <v>0</v>
      </c>
      <c r="W177" s="25">
        <f>SUM(W178:W180)</f>
        <v>0</v>
      </c>
      <c r="X177" s="25">
        <f>SUM(X178:X180)</f>
        <v>0</v>
      </c>
      <c r="Y177" s="25">
        <f t="shared" si="38"/>
        <v>0</v>
      </c>
      <c r="Z177" s="25">
        <f>SUM(Z178:Z180)</f>
        <v>0</v>
      </c>
      <c r="AA177" s="25">
        <f>SUM(AA178:AA180)</f>
        <v>0</v>
      </c>
      <c r="AB177" s="25">
        <f t="shared" si="39"/>
        <v>0</v>
      </c>
    </row>
    <row r="178" spans="1:187" s="6" customFormat="1" ht="31.5" x14ac:dyDescent="0.25">
      <c r="A178" s="30" t="s">
        <v>166</v>
      </c>
      <c r="B178" s="31">
        <f t="shared" si="40"/>
        <v>10201</v>
      </c>
      <c r="C178" s="31">
        <f t="shared" si="40"/>
        <v>9802</v>
      </c>
      <c r="D178" s="31">
        <f t="shared" si="40"/>
        <v>-399</v>
      </c>
      <c r="E178" s="31"/>
      <c r="F178" s="31"/>
      <c r="G178" s="31">
        <f t="shared" si="32"/>
        <v>0</v>
      </c>
      <c r="H178" s="31"/>
      <c r="I178" s="31"/>
      <c r="J178" s="31">
        <f t="shared" si="33"/>
        <v>0</v>
      </c>
      <c r="K178" s="31"/>
      <c r="L178" s="31"/>
      <c r="M178" s="31">
        <f t="shared" si="34"/>
        <v>0</v>
      </c>
      <c r="N178" s="31"/>
      <c r="O178" s="31"/>
      <c r="P178" s="31">
        <f t="shared" si="41"/>
        <v>0</v>
      </c>
      <c r="Q178" s="31">
        <v>10201</v>
      </c>
      <c r="R178" s="31">
        <f>10201-399</f>
        <v>9802</v>
      </c>
      <c r="S178" s="31">
        <f t="shared" si="36"/>
        <v>-399</v>
      </c>
      <c r="T178" s="31"/>
      <c r="U178" s="31"/>
      <c r="V178" s="31">
        <f t="shared" si="37"/>
        <v>0</v>
      </c>
      <c r="W178" s="31"/>
      <c r="X178" s="31"/>
      <c r="Y178" s="31">
        <f t="shared" si="38"/>
        <v>0</v>
      </c>
      <c r="Z178" s="31"/>
      <c r="AA178" s="31"/>
      <c r="AB178" s="31">
        <f t="shared" si="39"/>
        <v>0</v>
      </c>
    </row>
    <row r="179" spans="1:187" s="6" customFormat="1" ht="31.5" x14ac:dyDescent="0.25">
      <c r="A179" s="30" t="s">
        <v>167</v>
      </c>
      <c r="B179" s="31">
        <f t="shared" si="40"/>
        <v>1836</v>
      </c>
      <c r="C179" s="31">
        <f t="shared" si="40"/>
        <v>1836</v>
      </c>
      <c r="D179" s="31">
        <f t="shared" si="40"/>
        <v>0</v>
      </c>
      <c r="E179" s="31"/>
      <c r="F179" s="31"/>
      <c r="G179" s="31">
        <f t="shared" si="32"/>
        <v>0</v>
      </c>
      <c r="H179" s="31"/>
      <c r="I179" s="31"/>
      <c r="J179" s="31">
        <f t="shared" si="33"/>
        <v>0</v>
      </c>
      <c r="K179" s="31"/>
      <c r="L179" s="31"/>
      <c r="M179" s="31">
        <f t="shared" si="34"/>
        <v>0</v>
      </c>
      <c r="N179" s="31"/>
      <c r="O179" s="31"/>
      <c r="P179" s="31">
        <f t="shared" si="41"/>
        <v>0</v>
      </c>
      <c r="Q179" s="31">
        <v>1836</v>
      </c>
      <c r="R179" s="31">
        <v>1836</v>
      </c>
      <c r="S179" s="31">
        <f t="shared" si="36"/>
        <v>0</v>
      </c>
      <c r="T179" s="31"/>
      <c r="U179" s="31"/>
      <c r="V179" s="31">
        <f t="shared" si="37"/>
        <v>0</v>
      </c>
      <c r="W179" s="31"/>
      <c r="X179" s="31"/>
      <c r="Y179" s="31">
        <f t="shared" si="38"/>
        <v>0</v>
      </c>
      <c r="Z179" s="31"/>
      <c r="AA179" s="31"/>
      <c r="AB179" s="31">
        <f t="shared" si="39"/>
        <v>0</v>
      </c>
    </row>
    <row r="180" spans="1:187" s="6" customFormat="1" ht="31.5" x14ac:dyDescent="0.25">
      <c r="A180" s="30" t="s">
        <v>168</v>
      </c>
      <c r="B180" s="31">
        <f t="shared" si="40"/>
        <v>1302</v>
      </c>
      <c r="C180" s="31">
        <f t="shared" si="40"/>
        <v>1511</v>
      </c>
      <c r="D180" s="31">
        <f t="shared" si="40"/>
        <v>209</v>
      </c>
      <c r="E180" s="31"/>
      <c r="F180" s="31"/>
      <c r="G180" s="31">
        <f t="shared" si="32"/>
        <v>0</v>
      </c>
      <c r="H180" s="31"/>
      <c r="I180" s="31"/>
      <c r="J180" s="31">
        <f t="shared" si="33"/>
        <v>0</v>
      </c>
      <c r="K180" s="31"/>
      <c r="L180" s="31">
        <v>209</v>
      </c>
      <c r="M180" s="31">
        <f t="shared" si="34"/>
        <v>209</v>
      </c>
      <c r="N180" s="31"/>
      <c r="O180" s="31"/>
      <c r="P180" s="31">
        <f t="shared" si="41"/>
        <v>0</v>
      </c>
      <c r="Q180" s="31">
        <v>1302</v>
      </c>
      <c r="R180" s="31">
        <f>1302</f>
        <v>1302</v>
      </c>
      <c r="S180" s="31">
        <f t="shared" si="36"/>
        <v>0</v>
      </c>
      <c r="T180" s="31"/>
      <c r="U180" s="31"/>
      <c r="V180" s="31">
        <f t="shared" si="37"/>
        <v>0</v>
      </c>
      <c r="W180" s="31"/>
      <c r="X180" s="31"/>
      <c r="Y180" s="31">
        <f t="shared" si="38"/>
        <v>0</v>
      </c>
      <c r="Z180" s="31"/>
      <c r="AA180" s="31"/>
      <c r="AB180" s="31">
        <f t="shared" si="39"/>
        <v>0</v>
      </c>
    </row>
    <row r="181" spans="1:187" s="6" customFormat="1" x14ac:dyDescent="0.25">
      <c r="A181" s="24" t="s">
        <v>95</v>
      </c>
      <c r="B181" s="25">
        <f t="shared" si="40"/>
        <v>244839</v>
      </c>
      <c r="C181" s="25">
        <f t="shared" si="40"/>
        <v>244839</v>
      </c>
      <c r="D181" s="25">
        <f t="shared" si="40"/>
        <v>0</v>
      </c>
      <c r="E181" s="25">
        <f>SUM(E182:E182)</f>
        <v>0</v>
      </c>
      <c r="F181" s="25">
        <f>SUM(F182:F182)</f>
        <v>0</v>
      </c>
      <c r="G181" s="25">
        <f t="shared" si="32"/>
        <v>0</v>
      </c>
      <c r="H181" s="25">
        <f>SUM(H182:H182)</f>
        <v>0</v>
      </c>
      <c r="I181" s="25">
        <f>SUM(I182:I182)</f>
        <v>0</v>
      </c>
      <c r="J181" s="25">
        <f t="shared" si="33"/>
        <v>0</v>
      </c>
      <c r="K181" s="25">
        <f>SUM(K182:K182)</f>
        <v>0</v>
      </c>
      <c r="L181" s="25">
        <f>SUM(L182:L182)</f>
        <v>0</v>
      </c>
      <c r="M181" s="25">
        <f t="shared" si="34"/>
        <v>0</v>
      </c>
      <c r="N181" s="25">
        <f>SUM(N182:N182)</f>
        <v>244839</v>
      </c>
      <c r="O181" s="25">
        <f>SUM(O182:O182)</f>
        <v>244839</v>
      </c>
      <c r="P181" s="25">
        <f t="shared" si="41"/>
        <v>0</v>
      </c>
      <c r="Q181" s="25">
        <f>SUM(Q182:Q182)</f>
        <v>0</v>
      </c>
      <c r="R181" s="25">
        <f>SUM(R182:R182)</f>
        <v>0</v>
      </c>
      <c r="S181" s="25">
        <f t="shared" si="36"/>
        <v>0</v>
      </c>
      <c r="T181" s="25">
        <f>SUM(T182:T182)</f>
        <v>0</v>
      </c>
      <c r="U181" s="25">
        <f>SUM(U182:U182)</f>
        <v>0</v>
      </c>
      <c r="V181" s="25">
        <f t="shared" si="37"/>
        <v>0</v>
      </c>
      <c r="W181" s="25">
        <f>SUM(W182:W182)</f>
        <v>0</v>
      </c>
      <c r="X181" s="25">
        <f>SUM(X182:X182)</f>
        <v>0</v>
      </c>
      <c r="Y181" s="25">
        <f t="shared" si="38"/>
        <v>0</v>
      </c>
      <c r="Z181" s="25">
        <f>SUM(Z182:Z182)</f>
        <v>0</v>
      </c>
      <c r="AA181" s="25">
        <f>SUM(AA182:AA182)</f>
        <v>0</v>
      </c>
      <c r="AB181" s="25">
        <f t="shared" si="39"/>
        <v>0</v>
      </c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</row>
    <row r="182" spans="1:187" s="6" customFormat="1" ht="78.75" x14ac:dyDescent="0.25">
      <c r="A182" s="30" t="s">
        <v>169</v>
      </c>
      <c r="B182" s="31">
        <f t="shared" si="40"/>
        <v>244839</v>
      </c>
      <c r="C182" s="31">
        <f t="shared" si="40"/>
        <v>244839</v>
      </c>
      <c r="D182" s="31">
        <f t="shared" si="40"/>
        <v>0</v>
      </c>
      <c r="E182" s="31">
        <v>0</v>
      </c>
      <c r="F182" s="31">
        <v>0</v>
      </c>
      <c r="G182" s="31">
        <f t="shared" si="32"/>
        <v>0</v>
      </c>
      <c r="H182" s="31"/>
      <c r="I182" s="31"/>
      <c r="J182" s="31">
        <f t="shared" si="33"/>
        <v>0</v>
      </c>
      <c r="K182" s="31">
        <v>0</v>
      </c>
      <c r="L182" s="31">
        <v>0</v>
      </c>
      <c r="M182" s="31">
        <f t="shared" si="34"/>
        <v>0</v>
      </c>
      <c r="N182" s="31">
        <v>244839</v>
      </c>
      <c r="O182" s="31">
        <v>244839</v>
      </c>
      <c r="P182" s="31">
        <f t="shared" si="41"/>
        <v>0</v>
      </c>
      <c r="Q182" s="31"/>
      <c r="R182" s="31"/>
      <c r="S182" s="31">
        <f t="shared" si="36"/>
        <v>0</v>
      </c>
      <c r="T182" s="31">
        <v>0</v>
      </c>
      <c r="U182" s="31">
        <v>0</v>
      </c>
      <c r="V182" s="31">
        <f t="shared" si="37"/>
        <v>0</v>
      </c>
      <c r="W182" s="31"/>
      <c r="X182" s="31"/>
      <c r="Y182" s="31">
        <f t="shared" si="38"/>
        <v>0</v>
      </c>
      <c r="Z182" s="31"/>
      <c r="AA182" s="31"/>
      <c r="AB182" s="31">
        <f t="shared" si="39"/>
        <v>0</v>
      </c>
    </row>
    <row r="183" spans="1:187" s="6" customFormat="1" ht="31.5" x14ac:dyDescent="0.25">
      <c r="A183" s="24" t="s">
        <v>97</v>
      </c>
      <c r="B183" s="25">
        <f t="shared" si="40"/>
        <v>92634</v>
      </c>
      <c r="C183" s="25">
        <f t="shared" si="40"/>
        <v>92137</v>
      </c>
      <c r="D183" s="25">
        <f t="shared" si="40"/>
        <v>-497</v>
      </c>
      <c r="E183" s="25">
        <f>SUM(E184:E187)</f>
        <v>0</v>
      </c>
      <c r="F183" s="25">
        <f>SUM(F184:F187)</f>
        <v>0</v>
      </c>
      <c r="G183" s="25">
        <f t="shared" si="32"/>
        <v>0</v>
      </c>
      <c r="H183" s="25">
        <f>SUM(H184:H187)</f>
        <v>0</v>
      </c>
      <c r="I183" s="25">
        <f>SUM(I184:I187)</f>
        <v>0</v>
      </c>
      <c r="J183" s="25">
        <f t="shared" si="33"/>
        <v>0</v>
      </c>
      <c r="K183" s="25">
        <f>SUM(K184:K187)</f>
        <v>5342</v>
      </c>
      <c r="L183" s="25">
        <f>SUM(L184:L187)</f>
        <v>69644</v>
      </c>
      <c r="M183" s="25">
        <f t="shared" si="34"/>
        <v>64302</v>
      </c>
      <c r="N183" s="25">
        <f>SUM(N184:N187)</f>
        <v>0</v>
      </c>
      <c r="O183" s="25">
        <f>SUM(O184:O187)</f>
        <v>0</v>
      </c>
      <c r="P183" s="25">
        <f t="shared" si="41"/>
        <v>0</v>
      </c>
      <c r="Q183" s="25">
        <f>SUM(Q184:Q187)</f>
        <v>87292</v>
      </c>
      <c r="R183" s="25">
        <f>SUM(R184:R187)</f>
        <v>22493</v>
      </c>
      <c r="S183" s="25">
        <f t="shared" si="36"/>
        <v>-64799</v>
      </c>
      <c r="T183" s="25">
        <f>SUM(T184:T187)</f>
        <v>0</v>
      </c>
      <c r="U183" s="25">
        <f>SUM(U184:U187)</f>
        <v>0</v>
      </c>
      <c r="V183" s="25">
        <f t="shared" si="37"/>
        <v>0</v>
      </c>
      <c r="W183" s="25">
        <f>SUM(W184:W187)</f>
        <v>0</v>
      </c>
      <c r="X183" s="25">
        <f>SUM(X184:X187)</f>
        <v>0</v>
      </c>
      <c r="Y183" s="25">
        <f t="shared" si="38"/>
        <v>0</v>
      </c>
      <c r="Z183" s="25">
        <f>SUM(Z184:Z187)</f>
        <v>0</v>
      </c>
      <c r="AA183" s="25">
        <f>SUM(AA184:AA187)</f>
        <v>0</v>
      </c>
      <c r="AB183" s="25">
        <f t="shared" si="39"/>
        <v>0</v>
      </c>
    </row>
    <row r="184" spans="1:187" s="6" customFormat="1" ht="47.25" x14ac:dyDescent="0.25">
      <c r="A184" s="30" t="s">
        <v>170</v>
      </c>
      <c r="B184" s="31">
        <f t="shared" si="40"/>
        <v>79688</v>
      </c>
      <c r="C184" s="31">
        <f t="shared" si="40"/>
        <v>79688</v>
      </c>
      <c r="D184" s="31">
        <f t="shared" si="40"/>
        <v>0</v>
      </c>
      <c r="E184" s="31">
        <v>0</v>
      </c>
      <c r="F184" s="31">
        <v>0</v>
      </c>
      <c r="G184" s="31">
        <f t="shared" si="32"/>
        <v>0</v>
      </c>
      <c r="H184" s="31"/>
      <c r="I184" s="31"/>
      <c r="J184" s="31">
        <f t="shared" si="33"/>
        <v>0</v>
      </c>
      <c r="K184" s="31">
        <v>5342</v>
      </c>
      <c r="L184" s="31">
        <f>5342-5342+62075+5342</f>
        <v>67417</v>
      </c>
      <c r="M184" s="31">
        <f t="shared" si="34"/>
        <v>62075</v>
      </c>
      <c r="N184" s="31"/>
      <c r="O184" s="31"/>
      <c r="P184" s="31">
        <f t="shared" si="41"/>
        <v>0</v>
      </c>
      <c r="Q184" s="31">
        <f>2122+1596+3531+3336+1687+13035+15991+14275+13062+11053-5342</f>
        <v>74346</v>
      </c>
      <c r="R184" s="31">
        <f>2122+1596+3531+3336+1687+13035+15991+14275+13062+11053-5342-62075</f>
        <v>12271</v>
      </c>
      <c r="S184" s="31">
        <f t="shared" si="36"/>
        <v>-62075</v>
      </c>
      <c r="T184" s="31"/>
      <c r="U184" s="31"/>
      <c r="V184" s="31">
        <f t="shared" si="37"/>
        <v>0</v>
      </c>
      <c r="W184" s="31"/>
      <c r="X184" s="31"/>
      <c r="Y184" s="31">
        <f t="shared" si="38"/>
        <v>0</v>
      </c>
      <c r="Z184" s="31"/>
      <c r="AA184" s="31"/>
      <c r="AB184" s="31">
        <f t="shared" si="39"/>
        <v>0</v>
      </c>
    </row>
    <row r="185" spans="1:187" s="6" customFormat="1" ht="31.5" x14ac:dyDescent="0.25">
      <c r="A185" s="30" t="s">
        <v>171</v>
      </c>
      <c r="B185" s="31">
        <f t="shared" si="40"/>
        <v>3905</v>
      </c>
      <c r="C185" s="31">
        <f t="shared" si="40"/>
        <v>3905</v>
      </c>
      <c r="D185" s="31">
        <f t="shared" si="40"/>
        <v>0</v>
      </c>
      <c r="E185" s="31"/>
      <c r="F185" s="31"/>
      <c r="G185" s="31">
        <f t="shared" si="32"/>
        <v>0</v>
      </c>
      <c r="H185" s="31"/>
      <c r="I185" s="31"/>
      <c r="J185" s="31">
        <f t="shared" si="33"/>
        <v>0</v>
      </c>
      <c r="K185" s="31"/>
      <c r="L185" s="31"/>
      <c r="M185" s="31">
        <f t="shared" si="34"/>
        <v>0</v>
      </c>
      <c r="N185" s="31"/>
      <c r="O185" s="31"/>
      <c r="P185" s="31">
        <f t="shared" si="41"/>
        <v>0</v>
      </c>
      <c r="Q185" s="31">
        <v>3905</v>
      </c>
      <c r="R185" s="31">
        <v>3905</v>
      </c>
      <c r="S185" s="31">
        <f t="shared" si="36"/>
        <v>0</v>
      </c>
      <c r="T185" s="31"/>
      <c r="U185" s="31"/>
      <c r="V185" s="31">
        <f t="shared" si="37"/>
        <v>0</v>
      </c>
      <c r="W185" s="31"/>
      <c r="X185" s="31"/>
      <c r="Y185" s="31">
        <f t="shared" si="38"/>
        <v>0</v>
      </c>
      <c r="Z185" s="31"/>
      <c r="AA185" s="31"/>
      <c r="AB185" s="31">
        <f t="shared" si="39"/>
        <v>0</v>
      </c>
    </row>
    <row r="186" spans="1:187" s="6" customFormat="1" x14ac:dyDescent="0.25">
      <c r="A186" s="30" t="s">
        <v>172</v>
      </c>
      <c r="B186" s="31">
        <f t="shared" si="40"/>
        <v>0</v>
      </c>
      <c r="C186" s="31">
        <f t="shared" si="40"/>
        <v>1376</v>
      </c>
      <c r="D186" s="31">
        <f t="shared" si="40"/>
        <v>1376</v>
      </c>
      <c r="E186" s="31"/>
      <c r="F186" s="31"/>
      <c r="G186" s="31">
        <f t="shared" si="32"/>
        <v>0</v>
      </c>
      <c r="H186" s="31"/>
      <c r="I186" s="31"/>
      <c r="J186" s="31">
        <f t="shared" si="33"/>
        <v>0</v>
      </c>
      <c r="K186" s="31"/>
      <c r="L186" s="31"/>
      <c r="M186" s="31">
        <f t="shared" si="34"/>
        <v>0</v>
      </c>
      <c r="N186" s="31"/>
      <c r="O186" s="31"/>
      <c r="P186" s="31">
        <f t="shared" si="41"/>
        <v>0</v>
      </c>
      <c r="Q186" s="31"/>
      <c r="R186" s="31">
        <v>1376</v>
      </c>
      <c r="S186" s="31">
        <f t="shared" si="36"/>
        <v>1376</v>
      </c>
      <c r="T186" s="31"/>
      <c r="U186" s="31"/>
      <c r="V186" s="31">
        <f t="shared" si="37"/>
        <v>0</v>
      </c>
      <c r="W186" s="31"/>
      <c r="X186" s="31"/>
      <c r="Y186" s="31">
        <f t="shared" si="38"/>
        <v>0</v>
      </c>
      <c r="Z186" s="31"/>
      <c r="AA186" s="31"/>
      <c r="AB186" s="31">
        <f t="shared" si="39"/>
        <v>0</v>
      </c>
    </row>
    <row r="187" spans="1:187" s="6" customFormat="1" x14ac:dyDescent="0.25">
      <c r="A187" s="30" t="s">
        <v>173</v>
      </c>
      <c r="B187" s="31">
        <f t="shared" si="40"/>
        <v>9041</v>
      </c>
      <c r="C187" s="31">
        <f t="shared" si="40"/>
        <v>7168</v>
      </c>
      <c r="D187" s="31">
        <f t="shared" si="40"/>
        <v>-1873</v>
      </c>
      <c r="E187" s="31"/>
      <c r="F187" s="31"/>
      <c r="G187" s="31">
        <f t="shared" si="32"/>
        <v>0</v>
      </c>
      <c r="H187" s="31"/>
      <c r="I187" s="31"/>
      <c r="J187" s="31">
        <f t="shared" si="33"/>
        <v>0</v>
      </c>
      <c r="K187" s="31"/>
      <c r="L187" s="31">
        <v>2227</v>
      </c>
      <c r="M187" s="31">
        <f t="shared" si="34"/>
        <v>2227</v>
      </c>
      <c r="N187" s="31"/>
      <c r="O187" s="31"/>
      <c r="P187" s="31">
        <f t="shared" si="41"/>
        <v>0</v>
      </c>
      <c r="Q187" s="31">
        <f>11170-2129</f>
        <v>9041</v>
      </c>
      <c r="R187" s="31">
        <v>4941</v>
      </c>
      <c r="S187" s="31">
        <f t="shared" si="36"/>
        <v>-4100</v>
      </c>
      <c r="T187" s="31"/>
      <c r="U187" s="31"/>
      <c r="V187" s="31">
        <f t="shared" si="37"/>
        <v>0</v>
      </c>
      <c r="W187" s="31"/>
      <c r="X187" s="31"/>
      <c r="Y187" s="31">
        <f t="shared" si="38"/>
        <v>0</v>
      </c>
      <c r="Z187" s="31"/>
      <c r="AA187" s="31"/>
      <c r="AB187" s="31">
        <f t="shared" si="39"/>
        <v>0</v>
      </c>
    </row>
    <row r="188" spans="1:187" s="6" customFormat="1" x14ac:dyDescent="0.25">
      <c r="A188" s="24" t="s">
        <v>152</v>
      </c>
      <c r="B188" s="25">
        <f t="shared" si="40"/>
        <v>64933</v>
      </c>
      <c r="C188" s="25">
        <f t="shared" si="40"/>
        <v>64148</v>
      </c>
      <c r="D188" s="25">
        <f t="shared" si="40"/>
        <v>-785</v>
      </c>
      <c r="E188" s="25">
        <f>SUM(E189:E194)</f>
        <v>0</v>
      </c>
      <c r="F188" s="25">
        <f>SUM(F189:F194)</f>
        <v>0</v>
      </c>
      <c r="G188" s="25">
        <f t="shared" si="32"/>
        <v>0</v>
      </c>
      <c r="H188" s="25">
        <f>SUM(H189:H194)</f>
        <v>0</v>
      </c>
      <c r="I188" s="25">
        <f>SUM(I189:I194)</f>
        <v>0</v>
      </c>
      <c r="J188" s="25">
        <f t="shared" si="33"/>
        <v>0</v>
      </c>
      <c r="K188" s="25">
        <f>SUM(K189:K194)</f>
        <v>0</v>
      </c>
      <c r="L188" s="25">
        <f>SUM(L189:L194)</f>
        <v>58770</v>
      </c>
      <c r="M188" s="25">
        <f t="shared" si="34"/>
        <v>58770</v>
      </c>
      <c r="N188" s="25">
        <f>SUM(N189:N194)</f>
        <v>0</v>
      </c>
      <c r="O188" s="25">
        <f>SUM(O189:O194)</f>
        <v>0</v>
      </c>
      <c r="P188" s="25">
        <f t="shared" si="41"/>
        <v>0</v>
      </c>
      <c r="Q188" s="25">
        <f>SUM(Q189:Q194)</f>
        <v>64933</v>
      </c>
      <c r="R188" s="25">
        <f>SUM(R189:R194)</f>
        <v>5378</v>
      </c>
      <c r="S188" s="25">
        <f t="shared" si="36"/>
        <v>-59555</v>
      </c>
      <c r="T188" s="25">
        <f>SUM(T189:T194)</f>
        <v>0</v>
      </c>
      <c r="U188" s="25">
        <f>SUM(U189:U194)</f>
        <v>0</v>
      </c>
      <c r="V188" s="25">
        <f t="shared" si="37"/>
        <v>0</v>
      </c>
      <c r="W188" s="25">
        <f>SUM(W189:W194)</f>
        <v>0</v>
      </c>
      <c r="X188" s="25">
        <f>SUM(X189:X194)</f>
        <v>0</v>
      </c>
      <c r="Y188" s="25">
        <f t="shared" si="38"/>
        <v>0</v>
      </c>
      <c r="Z188" s="25">
        <f>SUM(Z189:Z194)</f>
        <v>0</v>
      </c>
      <c r="AA188" s="25">
        <f>SUM(AA189:AA194)</f>
        <v>0</v>
      </c>
      <c r="AB188" s="25">
        <f t="shared" si="39"/>
        <v>0</v>
      </c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</row>
    <row r="189" spans="1:187" s="6" customFormat="1" x14ac:dyDescent="0.25">
      <c r="A189" s="30" t="s">
        <v>174</v>
      </c>
      <c r="B189" s="31">
        <f t="shared" si="40"/>
        <v>5848</v>
      </c>
      <c r="C189" s="31">
        <f t="shared" si="40"/>
        <v>5848</v>
      </c>
      <c r="D189" s="31">
        <f t="shared" si="40"/>
        <v>0</v>
      </c>
      <c r="E189" s="31"/>
      <c r="F189" s="31"/>
      <c r="G189" s="31">
        <f t="shared" si="32"/>
        <v>0</v>
      </c>
      <c r="H189" s="31"/>
      <c r="I189" s="31"/>
      <c r="J189" s="31">
        <f t="shared" si="33"/>
        <v>0</v>
      </c>
      <c r="K189" s="31"/>
      <c r="L189" s="31">
        <f>5848</f>
        <v>5848</v>
      </c>
      <c r="M189" s="31">
        <f t="shared" si="34"/>
        <v>5848</v>
      </c>
      <c r="N189" s="31"/>
      <c r="O189" s="31"/>
      <c r="P189" s="31">
        <f t="shared" si="41"/>
        <v>0</v>
      </c>
      <c r="Q189" s="31">
        <f>7366-1518</f>
        <v>5848</v>
      </c>
      <c r="R189" s="31">
        <f>7366-1518-5848</f>
        <v>0</v>
      </c>
      <c r="S189" s="31">
        <f t="shared" si="36"/>
        <v>-5848</v>
      </c>
      <c r="T189" s="31"/>
      <c r="U189" s="31"/>
      <c r="V189" s="31">
        <f t="shared" si="37"/>
        <v>0</v>
      </c>
      <c r="W189" s="31"/>
      <c r="X189" s="31"/>
      <c r="Y189" s="31">
        <f t="shared" si="38"/>
        <v>0</v>
      </c>
      <c r="Z189" s="31"/>
      <c r="AA189" s="31"/>
      <c r="AB189" s="31">
        <f t="shared" si="39"/>
        <v>0</v>
      </c>
    </row>
    <row r="190" spans="1:187" s="6" customFormat="1" ht="31.5" x14ac:dyDescent="0.25">
      <c r="A190" s="30" t="s">
        <v>175</v>
      </c>
      <c r="B190" s="31">
        <f t="shared" si="40"/>
        <v>28316</v>
      </c>
      <c r="C190" s="31">
        <f t="shared" si="40"/>
        <v>28316</v>
      </c>
      <c r="D190" s="31">
        <f t="shared" si="40"/>
        <v>0</v>
      </c>
      <c r="E190" s="31"/>
      <c r="F190" s="31"/>
      <c r="G190" s="31">
        <f t="shared" si="32"/>
        <v>0</v>
      </c>
      <c r="H190" s="31"/>
      <c r="I190" s="31"/>
      <c r="J190" s="31">
        <f t="shared" si="33"/>
        <v>0</v>
      </c>
      <c r="K190" s="31"/>
      <c r="L190" s="31">
        <f>28316</f>
        <v>28316</v>
      </c>
      <c r="M190" s="31">
        <f t="shared" si="34"/>
        <v>28316</v>
      </c>
      <c r="N190" s="31"/>
      <c r="O190" s="31"/>
      <c r="P190" s="31">
        <f t="shared" si="41"/>
        <v>0</v>
      </c>
      <c r="Q190" s="31">
        <v>28316</v>
      </c>
      <c r="R190" s="31">
        <f>28316-28316</f>
        <v>0</v>
      </c>
      <c r="S190" s="31">
        <f t="shared" si="36"/>
        <v>-28316</v>
      </c>
      <c r="T190" s="31"/>
      <c r="U190" s="31"/>
      <c r="V190" s="31">
        <f t="shared" si="37"/>
        <v>0</v>
      </c>
      <c r="W190" s="31"/>
      <c r="X190" s="31"/>
      <c r="Y190" s="31">
        <f t="shared" si="38"/>
        <v>0</v>
      </c>
      <c r="Z190" s="31"/>
      <c r="AA190" s="31"/>
      <c r="AB190" s="31">
        <f t="shared" si="39"/>
        <v>0</v>
      </c>
    </row>
    <row r="191" spans="1:187" s="6" customFormat="1" ht="31.5" x14ac:dyDescent="0.25">
      <c r="A191" s="30" t="s">
        <v>176</v>
      </c>
      <c r="B191" s="31">
        <f t="shared" si="40"/>
        <v>10006</v>
      </c>
      <c r="C191" s="31">
        <f t="shared" si="40"/>
        <v>10006</v>
      </c>
      <c r="D191" s="31">
        <f t="shared" si="40"/>
        <v>0</v>
      </c>
      <c r="E191" s="31"/>
      <c r="F191" s="31"/>
      <c r="G191" s="31">
        <f t="shared" si="32"/>
        <v>0</v>
      </c>
      <c r="H191" s="31"/>
      <c r="I191" s="31"/>
      <c r="J191" s="31">
        <f t="shared" si="33"/>
        <v>0</v>
      </c>
      <c r="K191" s="31"/>
      <c r="L191" s="31">
        <f>10006</f>
        <v>10006</v>
      </c>
      <c r="M191" s="31">
        <f t="shared" si="34"/>
        <v>10006</v>
      </c>
      <c r="N191" s="31"/>
      <c r="O191" s="31"/>
      <c r="P191" s="31">
        <f t="shared" si="41"/>
        <v>0</v>
      </c>
      <c r="Q191" s="31">
        <v>10006</v>
      </c>
      <c r="R191" s="31">
        <f>10006-10006</f>
        <v>0</v>
      </c>
      <c r="S191" s="31">
        <f t="shared" si="36"/>
        <v>-10006</v>
      </c>
      <c r="T191" s="31"/>
      <c r="U191" s="31"/>
      <c r="V191" s="31">
        <f t="shared" si="37"/>
        <v>0</v>
      </c>
      <c r="W191" s="31"/>
      <c r="X191" s="31"/>
      <c r="Y191" s="31">
        <f t="shared" si="38"/>
        <v>0</v>
      </c>
      <c r="Z191" s="31"/>
      <c r="AA191" s="31"/>
      <c r="AB191" s="31">
        <f t="shared" si="39"/>
        <v>0</v>
      </c>
    </row>
    <row r="192" spans="1:187" s="6" customFormat="1" ht="31.5" x14ac:dyDescent="0.25">
      <c r="A192" s="30" t="s">
        <v>177</v>
      </c>
      <c r="B192" s="31">
        <f t="shared" si="40"/>
        <v>4594</v>
      </c>
      <c r="C192" s="31">
        <f t="shared" si="40"/>
        <v>4594</v>
      </c>
      <c r="D192" s="31">
        <f t="shared" si="40"/>
        <v>0</v>
      </c>
      <c r="E192" s="31"/>
      <c r="F192" s="31"/>
      <c r="G192" s="31">
        <f t="shared" si="32"/>
        <v>0</v>
      </c>
      <c r="H192" s="31"/>
      <c r="I192" s="31"/>
      <c r="J192" s="31">
        <f t="shared" si="33"/>
        <v>0</v>
      </c>
      <c r="K192" s="31"/>
      <c r="L192" s="31">
        <f>4594</f>
        <v>4594</v>
      </c>
      <c r="M192" s="31">
        <f t="shared" si="34"/>
        <v>4594</v>
      </c>
      <c r="N192" s="31"/>
      <c r="O192" s="31"/>
      <c r="P192" s="31">
        <f t="shared" si="41"/>
        <v>0</v>
      </c>
      <c r="Q192" s="31">
        <v>4594</v>
      </c>
      <c r="R192" s="31">
        <f>4594-4594</f>
        <v>0</v>
      </c>
      <c r="S192" s="31">
        <f t="shared" si="36"/>
        <v>-4594</v>
      </c>
      <c r="T192" s="31"/>
      <c r="U192" s="31"/>
      <c r="V192" s="31">
        <f t="shared" si="37"/>
        <v>0</v>
      </c>
      <c r="W192" s="31"/>
      <c r="X192" s="31"/>
      <c r="Y192" s="31">
        <f t="shared" si="38"/>
        <v>0</v>
      </c>
      <c r="Z192" s="31"/>
      <c r="AA192" s="31"/>
      <c r="AB192" s="31">
        <f t="shared" si="39"/>
        <v>0</v>
      </c>
    </row>
    <row r="193" spans="1:187" s="6" customFormat="1" ht="31.5" x14ac:dyDescent="0.25">
      <c r="A193" s="30" t="s">
        <v>178</v>
      </c>
      <c r="B193" s="31">
        <f t="shared" si="40"/>
        <v>10006</v>
      </c>
      <c r="C193" s="31">
        <f t="shared" si="40"/>
        <v>10006</v>
      </c>
      <c r="D193" s="31">
        <f t="shared" si="40"/>
        <v>0</v>
      </c>
      <c r="E193" s="31"/>
      <c r="F193" s="31"/>
      <c r="G193" s="31">
        <f t="shared" si="32"/>
        <v>0</v>
      </c>
      <c r="H193" s="31"/>
      <c r="I193" s="31"/>
      <c r="J193" s="31">
        <f t="shared" si="33"/>
        <v>0</v>
      </c>
      <c r="K193" s="31"/>
      <c r="L193" s="31">
        <f>10006</f>
        <v>10006</v>
      </c>
      <c r="M193" s="31">
        <f t="shared" si="34"/>
        <v>10006</v>
      </c>
      <c r="N193" s="31"/>
      <c r="O193" s="31"/>
      <c r="P193" s="31">
        <f t="shared" si="41"/>
        <v>0</v>
      </c>
      <c r="Q193" s="31">
        <v>10006</v>
      </c>
      <c r="R193" s="31">
        <f>10006-10006</f>
        <v>0</v>
      </c>
      <c r="S193" s="31">
        <f t="shared" si="36"/>
        <v>-10006</v>
      </c>
      <c r="T193" s="31"/>
      <c r="U193" s="31"/>
      <c r="V193" s="31">
        <f t="shared" si="37"/>
        <v>0</v>
      </c>
      <c r="W193" s="31"/>
      <c r="X193" s="31"/>
      <c r="Y193" s="31">
        <f t="shared" si="38"/>
        <v>0</v>
      </c>
      <c r="Z193" s="31"/>
      <c r="AA193" s="31"/>
      <c r="AB193" s="31">
        <f t="shared" si="39"/>
        <v>0</v>
      </c>
    </row>
    <row r="194" spans="1:187" s="6" customFormat="1" ht="31.5" x14ac:dyDescent="0.25">
      <c r="A194" s="30" t="s">
        <v>179</v>
      </c>
      <c r="B194" s="31">
        <f t="shared" si="40"/>
        <v>6163</v>
      </c>
      <c r="C194" s="31">
        <f t="shared" si="40"/>
        <v>5378</v>
      </c>
      <c r="D194" s="31">
        <f t="shared" si="40"/>
        <v>-785</v>
      </c>
      <c r="E194" s="31"/>
      <c r="F194" s="31"/>
      <c r="G194" s="31">
        <f t="shared" si="32"/>
        <v>0</v>
      </c>
      <c r="H194" s="31"/>
      <c r="I194" s="31"/>
      <c r="J194" s="31">
        <f t="shared" si="33"/>
        <v>0</v>
      </c>
      <c r="K194" s="31"/>
      <c r="L194" s="31"/>
      <c r="M194" s="31">
        <f t="shared" si="34"/>
        <v>0</v>
      </c>
      <c r="N194" s="31"/>
      <c r="O194" s="31"/>
      <c r="P194" s="31">
        <f t="shared" si="41"/>
        <v>0</v>
      </c>
      <c r="Q194" s="31">
        <v>6163</v>
      </c>
      <c r="R194" s="31">
        <f>6163-785</f>
        <v>5378</v>
      </c>
      <c r="S194" s="31">
        <f t="shared" si="36"/>
        <v>-785</v>
      </c>
      <c r="T194" s="31"/>
      <c r="U194" s="31"/>
      <c r="V194" s="31">
        <f t="shared" si="37"/>
        <v>0</v>
      </c>
      <c r="W194" s="31"/>
      <c r="X194" s="31"/>
      <c r="Y194" s="31">
        <f t="shared" si="38"/>
        <v>0</v>
      </c>
      <c r="Z194" s="31"/>
      <c r="AA194" s="31"/>
      <c r="AB194" s="31">
        <f t="shared" si="39"/>
        <v>0</v>
      </c>
    </row>
    <row r="195" spans="1:187" s="6" customFormat="1" ht="31.5" x14ac:dyDescent="0.25">
      <c r="A195" s="24" t="s">
        <v>55</v>
      </c>
      <c r="B195" s="25">
        <f t="shared" si="40"/>
        <v>586562</v>
      </c>
      <c r="C195" s="25">
        <f t="shared" si="40"/>
        <v>624460</v>
      </c>
      <c r="D195" s="25">
        <f t="shared" si="40"/>
        <v>37898</v>
      </c>
      <c r="E195" s="25">
        <f t="shared" ref="E195:AB195" si="42">SUM(E196,E209,E230,E235,E243)</f>
        <v>0</v>
      </c>
      <c r="F195" s="25">
        <f t="shared" si="42"/>
        <v>0</v>
      </c>
      <c r="G195" s="25">
        <f t="shared" si="42"/>
        <v>0</v>
      </c>
      <c r="H195" s="25">
        <f t="shared" si="42"/>
        <v>0</v>
      </c>
      <c r="I195" s="25">
        <f t="shared" si="42"/>
        <v>0</v>
      </c>
      <c r="J195" s="25">
        <f t="shared" si="42"/>
        <v>0</v>
      </c>
      <c r="K195" s="25">
        <f t="shared" si="42"/>
        <v>2674</v>
      </c>
      <c r="L195" s="25">
        <f t="shared" si="42"/>
        <v>115710</v>
      </c>
      <c r="M195" s="25">
        <f t="shared" si="42"/>
        <v>113036</v>
      </c>
      <c r="N195" s="25">
        <f t="shared" si="42"/>
        <v>271596</v>
      </c>
      <c r="O195" s="25">
        <f t="shared" si="42"/>
        <v>262176</v>
      </c>
      <c r="P195" s="25">
        <f t="shared" si="42"/>
        <v>-9420</v>
      </c>
      <c r="Q195" s="25">
        <f t="shared" si="42"/>
        <v>310026</v>
      </c>
      <c r="R195" s="25">
        <f t="shared" si="42"/>
        <v>196301</v>
      </c>
      <c r="S195" s="25">
        <f t="shared" si="42"/>
        <v>-113725</v>
      </c>
      <c r="T195" s="25">
        <f t="shared" si="42"/>
        <v>0</v>
      </c>
      <c r="U195" s="25">
        <f t="shared" si="42"/>
        <v>0</v>
      </c>
      <c r="V195" s="25">
        <f t="shared" si="42"/>
        <v>0</v>
      </c>
      <c r="W195" s="25">
        <f t="shared" si="42"/>
        <v>2266</v>
      </c>
      <c r="X195" s="25">
        <f t="shared" si="42"/>
        <v>2266</v>
      </c>
      <c r="Y195" s="25">
        <f t="shared" si="42"/>
        <v>0</v>
      </c>
      <c r="Z195" s="25">
        <f t="shared" si="42"/>
        <v>0</v>
      </c>
      <c r="AA195" s="25">
        <f t="shared" si="42"/>
        <v>48007</v>
      </c>
      <c r="AB195" s="25">
        <f t="shared" si="42"/>
        <v>48007</v>
      </c>
    </row>
    <row r="196" spans="1:187" s="6" customFormat="1" x14ac:dyDescent="0.25">
      <c r="A196" s="24" t="s">
        <v>90</v>
      </c>
      <c r="B196" s="25">
        <f t="shared" si="40"/>
        <v>123469</v>
      </c>
      <c r="C196" s="25">
        <f t="shared" si="40"/>
        <v>126551</v>
      </c>
      <c r="D196" s="25">
        <f t="shared" si="40"/>
        <v>3082</v>
      </c>
      <c r="E196" s="25">
        <f>SUM(E197:E208)</f>
        <v>0</v>
      </c>
      <c r="F196" s="25">
        <f>SUM(F197:F208)</f>
        <v>0</v>
      </c>
      <c r="G196" s="25">
        <f t="shared" ref="G196:G258" si="43">F196-E196</f>
        <v>0</v>
      </c>
      <c r="H196" s="25">
        <f>SUM(H197:H208)</f>
        <v>0</v>
      </c>
      <c r="I196" s="25">
        <f>SUM(I197:I208)</f>
        <v>0</v>
      </c>
      <c r="J196" s="25">
        <f t="shared" ref="J196:J258" si="44">I196-H196</f>
        <v>0</v>
      </c>
      <c r="K196" s="25">
        <f>SUM(K197:K208)</f>
        <v>0</v>
      </c>
      <c r="L196" s="25">
        <f>SUM(L197:L208)</f>
        <v>3091</v>
      </c>
      <c r="M196" s="25">
        <f t="shared" ref="M196:M258" si="45">L196-K196</f>
        <v>3091</v>
      </c>
      <c r="N196" s="25">
        <f>SUM(N197:N208)</f>
        <v>104471</v>
      </c>
      <c r="O196" s="25">
        <f>SUM(O197:O208)</f>
        <v>104471</v>
      </c>
      <c r="P196" s="25">
        <f t="shared" ref="P196:P258" si="46">O196-N196</f>
        <v>0</v>
      </c>
      <c r="Q196" s="25">
        <f>SUM(Q197:Q208)</f>
        <v>18998</v>
      </c>
      <c r="R196" s="25">
        <f>SUM(R197:R208)</f>
        <v>18989</v>
      </c>
      <c r="S196" s="25">
        <f t="shared" ref="S196:S258" si="47">R196-Q196</f>
        <v>-9</v>
      </c>
      <c r="T196" s="25">
        <f>SUM(T197:T208)</f>
        <v>0</v>
      </c>
      <c r="U196" s="25">
        <f>SUM(U197:U208)</f>
        <v>0</v>
      </c>
      <c r="V196" s="25">
        <f t="shared" ref="V196:V258" si="48">U196-T196</f>
        <v>0</v>
      </c>
      <c r="W196" s="25">
        <f>SUM(W197:W208)</f>
        <v>0</v>
      </c>
      <c r="X196" s="25">
        <f>SUM(X197:X208)</f>
        <v>0</v>
      </c>
      <c r="Y196" s="25">
        <f t="shared" ref="Y196:Y258" si="49">X196-W196</f>
        <v>0</v>
      </c>
      <c r="Z196" s="25">
        <f>SUM(Z197:Z208)</f>
        <v>0</v>
      </c>
      <c r="AA196" s="25">
        <f>SUM(AA197:AA208)</f>
        <v>0</v>
      </c>
      <c r="AB196" s="25">
        <f t="shared" ref="AB196:AB258" si="50">AA196-Z196</f>
        <v>0</v>
      </c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</row>
    <row r="197" spans="1:187" s="6" customFormat="1" x14ac:dyDescent="0.25">
      <c r="A197" s="30" t="s">
        <v>180</v>
      </c>
      <c r="B197" s="31">
        <f t="shared" si="40"/>
        <v>720</v>
      </c>
      <c r="C197" s="31">
        <f t="shared" si="40"/>
        <v>872</v>
      </c>
      <c r="D197" s="31">
        <f t="shared" si="40"/>
        <v>152</v>
      </c>
      <c r="E197" s="31"/>
      <c r="F197" s="31"/>
      <c r="G197" s="31">
        <f t="shared" si="43"/>
        <v>0</v>
      </c>
      <c r="H197" s="31"/>
      <c r="I197" s="31"/>
      <c r="J197" s="31">
        <f t="shared" si="44"/>
        <v>0</v>
      </c>
      <c r="K197" s="31">
        <v>0</v>
      </c>
      <c r="L197" s="31">
        <v>0</v>
      </c>
      <c r="M197" s="31">
        <f t="shared" si="45"/>
        <v>0</v>
      </c>
      <c r="N197" s="31">
        <v>0</v>
      </c>
      <c r="O197" s="31">
        <v>0</v>
      </c>
      <c r="P197" s="31">
        <f t="shared" si="46"/>
        <v>0</v>
      </c>
      <c r="Q197" s="31">
        <v>720</v>
      </c>
      <c r="R197" s="31">
        <f>720+152</f>
        <v>872</v>
      </c>
      <c r="S197" s="31">
        <f t="shared" si="47"/>
        <v>152</v>
      </c>
      <c r="T197" s="31"/>
      <c r="U197" s="31"/>
      <c r="V197" s="31">
        <f t="shared" si="48"/>
        <v>0</v>
      </c>
      <c r="W197" s="31"/>
      <c r="X197" s="31"/>
      <c r="Y197" s="31">
        <f t="shared" si="49"/>
        <v>0</v>
      </c>
      <c r="Z197" s="31"/>
      <c r="AA197" s="31"/>
      <c r="AB197" s="31">
        <f t="shared" si="50"/>
        <v>0</v>
      </c>
    </row>
    <row r="198" spans="1:187" s="6" customFormat="1" ht="41.25" customHeight="1" x14ac:dyDescent="0.25">
      <c r="A198" s="32" t="s">
        <v>181</v>
      </c>
      <c r="B198" s="28">
        <f t="shared" si="40"/>
        <v>0</v>
      </c>
      <c r="C198" s="28">
        <f t="shared" si="40"/>
        <v>2939</v>
      </c>
      <c r="D198" s="28">
        <f t="shared" si="40"/>
        <v>2939</v>
      </c>
      <c r="E198" s="28">
        <v>0</v>
      </c>
      <c r="F198" s="28">
        <v>0</v>
      </c>
      <c r="G198" s="28">
        <f t="shared" si="43"/>
        <v>0</v>
      </c>
      <c r="H198" s="28"/>
      <c r="I198" s="28"/>
      <c r="J198" s="28">
        <f t="shared" si="44"/>
        <v>0</v>
      </c>
      <c r="K198" s="28">
        <v>0</v>
      </c>
      <c r="L198" s="28">
        <v>2939</v>
      </c>
      <c r="M198" s="28">
        <f t="shared" si="45"/>
        <v>2939</v>
      </c>
      <c r="N198" s="28"/>
      <c r="O198" s="28"/>
      <c r="P198" s="28">
        <f t="shared" si="46"/>
        <v>0</v>
      </c>
      <c r="Q198" s="28"/>
      <c r="R198" s="28"/>
      <c r="S198" s="28">
        <f t="shared" si="47"/>
        <v>0</v>
      </c>
      <c r="T198" s="28"/>
      <c r="U198" s="28"/>
      <c r="V198" s="28">
        <f t="shared" si="48"/>
        <v>0</v>
      </c>
      <c r="W198" s="28"/>
      <c r="X198" s="28"/>
      <c r="Y198" s="28">
        <f t="shared" si="49"/>
        <v>0</v>
      </c>
      <c r="Z198" s="28"/>
      <c r="AA198" s="28"/>
      <c r="AB198" s="28">
        <f t="shared" si="50"/>
        <v>0</v>
      </c>
    </row>
    <row r="199" spans="1:187" s="23" customFormat="1" ht="31.5" x14ac:dyDescent="0.25">
      <c r="A199" s="32" t="s">
        <v>182</v>
      </c>
      <c r="B199" s="34">
        <f t="shared" si="40"/>
        <v>1320</v>
      </c>
      <c r="C199" s="34">
        <f t="shared" si="40"/>
        <v>1031</v>
      </c>
      <c r="D199" s="34">
        <f t="shared" si="40"/>
        <v>-289</v>
      </c>
      <c r="E199" s="34"/>
      <c r="F199" s="34"/>
      <c r="G199" s="34">
        <f t="shared" si="43"/>
        <v>0</v>
      </c>
      <c r="H199" s="34"/>
      <c r="I199" s="34"/>
      <c r="J199" s="34">
        <f t="shared" si="44"/>
        <v>0</v>
      </c>
      <c r="K199" s="34">
        <v>0</v>
      </c>
      <c r="L199" s="34">
        <v>0</v>
      </c>
      <c r="M199" s="34">
        <f t="shared" si="45"/>
        <v>0</v>
      </c>
      <c r="N199" s="34">
        <v>0</v>
      </c>
      <c r="O199" s="34">
        <v>0</v>
      </c>
      <c r="P199" s="34">
        <f t="shared" si="46"/>
        <v>0</v>
      </c>
      <c r="Q199" s="34">
        <v>1320</v>
      </c>
      <c r="R199" s="34">
        <f>1320-289</f>
        <v>1031</v>
      </c>
      <c r="S199" s="34">
        <f t="shared" si="47"/>
        <v>-289</v>
      </c>
      <c r="T199" s="34"/>
      <c r="U199" s="34"/>
      <c r="V199" s="34">
        <f t="shared" si="48"/>
        <v>0</v>
      </c>
      <c r="W199" s="34"/>
      <c r="X199" s="34"/>
      <c r="Y199" s="34">
        <f t="shared" si="49"/>
        <v>0</v>
      </c>
      <c r="Z199" s="34"/>
      <c r="AA199" s="34"/>
      <c r="AB199" s="34">
        <f t="shared" si="50"/>
        <v>0</v>
      </c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</row>
    <row r="200" spans="1:187" s="23" customFormat="1" ht="31.5" x14ac:dyDescent="0.25">
      <c r="A200" s="32" t="s">
        <v>183</v>
      </c>
      <c r="B200" s="34">
        <f t="shared" si="40"/>
        <v>720</v>
      </c>
      <c r="C200" s="34">
        <f t="shared" si="40"/>
        <v>872</v>
      </c>
      <c r="D200" s="34">
        <f t="shared" si="40"/>
        <v>152</v>
      </c>
      <c r="E200" s="34"/>
      <c r="F200" s="34"/>
      <c r="G200" s="34">
        <f t="shared" si="43"/>
        <v>0</v>
      </c>
      <c r="H200" s="34"/>
      <c r="I200" s="34"/>
      <c r="J200" s="34">
        <f t="shared" si="44"/>
        <v>0</v>
      </c>
      <c r="K200" s="34">
        <v>0</v>
      </c>
      <c r="L200" s="34">
        <v>152</v>
      </c>
      <c r="M200" s="34">
        <f t="shared" si="45"/>
        <v>152</v>
      </c>
      <c r="N200" s="34">
        <v>0</v>
      </c>
      <c r="O200" s="34">
        <v>0</v>
      </c>
      <c r="P200" s="34">
        <f t="shared" si="46"/>
        <v>0</v>
      </c>
      <c r="Q200" s="34">
        <v>720</v>
      </c>
      <c r="R200" s="34">
        <f>720</f>
        <v>720</v>
      </c>
      <c r="S200" s="34">
        <f t="shared" si="47"/>
        <v>0</v>
      </c>
      <c r="T200" s="34"/>
      <c r="U200" s="34"/>
      <c r="V200" s="34">
        <f t="shared" si="48"/>
        <v>0</v>
      </c>
      <c r="W200" s="34"/>
      <c r="X200" s="34"/>
      <c r="Y200" s="34">
        <f t="shared" si="49"/>
        <v>0</v>
      </c>
      <c r="Z200" s="34"/>
      <c r="AA200" s="34"/>
      <c r="AB200" s="34">
        <f t="shared" si="50"/>
        <v>0</v>
      </c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</row>
    <row r="201" spans="1:187" s="23" customFormat="1" ht="31.5" x14ac:dyDescent="0.25">
      <c r="A201" s="32" t="s">
        <v>184</v>
      </c>
      <c r="B201" s="34">
        <f t="shared" si="40"/>
        <v>12355</v>
      </c>
      <c r="C201" s="34">
        <f t="shared" si="40"/>
        <v>12355</v>
      </c>
      <c r="D201" s="34">
        <f t="shared" si="40"/>
        <v>0</v>
      </c>
      <c r="E201" s="34"/>
      <c r="F201" s="34"/>
      <c r="G201" s="34">
        <f t="shared" si="43"/>
        <v>0</v>
      </c>
      <c r="H201" s="34"/>
      <c r="I201" s="34"/>
      <c r="J201" s="34">
        <f t="shared" si="44"/>
        <v>0</v>
      </c>
      <c r="K201" s="34">
        <v>0</v>
      </c>
      <c r="L201" s="34">
        <v>0</v>
      </c>
      <c r="M201" s="34">
        <f t="shared" si="45"/>
        <v>0</v>
      </c>
      <c r="N201" s="34">
        <v>0</v>
      </c>
      <c r="O201" s="34">
        <v>0</v>
      </c>
      <c r="P201" s="34">
        <f t="shared" si="46"/>
        <v>0</v>
      </c>
      <c r="Q201" s="34">
        <v>12355</v>
      </c>
      <c r="R201" s="34">
        <v>12355</v>
      </c>
      <c r="S201" s="34">
        <f t="shared" si="47"/>
        <v>0</v>
      </c>
      <c r="T201" s="34"/>
      <c r="U201" s="34"/>
      <c r="V201" s="34">
        <f t="shared" si="48"/>
        <v>0</v>
      </c>
      <c r="W201" s="34"/>
      <c r="X201" s="34"/>
      <c r="Y201" s="34">
        <f t="shared" si="49"/>
        <v>0</v>
      </c>
      <c r="Z201" s="34"/>
      <c r="AA201" s="34"/>
      <c r="AB201" s="34">
        <f t="shared" si="50"/>
        <v>0</v>
      </c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</row>
    <row r="202" spans="1:187" s="23" customFormat="1" ht="47.25" x14ac:dyDescent="0.25">
      <c r="A202" s="32" t="s">
        <v>185</v>
      </c>
      <c r="B202" s="34">
        <f t="shared" si="40"/>
        <v>1889</v>
      </c>
      <c r="C202" s="34">
        <f t="shared" si="40"/>
        <v>2017</v>
      </c>
      <c r="D202" s="34">
        <f t="shared" si="40"/>
        <v>128</v>
      </c>
      <c r="E202" s="34"/>
      <c r="F202" s="34"/>
      <c r="G202" s="34">
        <f t="shared" si="43"/>
        <v>0</v>
      </c>
      <c r="H202" s="34"/>
      <c r="I202" s="34"/>
      <c r="J202" s="34">
        <f t="shared" si="44"/>
        <v>0</v>
      </c>
      <c r="K202" s="34">
        <v>0</v>
      </c>
      <c r="L202" s="34">
        <v>0</v>
      </c>
      <c r="M202" s="34">
        <f t="shared" si="45"/>
        <v>0</v>
      </c>
      <c r="N202" s="34">
        <v>0</v>
      </c>
      <c r="O202" s="34">
        <v>0</v>
      </c>
      <c r="P202" s="34">
        <f t="shared" si="46"/>
        <v>0</v>
      </c>
      <c r="Q202" s="34">
        <f>929+960</f>
        <v>1889</v>
      </c>
      <c r="R202" s="34">
        <f>929+960+128</f>
        <v>2017</v>
      </c>
      <c r="S202" s="34">
        <f t="shared" si="47"/>
        <v>128</v>
      </c>
      <c r="T202" s="34"/>
      <c r="U202" s="34"/>
      <c r="V202" s="34">
        <f t="shared" si="48"/>
        <v>0</v>
      </c>
      <c r="W202" s="34"/>
      <c r="X202" s="34"/>
      <c r="Y202" s="34">
        <f t="shared" si="49"/>
        <v>0</v>
      </c>
      <c r="Z202" s="34"/>
      <c r="AA202" s="34"/>
      <c r="AB202" s="34">
        <f t="shared" si="50"/>
        <v>0</v>
      </c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</row>
    <row r="203" spans="1:187" s="23" customFormat="1" ht="31.5" x14ac:dyDescent="0.25">
      <c r="A203" s="32" t="s">
        <v>186</v>
      </c>
      <c r="B203" s="34">
        <f t="shared" si="40"/>
        <v>1994</v>
      </c>
      <c r="C203" s="34">
        <f t="shared" si="40"/>
        <v>1994</v>
      </c>
      <c r="D203" s="34">
        <f t="shared" si="40"/>
        <v>0</v>
      </c>
      <c r="E203" s="34"/>
      <c r="F203" s="34"/>
      <c r="G203" s="34">
        <f t="shared" si="43"/>
        <v>0</v>
      </c>
      <c r="H203" s="34"/>
      <c r="I203" s="34"/>
      <c r="J203" s="34">
        <f t="shared" si="44"/>
        <v>0</v>
      </c>
      <c r="K203" s="34">
        <v>0</v>
      </c>
      <c r="L203" s="34">
        <v>0</v>
      </c>
      <c r="M203" s="34">
        <f t="shared" si="45"/>
        <v>0</v>
      </c>
      <c r="N203" s="34">
        <v>0</v>
      </c>
      <c r="O203" s="34">
        <v>0</v>
      </c>
      <c r="P203" s="34">
        <f t="shared" si="46"/>
        <v>0</v>
      </c>
      <c r="Q203" s="34">
        <v>1994</v>
      </c>
      <c r="R203" s="34">
        <v>1994</v>
      </c>
      <c r="S203" s="34">
        <f t="shared" si="47"/>
        <v>0</v>
      </c>
      <c r="T203" s="34"/>
      <c r="U203" s="34"/>
      <c r="V203" s="34">
        <f t="shared" si="48"/>
        <v>0</v>
      </c>
      <c r="W203" s="34"/>
      <c r="X203" s="34"/>
      <c r="Y203" s="34">
        <f t="shared" si="49"/>
        <v>0</v>
      </c>
      <c r="Z203" s="34"/>
      <c r="AA203" s="34"/>
      <c r="AB203" s="34">
        <f t="shared" si="50"/>
        <v>0</v>
      </c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</row>
    <row r="204" spans="1:187" s="6" customFormat="1" ht="47.25" x14ac:dyDescent="0.25">
      <c r="A204" s="32" t="s">
        <v>187</v>
      </c>
      <c r="B204" s="28">
        <f t="shared" si="40"/>
        <v>30000</v>
      </c>
      <c r="C204" s="28">
        <f t="shared" si="40"/>
        <v>30000</v>
      </c>
      <c r="D204" s="28">
        <f t="shared" si="40"/>
        <v>0</v>
      </c>
      <c r="E204" s="28"/>
      <c r="F204" s="28"/>
      <c r="G204" s="28">
        <f t="shared" si="43"/>
        <v>0</v>
      </c>
      <c r="H204" s="28"/>
      <c r="I204" s="28"/>
      <c r="J204" s="28">
        <f t="shared" si="44"/>
        <v>0</v>
      </c>
      <c r="K204" s="28">
        <v>0</v>
      </c>
      <c r="L204" s="28">
        <v>0</v>
      </c>
      <c r="M204" s="28">
        <f t="shared" si="45"/>
        <v>0</v>
      </c>
      <c r="N204" s="28">
        <v>30000</v>
      </c>
      <c r="O204" s="28">
        <v>30000</v>
      </c>
      <c r="P204" s="28">
        <f t="shared" si="46"/>
        <v>0</v>
      </c>
      <c r="Q204" s="28">
        <v>0</v>
      </c>
      <c r="R204" s="28">
        <v>0</v>
      </c>
      <c r="S204" s="28">
        <f t="shared" si="47"/>
        <v>0</v>
      </c>
      <c r="T204" s="28"/>
      <c r="U204" s="28"/>
      <c r="V204" s="28">
        <f t="shared" si="48"/>
        <v>0</v>
      </c>
      <c r="W204" s="28"/>
      <c r="X204" s="28"/>
      <c r="Y204" s="28">
        <f t="shared" si="49"/>
        <v>0</v>
      </c>
      <c r="Z204" s="28"/>
      <c r="AA204" s="28"/>
      <c r="AB204" s="28">
        <f t="shared" si="50"/>
        <v>0</v>
      </c>
    </row>
    <row r="205" spans="1:187" s="6" customFormat="1" ht="52.5" customHeight="1" x14ac:dyDescent="0.25">
      <c r="A205" s="32" t="s">
        <v>188</v>
      </c>
      <c r="B205" s="28">
        <f t="shared" si="40"/>
        <v>52246</v>
      </c>
      <c r="C205" s="28">
        <f t="shared" si="40"/>
        <v>52246</v>
      </c>
      <c r="D205" s="28">
        <f t="shared" si="40"/>
        <v>0</v>
      </c>
      <c r="E205" s="28"/>
      <c r="F205" s="28"/>
      <c r="G205" s="28">
        <f t="shared" si="43"/>
        <v>0</v>
      </c>
      <c r="H205" s="28"/>
      <c r="I205" s="28"/>
      <c r="J205" s="28">
        <f t="shared" si="44"/>
        <v>0</v>
      </c>
      <c r="K205" s="28">
        <v>0</v>
      </c>
      <c r="L205" s="28">
        <v>0</v>
      </c>
      <c r="M205" s="28">
        <f t="shared" si="45"/>
        <v>0</v>
      </c>
      <c r="N205" s="28">
        <v>52246</v>
      </c>
      <c r="O205" s="28">
        <v>52246</v>
      </c>
      <c r="P205" s="28">
        <f t="shared" si="46"/>
        <v>0</v>
      </c>
      <c r="Q205" s="28">
        <v>0</v>
      </c>
      <c r="R205" s="28">
        <v>0</v>
      </c>
      <c r="S205" s="28">
        <f t="shared" si="47"/>
        <v>0</v>
      </c>
      <c r="T205" s="28"/>
      <c r="U205" s="28"/>
      <c r="V205" s="28">
        <f t="shared" si="48"/>
        <v>0</v>
      </c>
      <c r="W205" s="28"/>
      <c r="X205" s="28"/>
      <c r="Y205" s="28">
        <f t="shared" si="49"/>
        <v>0</v>
      </c>
      <c r="Z205" s="28"/>
      <c r="AA205" s="28"/>
      <c r="AB205" s="28">
        <f t="shared" si="50"/>
        <v>0</v>
      </c>
    </row>
    <row r="206" spans="1:187" s="6" customFormat="1" ht="78.75" x14ac:dyDescent="0.25">
      <c r="A206" s="32" t="s">
        <v>189</v>
      </c>
      <c r="B206" s="28">
        <f t="shared" si="40"/>
        <v>9000</v>
      </c>
      <c r="C206" s="28">
        <f t="shared" si="40"/>
        <v>9000</v>
      </c>
      <c r="D206" s="28">
        <f t="shared" si="40"/>
        <v>0</v>
      </c>
      <c r="E206" s="28"/>
      <c r="F206" s="28"/>
      <c r="G206" s="28">
        <f t="shared" si="43"/>
        <v>0</v>
      </c>
      <c r="H206" s="28"/>
      <c r="I206" s="28"/>
      <c r="J206" s="28">
        <f t="shared" si="44"/>
        <v>0</v>
      </c>
      <c r="K206" s="28">
        <v>0</v>
      </c>
      <c r="L206" s="28">
        <v>0</v>
      </c>
      <c r="M206" s="28">
        <f t="shared" si="45"/>
        <v>0</v>
      </c>
      <c r="N206" s="28">
        <v>9000</v>
      </c>
      <c r="O206" s="28">
        <v>9000</v>
      </c>
      <c r="P206" s="28">
        <f t="shared" si="46"/>
        <v>0</v>
      </c>
      <c r="Q206" s="28">
        <v>0</v>
      </c>
      <c r="R206" s="28">
        <v>0</v>
      </c>
      <c r="S206" s="28">
        <f t="shared" si="47"/>
        <v>0</v>
      </c>
      <c r="T206" s="28"/>
      <c r="U206" s="28"/>
      <c r="V206" s="28">
        <f t="shared" si="48"/>
        <v>0</v>
      </c>
      <c r="W206" s="28"/>
      <c r="X206" s="28"/>
      <c r="Y206" s="28">
        <f t="shared" si="49"/>
        <v>0</v>
      </c>
      <c r="Z206" s="28"/>
      <c r="AA206" s="28"/>
      <c r="AB206" s="28">
        <f t="shared" si="50"/>
        <v>0</v>
      </c>
    </row>
    <row r="207" spans="1:187" s="6" customFormat="1" ht="78.75" x14ac:dyDescent="0.25">
      <c r="A207" s="32" t="s">
        <v>190</v>
      </c>
      <c r="B207" s="28">
        <f t="shared" si="40"/>
        <v>2000</v>
      </c>
      <c r="C207" s="28">
        <f t="shared" si="40"/>
        <v>2000</v>
      </c>
      <c r="D207" s="28">
        <f t="shared" si="40"/>
        <v>0</v>
      </c>
      <c r="E207" s="28"/>
      <c r="F207" s="28"/>
      <c r="G207" s="28">
        <f t="shared" si="43"/>
        <v>0</v>
      </c>
      <c r="H207" s="28"/>
      <c r="I207" s="28"/>
      <c r="J207" s="28">
        <f t="shared" si="44"/>
        <v>0</v>
      </c>
      <c r="K207" s="28">
        <v>0</v>
      </c>
      <c r="L207" s="28">
        <v>0</v>
      </c>
      <c r="M207" s="28">
        <f t="shared" si="45"/>
        <v>0</v>
      </c>
      <c r="N207" s="28">
        <v>2000</v>
      </c>
      <c r="O207" s="28">
        <v>2000</v>
      </c>
      <c r="P207" s="28">
        <f t="shared" si="46"/>
        <v>0</v>
      </c>
      <c r="Q207" s="28">
        <v>0</v>
      </c>
      <c r="R207" s="28">
        <v>0</v>
      </c>
      <c r="S207" s="28">
        <f t="shared" si="47"/>
        <v>0</v>
      </c>
      <c r="T207" s="28"/>
      <c r="U207" s="28"/>
      <c r="V207" s="28">
        <f t="shared" si="48"/>
        <v>0</v>
      </c>
      <c r="W207" s="28"/>
      <c r="X207" s="28"/>
      <c r="Y207" s="28">
        <f t="shared" si="49"/>
        <v>0</v>
      </c>
      <c r="Z207" s="28"/>
      <c r="AA207" s="28"/>
      <c r="AB207" s="28">
        <f t="shared" si="50"/>
        <v>0</v>
      </c>
    </row>
    <row r="208" spans="1:187" s="6" customFormat="1" ht="94.5" x14ac:dyDescent="0.25">
      <c r="A208" s="32" t="s">
        <v>191</v>
      </c>
      <c r="B208" s="28">
        <f t="shared" ref="B208:D277" si="51">E208+H208+K208+N208+Q208+T208+W208+Z208</f>
        <v>11225</v>
      </c>
      <c r="C208" s="28">
        <f t="shared" si="51"/>
        <v>11225</v>
      </c>
      <c r="D208" s="28">
        <f t="shared" si="51"/>
        <v>0</v>
      </c>
      <c r="E208" s="28"/>
      <c r="F208" s="28"/>
      <c r="G208" s="28">
        <f t="shared" si="43"/>
        <v>0</v>
      </c>
      <c r="H208" s="28"/>
      <c r="I208" s="28"/>
      <c r="J208" s="28">
        <f t="shared" si="44"/>
        <v>0</v>
      </c>
      <c r="K208" s="28">
        <v>0</v>
      </c>
      <c r="L208" s="28">
        <v>0</v>
      </c>
      <c r="M208" s="28">
        <f t="shared" si="45"/>
        <v>0</v>
      </c>
      <c r="N208" s="28">
        <v>11225</v>
      </c>
      <c r="O208" s="28">
        <v>11225</v>
      </c>
      <c r="P208" s="28">
        <f t="shared" si="46"/>
        <v>0</v>
      </c>
      <c r="Q208" s="28">
        <v>0</v>
      </c>
      <c r="R208" s="28">
        <v>0</v>
      </c>
      <c r="S208" s="28">
        <f t="shared" si="47"/>
        <v>0</v>
      </c>
      <c r="T208" s="28"/>
      <c r="U208" s="28"/>
      <c r="V208" s="28">
        <f t="shared" si="48"/>
        <v>0</v>
      </c>
      <c r="W208" s="28"/>
      <c r="X208" s="28"/>
      <c r="Y208" s="28">
        <f t="shared" si="49"/>
        <v>0</v>
      </c>
      <c r="Z208" s="28"/>
      <c r="AA208" s="28"/>
      <c r="AB208" s="28">
        <f t="shared" si="50"/>
        <v>0</v>
      </c>
    </row>
    <row r="209" spans="1:187" s="6" customFormat="1" ht="31.5" x14ac:dyDescent="0.25">
      <c r="A209" s="24" t="s">
        <v>97</v>
      </c>
      <c r="B209" s="25">
        <f t="shared" si="51"/>
        <v>160991</v>
      </c>
      <c r="C209" s="25">
        <f t="shared" si="51"/>
        <v>163347</v>
      </c>
      <c r="D209" s="25">
        <f t="shared" si="51"/>
        <v>2356</v>
      </c>
      <c r="E209" s="25">
        <f>SUM(E210:E229)</f>
        <v>0</v>
      </c>
      <c r="F209" s="25">
        <f>SUM(F210:F229)</f>
        <v>0</v>
      </c>
      <c r="G209" s="25">
        <f t="shared" si="43"/>
        <v>0</v>
      </c>
      <c r="H209" s="25">
        <f>SUM(H210:H229)</f>
        <v>0</v>
      </c>
      <c r="I209" s="25">
        <f>SUM(I210:I229)</f>
        <v>0</v>
      </c>
      <c r="J209" s="25">
        <f t="shared" si="44"/>
        <v>0</v>
      </c>
      <c r="K209" s="25">
        <f>SUM(K210:K229)</f>
        <v>2674</v>
      </c>
      <c r="L209" s="25">
        <f>SUM(L210:L229)</f>
        <v>76355</v>
      </c>
      <c r="M209" s="25">
        <f t="shared" si="45"/>
        <v>73681</v>
      </c>
      <c r="N209" s="25">
        <f>SUM(N210:N229)</f>
        <v>36327</v>
      </c>
      <c r="O209" s="25">
        <f>SUM(O210:O229)</f>
        <v>36327</v>
      </c>
      <c r="P209" s="25">
        <f t="shared" si="46"/>
        <v>0</v>
      </c>
      <c r="Q209" s="25">
        <f>SUM(Q210:Q229)</f>
        <v>119724</v>
      </c>
      <c r="R209" s="25">
        <f>SUM(R210:R229)</f>
        <v>33572</v>
      </c>
      <c r="S209" s="25">
        <f t="shared" si="47"/>
        <v>-86152</v>
      </c>
      <c r="T209" s="25">
        <f>SUM(T210:T229)</f>
        <v>0</v>
      </c>
      <c r="U209" s="25">
        <f>SUM(U210:U229)</f>
        <v>0</v>
      </c>
      <c r="V209" s="25">
        <f t="shared" si="48"/>
        <v>0</v>
      </c>
      <c r="W209" s="25">
        <f>SUM(W210:W229)</f>
        <v>2266</v>
      </c>
      <c r="X209" s="25">
        <f>SUM(X210:X229)</f>
        <v>2266</v>
      </c>
      <c r="Y209" s="25">
        <f t="shared" si="49"/>
        <v>0</v>
      </c>
      <c r="Z209" s="25">
        <f>SUM(Z210:Z229)</f>
        <v>0</v>
      </c>
      <c r="AA209" s="25">
        <f>SUM(AA210:AA229)</f>
        <v>14827</v>
      </c>
      <c r="AB209" s="25">
        <f t="shared" si="50"/>
        <v>14827</v>
      </c>
    </row>
    <row r="210" spans="1:187" s="6" customFormat="1" ht="94.5" x14ac:dyDescent="0.25">
      <c r="A210" s="32" t="s">
        <v>192</v>
      </c>
      <c r="B210" s="28">
        <f t="shared" si="51"/>
        <v>4684</v>
      </c>
      <c r="C210" s="28">
        <f t="shared" si="51"/>
        <v>4684</v>
      </c>
      <c r="D210" s="28">
        <f t="shared" si="51"/>
        <v>0</v>
      </c>
      <c r="E210" s="28"/>
      <c r="F210" s="28"/>
      <c r="G210" s="28">
        <f t="shared" si="43"/>
        <v>0</v>
      </c>
      <c r="H210" s="28"/>
      <c r="I210" s="28"/>
      <c r="J210" s="28">
        <f t="shared" si="44"/>
        <v>0</v>
      </c>
      <c r="K210" s="28"/>
      <c r="L210" s="28"/>
      <c r="M210" s="28">
        <f t="shared" si="45"/>
        <v>0</v>
      </c>
      <c r="N210" s="28">
        <v>4684</v>
      </c>
      <c r="O210" s="28">
        <v>4684</v>
      </c>
      <c r="P210" s="28">
        <f t="shared" si="46"/>
        <v>0</v>
      </c>
      <c r="Q210" s="28">
        <v>0</v>
      </c>
      <c r="R210" s="28">
        <v>0</v>
      </c>
      <c r="S210" s="28">
        <f t="shared" si="47"/>
        <v>0</v>
      </c>
      <c r="T210" s="28"/>
      <c r="U210" s="28"/>
      <c r="V210" s="28">
        <f t="shared" si="48"/>
        <v>0</v>
      </c>
      <c r="W210" s="28"/>
      <c r="X210" s="28"/>
      <c r="Y210" s="28">
        <f t="shared" si="49"/>
        <v>0</v>
      </c>
      <c r="Z210" s="28"/>
      <c r="AA210" s="28"/>
      <c r="AB210" s="28">
        <f t="shared" si="50"/>
        <v>0</v>
      </c>
    </row>
    <row r="211" spans="1:187" s="6" customFormat="1" ht="94.5" x14ac:dyDescent="0.25">
      <c r="A211" s="32" t="s">
        <v>193</v>
      </c>
      <c r="B211" s="28">
        <f t="shared" si="51"/>
        <v>18000</v>
      </c>
      <c r="C211" s="28">
        <f t="shared" si="51"/>
        <v>18000</v>
      </c>
      <c r="D211" s="28">
        <f t="shared" si="51"/>
        <v>0</v>
      </c>
      <c r="E211" s="28"/>
      <c r="F211" s="28"/>
      <c r="G211" s="28">
        <f t="shared" si="43"/>
        <v>0</v>
      </c>
      <c r="H211" s="28"/>
      <c r="I211" s="28"/>
      <c r="J211" s="28">
        <f t="shared" si="44"/>
        <v>0</v>
      </c>
      <c r="K211" s="28"/>
      <c r="L211" s="28"/>
      <c r="M211" s="28">
        <f t="shared" si="45"/>
        <v>0</v>
      </c>
      <c r="N211" s="28">
        <v>18000</v>
      </c>
      <c r="O211" s="28">
        <v>18000</v>
      </c>
      <c r="P211" s="28">
        <f t="shared" si="46"/>
        <v>0</v>
      </c>
      <c r="Q211" s="28">
        <v>0</v>
      </c>
      <c r="R211" s="28">
        <v>0</v>
      </c>
      <c r="S211" s="28">
        <f t="shared" si="47"/>
        <v>0</v>
      </c>
      <c r="T211" s="28"/>
      <c r="U211" s="28"/>
      <c r="V211" s="28">
        <f t="shared" si="48"/>
        <v>0</v>
      </c>
      <c r="W211" s="28"/>
      <c r="X211" s="28"/>
      <c r="Y211" s="28">
        <f t="shared" si="49"/>
        <v>0</v>
      </c>
      <c r="Z211" s="28"/>
      <c r="AA211" s="28"/>
      <c r="AB211" s="28">
        <f t="shared" si="50"/>
        <v>0</v>
      </c>
    </row>
    <row r="212" spans="1:187" s="6" customFormat="1" ht="47.25" x14ac:dyDescent="0.25">
      <c r="A212" s="32" t="s">
        <v>194</v>
      </c>
      <c r="B212" s="28">
        <f t="shared" si="51"/>
        <v>2395</v>
      </c>
      <c r="C212" s="28">
        <f t="shared" si="51"/>
        <v>2395</v>
      </c>
      <c r="D212" s="28">
        <f t="shared" si="51"/>
        <v>0</v>
      </c>
      <c r="E212" s="28"/>
      <c r="F212" s="28"/>
      <c r="G212" s="28">
        <f t="shared" si="43"/>
        <v>0</v>
      </c>
      <c r="H212" s="28"/>
      <c r="I212" s="28"/>
      <c r="J212" s="28">
        <f t="shared" si="44"/>
        <v>0</v>
      </c>
      <c r="K212" s="28"/>
      <c r="L212" s="28"/>
      <c r="M212" s="28">
        <f t="shared" si="45"/>
        <v>0</v>
      </c>
      <c r="N212" s="28">
        <f>1500+895</f>
        <v>2395</v>
      </c>
      <c r="O212" s="28">
        <f>1500+895</f>
        <v>2395</v>
      </c>
      <c r="P212" s="28">
        <f t="shared" si="46"/>
        <v>0</v>
      </c>
      <c r="Q212" s="28"/>
      <c r="R212" s="28"/>
      <c r="S212" s="28">
        <f t="shared" si="47"/>
        <v>0</v>
      </c>
      <c r="T212" s="28"/>
      <c r="U212" s="28"/>
      <c r="V212" s="28">
        <f t="shared" si="48"/>
        <v>0</v>
      </c>
      <c r="W212" s="28"/>
      <c r="X212" s="28"/>
      <c r="Y212" s="28">
        <f t="shared" si="49"/>
        <v>0</v>
      </c>
      <c r="Z212" s="28"/>
      <c r="AA212" s="28"/>
      <c r="AB212" s="28">
        <f t="shared" si="50"/>
        <v>0</v>
      </c>
    </row>
    <row r="213" spans="1:187" s="6" customFormat="1" ht="78.75" x14ac:dyDescent="0.25">
      <c r="A213" s="32" t="s">
        <v>195</v>
      </c>
      <c r="B213" s="28">
        <f t="shared" si="51"/>
        <v>7500</v>
      </c>
      <c r="C213" s="28">
        <f t="shared" si="51"/>
        <v>7500</v>
      </c>
      <c r="D213" s="28">
        <f t="shared" si="51"/>
        <v>0</v>
      </c>
      <c r="E213" s="28"/>
      <c r="F213" s="28"/>
      <c r="G213" s="28">
        <f t="shared" si="43"/>
        <v>0</v>
      </c>
      <c r="H213" s="28"/>
      <c r="I213" s="28"/>
      <c r="J213" s="28">
        <f t="shared" si="44"/>
        <v>0</v>
      </c>
      <c r="K213" s="28">
        <v>0</v>
      </c>
      <c r="L213" s="28">
        <v>0</v>
      </c>
      <c r="M213" s="28">
        <f t="shared" si="45"/>
        <v>0</v>
      </c>
      <c r="N213" s="28">
        <v>7500</v>
      </c>
      <c r="O213" s="28">
        <v>7500</v>
      </c>
      <c r="P213" s="28">
        <f t="shared" si="46"/>
        <v>0</v>
      </c>
      <c r="Q213" s="28">
        <v>0</v>
      </c>
      <c r="R213" s="28">
        <v>0</v>
      </c>
      <c r="S213" s="28">
        <f t="shared" si="47"/>
        <v>0</v>
      </c>
      <c r="T213" s="28"/>
      <c r="U213" s="28"/>
      <c r="V213" s="28">
        <f t="shared" si="48"/>
        <v>0</v>
      </c>
      <c r="W213" s="28"/>
      <c r="X213" s="28"/>
      <c r="Y213" s="28">
        <f t="shared" si="49"/>
        <v>0</v>
      </c>
      <c r="Z213" s="28"/>
      <c r="AA213" s="28"/>
      <c r="AB213" s="28">
        <f t="shared" si="50"/>
        <v>0</v>
      </c>
    </row>
    <row r="214" spans="1:187" s="23" customFormat="1" ht="63" x14ac:dyDescent="0.25">
      <c r="A214" s="32" t="s">
        <v>196</v>
      </c>
      <c r="B214" s="34">
        <f t="shared" si="51"/>
        <v>3748</v>
      </c>
      <c r="C214" s="34">
        <f t="shared" si="51"/>
        <v>3748</v>
      </c>
      <c r="D214" s="34">
        <f t="shared" si="51"/>
        <v>0</v>
      </c>
      <c r="E214" s="34"/>
      <c r="F214" s="34"/>
      <c r="G214" s="34">
        <f t="shared" si="43"/>
        <v>0</v>
      </c>
      <c r="H214" s="34"/>
      <c r="I214" s="34"/>
      <c r="J214" s="34">
        <f t="shared" si="44"/>
        <v>0</v>
      </c>
      <c r="K214" s="34"/>
      <c r="L214" s="34"/>
      <c r="M214" s="34">
        <f t="shared" si="45"/>
        <v>0</v>
      </c>
      <c r="N214" s="34">
        <v>3748</v>
      </c>
      <c r="O214" s="34">
        <v>3748</v>
      </c>
      <c r="P214" s="34">
        <f t="shared" si="46"/>
        <v>0</v>
      </c>
      <c r="Q214" s="34">
        <v>0</v>
      </c>
      <c r="R214" s="34">
        <v>0</v>
      </c>
      <c r="S214" s="34">
        <f t="shared" si="47"/>
        <v>0</v>
      </c>
      <c r="T214" s="34"/>
      <c r="U214" s="34"/>
      <c r="V214" s="34">
        <f t="shared" si="48"/>
        <v>0</v>
      </c>
      <c r="W214" s="34"/>
      <c r="X214" s="34"/>
      <c r="Y214" s="34">
        <f t="shared" si="49"/>
        <v>0</v>
      </c>
      <c r="Z214" s="34"/>
      <c r="AA214" s="34"/>
      <c r="AB214" s="34">
        <f t="shared" si="50"/>
        <v>0</v>
      </c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</row>
    <row r="215" spans="1:187" s="23" customFormat="1" x14ac:dyDescent="0.25">
      <c r="A215" s="32" t="s">
        <v>197</v>
      </c>
      <c r="B215" s="34">
        <f t="shared" si="51"/>
        <v>2674</v>
      </c>
      <c r="C215" s="34">
        <f t="shared" si="51"/>
        <v>2674</v>
      </c>
      <c r="D215" s="34">
        <f t="shared" si="51"/>
        <v>0</v>
      </c>
      <c r="E215" s="34"/>
      <c r="F215" s="34"/>
      <c r="G215" s="34">
        <f t="shared" si="43"/>
        <v>0</v>
      </c>
      <c r="H215" s="34"/>
      <c r="I215" s="34"/>
      <c r="J215" s="34">
        <f t="shared" si="44"/>
        <v>0</v>
      </c>
      <c r="K215" s="34">
        <v>2674</v>
      </c>
      <c r="L215" s="34">
        <v>2674</v>
      </c>
      <c r="M215" s="34">
        <f t="shared" si="45"/>
        <v>0</v>
      </c>
      <c r="N215" s="34"/>
      <c r="O215" s="34"/>
      <c r="P215" s="34">
        <f t="shared" si="46"/>
        <v>0</v>
      </c>
      <c r="Q215" s="34"/>
      <c r="R215" s="34"/>
      <c r="S215" s="34">
        <f t="shared" si="47"/>
        <v>0</v>
      </c>
      <c r="T215" s="34"/>
      <c r="U215" s="34"/>
      <c r="V215" s="34">
        <f t="shared" si="48"/>
        <v>0</v>
      </c>
      <c r="W215" s="34"/>
      <c r="X215" s="34"/>
      <c r="Y215" s="34">
        <f t="shared" si="49"/>
        <v>0</v>
      </c>
      <c r="Z215" s="34"/>
      <c r="AA215" s="34"/>
      <c r="AB215" s="34">
        <f t="shared" si="50"/>
        <v>0</v>
      </c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</row>
    <row r="216" spans="1:187" s="23" customFormat="1" x14ac:dyDescent="0.25">
      <c r="A216" s="32" t="s">
        <v>198</v>
      </c>
      <c r="B216" s="34">
        <f t="shared" si="51"/>
        <v>0</v>
      </c>
      <c r="C216" s="34">
        <f t="shared" si="51"/>
        <v>2614</v>
      </c>
      <c r="D216" s="34">
        <f t="shared" si="51"/>
        <v>2614</v>
      </c>
      <c r="E216" s="34"/>
      <c r="F216" s="34"/>
      <c r="G216" s="34">
        <f t="shared" si="43"/>
        <v>0</v>
      </c>
      <c r="H216" s="34"/>
      <c r="I216" s="34"/>
      <c r="J216" s="34">
        <f t="shared" si="44"/>
        <v>0</v>
      </c>
      <c r="K216" s="34">
        <v>0</v>
      </c>
      <c r="L216" s="34">
        <v>2614</v>
      </c>
      <c r="M216" s="34">
        <f t="shared" si="45"/>
        <v>2614</v>
      </c>
      <c r="N216" s="34"/>
      <c r="O216" s="34"/>
      <c r="P216" s="34">
        <f t="shared" si="46"/>
        <v>0</v>
      </c>
      <c r="Q216" s="34"/>
      <c r="R216" s="34"/>
      <c r="S216" s="34">
        <f t="shared" si="47"/>
        <v>0</v>
      </c>
      <c r="T216" s="34"/>
      <c r="U216" s="34"/>
      <c r="V216" s="34">
        <f t="shared" si="48"/>
        <v>0</v>
      </c>
      <c r="W216" s="34"/>
      <c r="X216" s="34"/>
      <c r="Y216" s="34">
        <f t="shared" si="49"/>
        <v>0</v>
      </c>
      <c r="Z216" s="34"/>
      <c r="AA216" s="34"/>
      <c r="AB216" s="34">
        <f t="shared" si="50"/>
        <v>0</v>
      </c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</row>
    <row r="217" spans="1:187" s="23" customFormat="1" ht="31.5" x14ac:dyDescent="0.25">
      <c r="A217" s="32" t="s">
        <v>199</v>
      </c>
      <c r="B217" s="34">
        <f t="shared" si="51"/>
        <v>3500</v>
      </c>
      <c r="C217" s="34">
        <f t="shared" si="51"/>
        <v>3500</v>
      </c>
      <c r="D217" s="34">
        <f t="shared" si="51"/>
        <v>0</v>
      </c>
      <c r="E217" s="34"/>
      <c r="F217" s="34"/>
      <c r="G217" s="34">
        <f t="shared" si="43"/>
        <v>0</v>
      </c>
      <c r="H217" s="34"/>
      <c r="I217" s="34"/>
      <c r="J217" s="34">
        <f t="shared" si="44"/>
        <v>0</v>
      </c>
      <c r="K217" s="34">
        <v>0</v>
      </c>
      <c r="L217" s="34">
        <v>0</v>
      </c>
      <c r="M217" s="34">
        <f t="shared" si="45"/>
        <v>0</v>
      </c>
      <c r="N217" s="34"/>
      <c r="O217" s="34"/>
      <c r="P217" s="34">
        <f t="shared" si="46"/>
        <v>0</v>
      </c>
      <c r="Q217" s="34">
        <v>3500</v>
      </c>
      <c r="R217" s="34">
        <f>3500-3500</f>
        <v>0</v>
      </c>
      <c r="S217" s="34">
        <f t="shared" si="47"/>
        <v>-3500</v>
      </c>
      <c r="T217" s="34"/>
      <c r="U217" s="34"/>
      <c r="V217" s="34">
        <f t="shared" si="48"/>
        <v>0</v>
      </c>
      <c r="W217" s="34"/>
      <c r="X217" s="34"/>
      <c r="Y217" s="34">
        <f t="shared" si="49"/>
        <v>0</v>
      </c>
      <c r="Z217" s="34"/>
      <c r="AA217" s="34">
        <f>3500</f>
        <v>3500</v>
      </c>
      <c r="AB217" s="34">
        <f t="shared" si="50"/>
        <v>3500</v>
      </c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</row>
    <row r="218" spans="1:187" s="23" customFormat="1" ht="31.5" x14ac:dyDescent="0.25">
      <c r="A218" s="32" t="s">
        <v>200</v>
      </c>
      <c r="B218" s="34">
        <f t="shared" si="51"/>
        <v>4442</v>
      </c>
      <c r="C218" s="34">
        <f t="shared" si="51"/>
        <v>4442</v>
      </c>
      <c r="D218" s="34">
        <f t="shared" si="51"/>
        <v>0</v>
      </c>
      <c r="E218" s="34"/>
      <c r="F218" s="34"/>
      <c r="G218" s="34">
        <f t="shared" si="43"/>
        <v>0</v>
      </c>
      <c r="H218" s="34"/>
      <c r="I218" s="34"/>
      <c r="J218" s="34">
        <f t="shared" si="44"/>
        <v>0</v>
      </c>
      <c r="K218" s="34">
        <v>0</v>
      </c>
      <c r="L218" s="34">
        <v>0</v>
      </c>
      <c r="M218" s="34">
        <f t="shared" si="45"/>
        <v>0</v>
      </c>
      <c r="N218" s="34"/>
      <c r="O218" s="34"/>
      <c r="P218" s="34">
        <f t="shared" si="46"/>
        <v>0</v>
      </c>
      <c r="Q218" s="34">
        <f>3360+1082</f>
        <v>4442</v>
      </c>
      <c r="R218" s="34">
        <f>3360+1082</f>
        <v>4442</v>
      </c>
      <c r="S218" s="34">
        <f t="shared" si="47"/>
        <v>0</v>
      </c>
      <c r="T218" s="34"/>
      <c r="U218" s="34"/>
      <c r="V218" s="34">
        <f t="shared" si="48"/>
        <v>0</v>
      </c>
      <c r="W218" s="34"/>
      <c r="X218" s="34"/>
      <c r="Y218" s="34">
        <f t="shared" si="49"/>
        <v>0</v>
      </c>
      <c r="Z218" s="34"/>
      <c r="AA218" s="34"/>
      <c r="AB218" s="34">
        <f t="shared" si="50"/>
        <v>0</v>
      </c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</row>
    <row r="219" spans="1:187" s="23" customFormat="1" ht="31.5" x14ac:dyDescent="0.25">
      <c r="A219" s="32" t="s">
        <v>201</v>
      </c>
      <c r="B219" s="34">
        <f t="shared" si="51"/>
        <v>3816</v>
      </c>
      <c r="C219" s="34">
        <f t="shared" si="51"/>
        <v>3816</v>
      </c>
      <c r="D219" s="34">
        <f t="shared" si="51"/>
        <v>0</v>
      </c>
      <c r="E219" s="34"/>
      <c r="F219" s="34"/>
      <c r="G219" s="34">
        <f t="shared" si="43"/>
        <v>0</v>
      </c>
      <c r="H219" s="34"/>
      <c r="I219" s="34"/>
      <c r="J219" s="34">
        <f t="shared" si="44"/>
        <v>0</v>
      </c>
      <c r="K219" s="34">
        <v>0</v>
      </c>
      <c r="L219" s="34">
        <v>0</v>
      </c>
      <c r="M219" s="34">
        <f t="shared" si="45"/>
        <v>0</v>
      </c>
      <c r="N219" s="34"/>
      <c r="O219" s="34"/>
      <c r="P219" s="34">
        <f t="shared" si="46"/>
        <v>0</v>
      </c>
      <c r="Q219" s="34">
        <v>3816</v>
      </c>
      <c r="R219" s="34">
        <v>3816</v>
      </c>
      <c r="S219" s="34">
        <f t="shared" si="47"/>
        <v>0</v>
      </c>
      <c r="T219" s="34"/>
      <c r="U219" s="34"/>
      <c r="V219" s="34">
        <f t="shared" si="48"/>
        <v>0</v>
      </c>
      <c r="W219" s="34"/>
      <c r="X219" s="34"/>
      <c r="Y219" s="34">
        <f t="shared" si="49"/>
        <v>0</v>
      </c>
      <c r="Z219" s="34"/>
      <c r="AA219" s="34"/>
      <c r="AB219" s="34">
        <f t="shared" si="50"/>
        <v>0</v>
      </c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</row>
    <row r="220" spans="1:187" s="23" customFormat="1" ht="31.5" x14ac:dyDescent="0.25">
      <c r="A220" s="32" t="s">
        <v>202</v>
      </c>
      <c r="B220" s="34">
        <f t="shared" si="51"/>
        <v>26022</v>
      </c>
      <c r="C220" s="34">
        <f t="shared" si="51"/>
        <v>26022</v>
      </c>
      <c r="D220" s="34">
        <f t="shared" si="51"/>
        <v>0</v>
      </c>
      <c r="E220" s="34"/>
      <c r="F220" s="34"/>
      <c r="G220" s="34">
        <f t="shared" si="43"/>
        <v>0</v>
      </c>
      <c r="H220" s="34"/>
      <c r="I220" s="34"/>
      <c r="J220" s="34">
        <f t="shared" si="44"/>
        <v>0</v>
      </c>
      <c r="K220" s="34">
        <v>0</v>
      </c>
      <c r="L220" s="34">
        <f>0+23387</f>
        <v>23387</v>
      </c>
      <c r="M220" s="34">
        <f t="shared" si="45"/>
        <v>23387</v>
      </c>
      <c r="N220" s="34"/>
      <c r="O220" s="34"/>
      <c r="P220" s="34">
        <f t="shared" si="46"/>
        <v>0</v>
      </c>
      <c r="Q220" s="34">
        <f>2635+23387</f>
        <v>26022</v>
      </c>
      <c r="R220" s="34">
        <f>2635+23387-23387</f>
        <v>2635</v>
      </c>
      <c r="S220" s="34">
        <f t="shared" si="47"/>
        <v>-23387</v>
      </c>
      <c r="T220" s="34"/>
      <c r="U220" s="34"/>
      <c r="V220" s="34">
        <f t="shared" si="48"/>
        <v>0</v>
      </c>
      <c r="W220" s="34"/>
      <c r="X220" s="34"/>
      <c r="Y220" s="34">
        <f t="shared" si="49"/>
        <v>0</v>
      </c>
      <c r="Z220" s="34"/>
      <c r="AA220" s="34"/>
      <c r="AB220" s="34">
        <f t="shared" si="50"/>
        <v>0</v>
      </c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</row>
    <row r="221" spans="1:187" s="23" customFormat="1" ht="31.5" x14ac:dyDescent="0.25">
      <c r="A221" s="32" t="s">
        <v>203</v>
      </c>
      <c r="B221" s="34">
        <f t="shared" si="51"/>
        <v>3976</v>
      </c>
      <c r="C221" s="34">
        <f t="shared" si="51"/>
        <v>3976</v>
      </c>
      <c r="D221" s="34">
        <f t="shared" si="51"/>
        <v>0</v>
      </c>
      <c r="E221" s="34"/>
      <c r="F221" s="34"/>
      <c r="G221" s="34">
        <f t="shared" si="43"/>
        <v>0</v>
      </c>
      <c r="H221" s="34"/>
      <c r="I221" s="34"/>
      <c r="J221" s="34">
        <f t="shared" si="44"/>
        <v>0</v>
      </c>
      <c r="K221" s="34">
        <v>0</v>
      </c>
      <c r="L221" s="34">
        <v>0</v>
      </c>
      <c r="M221" s="34">
        <f t="shared" si="45"/>
        <v>0</v>
      </c>
      <c r="N221" s="34"/>
      <c r="O221" s="34"/>
      <c r="P221" s="34">
        <f t="shared" si="46"/>
        <v>0</v>
      </c>
      <c r="Q221" s="34">
        <v>3976</v>
      </c>
      <c r="R221" s="34">
        <v>3976</v>
      </c>
      <c r="S221" s="34">
        <f t="shared" si="47"/>
        <v>0</v>
      </c>
      <c r="T221" s="34"/>
      <c r="U221" s="34"/>
      <c r="V221" s="34">
        <f t="shared" si="48"/>
        <v>0</v>
      </c>
      <c r="W221" s="34"/>
      <c r="X221" s="34"/>
      <c r="Y221" s="34">
        <f t="shared" si="49"/>
        <v>0</v>
      </c>
      <c r="Z221" s="34"/>
      <c r="AA221" s="34"/>
      <c r="AB221" s="34">
        <f t="shared" si="50"/>
        <v>0</v>
      </c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</row>
    <row r="222" spans="1:187" s="23" customFormat="1" ht="29.25" customHeight="1" x14ac:dyDescent="0.25">
      <c r="A222" s="32" t="s">
        <v>204</v>
      </c>
      <c r="B222" s="34">
        <f t="shared" si="51"/>
        <v>2266</v>
      </c>
      <c r="C222" s="34">
        <f t="shared" si="51"/>
        <v>2266</v>
      </c>
      <c r="D222" s="34">
        <f t="shared" si="51"/>
        <v>0</v>
      </c>
      <c r="E222" s="34"/>
      <c r="F222" s="34"/>
      <c r="G222" s="34">
        <f t="shared" si="43"/>
        <v>0</v>
      </c>
      <c r="H222" s="34"/>
      <c r="I222" s="34"/>
      <c r="J222" s="34">
        <f t="shared" si="44"/>
        <v>0</v>
      </c>
      <c r="K222" s="34">
        <v>0</v>
      </c>
      <c r="L222" s="34">
        <v>0</v>
      </c>
      <c r="M222" s="34">
        <f t="shared" si="45"/>
        <v>0</v>
      </c>
      <c r="N222" s="34"/>
      <c r="O222" s="34"/>
      <c r="P222" s="34">
        <f t="shared" si="46"/>
        <v>0</v>
      </c>
      <c r="Q222" s="34">
        <v>0</v>
      </c>
      <c r="R222" s="34">
        <v>0</v>
      </c>
      <c r="S222" s="34">
        <f t="shared" si="47"/>
        <v>0</v>
      </c>
      <c r="T222" s="34"/>
      <c r="U222" s="34"/>
      <c r="V222" s="34">
        <f t="shared" si="48"/>
        <v>0</v>
      </c>
      <c r="W222" s="34">
        <v>2266</v>
      </c>
      <c r="X222" s="34">
        <v>2266</v>
      </c>
      <c r="Y222" s="34">
        <f t="shared" si="49"/>
        <v>0</v>
      </c>
      <c r="Z222" s="34"/>
      <c r="AA222" s="34"/>
      <c r="AB222" s="34">
        <f t="shared" si="50"/>
        <v>0</v>
      </c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</row>
    <row r="223" spans="1:187" s="23" customFormat="1" ht="47.25" x14ac:dyDescent="0.25">
      <c r="A223" s="32" t="s">
        <v>205</v>
      </c>
      <c r="B223" s="34">
        <f t="shared" si="51"/>
        <v>5843</v>
      </c>
      <c r="C223" s="34">
        <f t="shared" si="51"/>
        <v>5586</v>
      </c>
      <c r="D223" s="34">
        <f t="shared" si="51"/>
        <v>-257</v>
      </c>
      <c r="E223" s="34"/>
      <c r="F223" s="34"/>
      <c r="G223" s="34">
        <f t="shared" si="43"/>
        <v>0</v>
      </c>
      <c r="H223" s="34"/>
      <c r="I223" s="34"/>
      <c r="J223" s="34">
        <f t="shared" si="44"/>
        <v>0</v>
      </c>
      <c r="K223" s="34">
        <v>0</v>
      </c>
      <c r="L223" s="34">
        <v>0</v>
      </c>
      <c r="M223" s="34">
        <f t="shared" si="45"/>
        <v>0</v>
      </c>
      <c r="N223" s="34"/>
      <c r="O223" s="34"/>
      <c r="P223" s="34">
        <f t="shared" si="46"/>
        <v>0</v>
      </c>
      <c r="Q223" s="34">
        <v>5843</v>
      </c>
      <c r="R223" s="34">
        <f>5843-257</f>
        <v>5586</v>
      </c>
      <c r="S223" s="34">
        <f t="shared" si="47"/>
        <v>-257</v>
      </c>
      <c r="T223" s="34"/>
      <c r="U223" s="34"/>
      <c r="V223" s="34">
        <f t="shared" si="48"/>
        <v>0</v>
      </c>
      <c r="W223" s="34"/>
      <c r="X223" s="34"/>
      <c r="Y223" s="34">
        <f t="shared" si="49"/>
        <v>0</v>
      </c>
      <c r="Z223" s="34"/>
      <c r="AA223" s="34"/>
      <c r="AB223" s="34">
        <f t="shared" si="50"/>
        <v>0</v>
      </c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</row>
    <row r="224" spans="1:187" s="23" customFormat="1" ht="31.5" x14ac:dyDescent="0.25">
      <c r="A224" s="32" t="s">
        <v>206</v>
      </c>
      <c r="B224" s="34">
        <f t="shared" si="51"/>
        <v>2400</v>
      </c>
      <c r="C224" s="34">
        <f t="shared" si="51"/>
        <v>2400</v>
      </c>
      <c r="D224" s="34">
        <f t="shared" si="51"/>
        <v>0</v>
      </c>
      <c r="E224" s="34"/>
      <c r="F224" s="34"/>
      <c r="G224" s="34">
        <f t="shared" si="43"/>
        <v>0</v>
      </c>
      <c r="H224" s="34"/>
      <c r="I224" s="34"/>
      <c r="J224" s="34">
        <f t="shared" si="44"/>
        <v>0</v>
      </c>
      <c r="K224" s="34">
        <v>0</v>
      </c>
      <c r="L224" s="34">
        <v>0</v>
      </c>
      <c r="M224" s="34">
        <f t="shared" si="45"/>
        <v>0</v>
      </c>
      <c r="N224" s="34"/>
      <c r="O224" s="34"/>
      <c r="P224" s="34">
        <f t="shared" si="46"/>
        <v>0</v>
      </c>
      <c r="Q224" s="34">
        <v>2400</v>
      </c>
      <c r="R224" s="34">
        <v>2400</v>
      </c>
      <c r="S224" s="34">
        <f t="shared" si="47"/>
        <v>0</v>
      </c>
      <c r="T224" s="34"/>
      <c r="U224" s="34"/>
      <c r="V224" s="34">
        <f t="shared" si="48"/>
        <v>0</v>
      </c>
      <c r="W224" s="34"/>
      <c r="X224" s="34"/>
      <c r="Y224" s="34">
        <f t="shared" si="49"/>
        <v>0</v>
      </c>
      <c r="Z224" s="34"/>
      <c r="AA224" s="34"/>
      <c r="AB224" s="34">
        <f t="shared" si="50"/>
        <v>0</v>
      </c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</row>
    <row r="225" spans="1:187" s="6" customFormat="1" ht="47.25" x14ac:dyDescent="0.25">
      <c r="A225" s="30" t="s">
        <v>207</v>
      </c>
      <c r="B225" s="31">
        <f t="shared" si="51"/>
        <v>7113</v>
      </c>
      <c r="C225" s="31">
        <f t="shared" si="51"/>
        <v>7112</v>
      </c>
      <c r="D225" s="31">
        <f t="shared" si="51"/>
        <v>-1</v>
      </c>
      <c r="E225" s="31"/>
      <c r="F225" s="31"/>
      <c r="G225" s="31">
        <f t="shared" si="43"/>
        <v>0</v>
      </c>
      <c r="H225" s="31"/>
      <c r="I225" s="31"/>
      <c r="J225" s="31">
        <f t="shared" si="44"/>
        <v>0</v>
      </c>
      <c r="K225" s="31"/>
      <c r="L225" s="31"/>
      <c r="M225" s="31">
        <f t="shared" si="45"/>
        <v>0</v>
      </c>
      <c r="N225" s="31">
        <v>0</v>
      </c>
      <c r="O225" s="31">
        <v>0</v>
      </c>
      <c r="P225" s="31">
        <f t="shared" si="46"/>
        <v>0</v>
      </c>
      <c r="Q225" s="31">
        <f>6414+699</f>
        <v>7113</v>
      </c>
      <c r="R225" s="31">
        <f>6414+699-1</f>
        <v>7112</v>
      </c>
      <c r="S225" s="31">
        <f t="shared" si="47"/>
        <v>-1</v>
      </c>
      <c r="T225" s="31"/>
      <c r="U225" s="31"/>
      <c r="V225" s="31">
        <f t="shared" si="48"/>
        <v>0</v>
      </c>
      <c r="W225" s="31"/>
      <c r="X225" s="31"/>
      <c r="Y225" s="31">
        <f t="shared" si="49"/>
        <v>0</v>
      </c>
      <c r="Z225" s="31"/>
      <c r="AA225" s="31"/>
      <c r="AB225" s="31">
        <f t="shared" si="50"/>
        <v>0</v>
      </c>
    </row>
    <row r="226" spans="1:187" s="6" customFormat="1" ht="31.5" x14ac:dyDescent="0.25">
      <c r="A226" s="32" t="s">
        <v>208</v>
      </c>
      <c r="B226" s="28">
        <f t="shared" si="51"/>
        <v>14998</v>
      </c>
      <c r="C226" s="28">
        <f t="shared" si="51"/>
        <v>14998</v>
      </c>
      <c r="D226" s="28">
        <f t="shared" si="51"/>
        <v>0</v>
      </c>
      <c r="E226" s="28"/>
      <c r="F226" s="28"/>
      <c r="G226" s="28">
        <f t="shared" si="43"/>
        <v>0</v>
      </c>
      <c r="H226" s="28"/>
      <c r="I226" s="28"/>
      <c r="J226" s="28">
        <f t="shared" si="44"/>
        <v>0</v>
      </c>
      <c r="K226" s="28"/>
      <c r="L226" s="28">
        <f>14998</f>
        <v>14998</v>
      </c>
      <c r="M226" s="28">
        <f t="shared" si="45"/>
        <v>14998</v>
      </c>
      <c r="N226" s="28">
        <v>0</v>
      </c>
      <c r="O226" s="28">
        <v>0</v>
      </c>
      <c r="P226" s="28">
        <f t="shared" si="46"/>
        <v>0</v>
      </c>
      <c r="Q226" s="28">
        <v>14998</v>
      </c>
      <c r="R226" s="28">
        <f>14998-14998</f>
        <v>0</v>
      </c>
      <c r="S226" s="28">
        <f t="shared" si="47"/>
        <v>-14998</v>
      </c>
      <c r="T226" s="28"/>
      <c r="U226" s="28"/>
      <c r="V226" s="28">
        <f t="shared" si="48"/>
        <v>0</v>
      </c>
      <c r="W226" s="28"/>
      <c r="X226" s="28"/>
      <c r="Y226" s="28">
        <f t="shared" si="49"/>
        <v>0</v>
      </c>
      <c r="Z226" s="28"/>
      <c r="AA226" s="28"/>
      <c r="AB226" s="28">
        <f t="shared" si="50"/>
        <v>0</v>
      </c>
    </row>
    <row r="227" spans="1:187" s="6" customFormat="1" x14ac:dyDescent="0.25">
      <c r="A227" s="32" t="s">
        <v>209</v>
      </c>
      <c r="B227" s="28">
        <f t="shared" si="51"/>
        <v>12461</v>
      </c>
      <c r="C227" s="28">
        <f t="shared" si="51"/>
        <v>12461</v>
      </c>
      <c r="D227" s="28">
        <f t="shared" si="51"/>
        <v>0</v>
      </c>
      <c r="E227" s="28"/>
      <c r="F227" s="28"/>
      <c r="G227" s="28">
        <f t="shared" si="43"/>
        <v>0</v>
      </c>
      <c r="H227" s="28"/>
      <c r="I227" s="28"/>
      <c r="J227" s="28">
        <f t="shared" si="44"/>
        <v>0</v>
      </c>
      <c r="K227" s="28"/>
      <c r="L227" s="28">
        <v>12461</v>
      </c>
      <c r="M227" s="28">
        <f t="shared" si="45"/>
        <v>12461</v>
      </c>
      <c r="N227" s="28">
        <v>0</v>
      </c>
      <c r="O227" s="28">
        <v>0</v>
      </c>
      <c r="P227" s="28">
        <f t="shared" si="46"/>
        <v>0</v>
      </c>
      <c r="Q227" s="28">
        <v>12461</v>
      </c>
      <c r="R227" s="28">
        <f>12461-12461</f>
        <v>0</v>
      </c>
      <c r="S227" s="28">
        <f t="shared" si="47"/>
        <v>-12461</v>
      </c>
      <c r="T227" s="28"/>
      <c r="U227" s="28"/>
      <c r="V227" s="28">
        <f t="shared" si="48"/>
        <v>0</v>
      </c>
      <c r="W227" s="28"/>
      <c r="X227" s="28"/>
      <c r="Y227" s="28">
        <f t="shared" si="49"/>
        <v>0</v>
      </c>
      <c r="Z227" s="28"/>
      <c r="AA227" s="28"/>
      <c r="AB227" s="28">
        <f t="shared" si="50"/>
        <v>0</v>
      </c>
    </row>
    <row r="228" spans="1:187" s="6" customFormat="1" ht="63" x14ac:dyDescent="0.25">
      <c r="A228" s="30" t="s">
        <v>210</v>
      </c>
      <c r="B228" s="31">
        <f t="shared" si="51"/>
        <v>23826</v>
      </c>
      <c r="C228" s="31">
        <f t="shared" si="51"/>
        <v>23826</v>
      </c>
      <c r="D228" s="31">
        <f t="shared" si="51"/>
        <v>0</v>
      </c>
      <c r="E228" s="31">
        <v>0</v>
      </c>
      <c r="F228" s="31">
        <v>0</v>
      </c>
      <c r="G228" s="31">
        <f t="shared" si="43"/>
        <v>0</v>
      </c>
      <c r="H228" s="31"/>
      <c r="I228" s="31"/>
      <c r="J228" s="31">
        <f t="shared" si="44"/>
        <v>0</v>
      </c>
      <c r="K228" s="31"/>
      <c r="L228" s="31">
        <f>20221</f>
        <v>20221</v>
      </c>
      <c r="M228" s="31">
        <f t="shared" si="45"/>
        <v>20221</v>
      </c>
      <c r="N228" s="31"/>
      <c r="O228" s="31"/>
      <c r="P228" s="31">
        <f t="shared" si="46"/>
        <v>0</v>
      </c>
      <c r="Q228" s="31">
        <f>3605+20221</f>
        <v>23826</v>
      </c>
      <c r="R228" s="31">
        <f>3605+20221-20221</f>
        <v>3605</v>
      </c>
      <c r="S228" s="31">
        <f t="shared" si="47"/>
        <v>-20221</v>
      </c>
      <c r="T228" s="31"/>
      <c r="U228" s="31"/>
      <c r="V228" s="31">
        <f t="shared" si="48"/>
        <v>0</v>
      </c>
      <c r="W228" s="31"/>
      <c r="X228" s="31"/>
      <c r="Y228" s="31">
        <f t="shared" si="49"/>
        <v>0</v>
      </c>
      <c r="Z228" s="31"/>
      <c r="AA228" s="31"/>
      <c r="AB228" s="31">
        <f t="shared" si="50"/>
        <v>0</v>
      </c>
    </row>
    <row r="229" spans="1:187" s="6" customFormat="1" x14ac:dyDescent="0.25">
      <c r="A229" s="30" t="s">
        <v>211</v>
      </c>
      <c r="B229" s="31">
        <f t="shared" si="51"/>
        <v>11327</v>
      </c>
      <c r="C229" s="31">
        <f t="shared" si="51"/>
        <v>11327</v>
      </c>
      <c r="D229" s="31">
        <f t="shared" si="51"/>
        <v>0</v>
      </c>
      <c r="E229" s="31"/>
      <c r="F229" s="31"/>
      <c r="G229" s="31">
        <f t="shared" si="43"/>
        <v>0</v>
      </c>
      <c r="H229" s="31"/>
      <c r="I229" s="31"/>
      <c r="J229" s="31">
        <f t="shared" si="44"/>
        <v>0</v>
      </c>
      <c r="K229" s="31"/>
      <c r="L229" s="31"/>
      <c r="M229" s="31">
        <f t="shared" si="45"/>
        <v>0</v>
      </c>
      <c r="N229" s="31">
        <v>0</v>
      </c>
      <c r="O229" s="31">
        <v>0</v>
      </c>
      <c r="P229" s="31">
        <f t="shared" si="46"/>
        <v>0</v>
      </c>
      <c r="Q229" s="31">
        <f>11806-479</f>
        <v>11327</v>
      </c>
      <c r="R229" s="31">
        <f>11806-479-11327</f>
        <v>0</v>
      </c>
      <c r="S229" s="31">
        <f t="shared" si="47"/>
        <v>-11327</v>
      </c>
      <c r="T229" s="31"/>
      <c r="U229" s="31"/>
      <c r="V229" s="31">
        <f t="shared" si="48"/>
        <v>0</v>
      </c>
      <c r="W229" s="31"/>
      <c r="X229" s="31"/>
      <c r="Y229" s="31">
        <f t="shared" si="49"/>
        <v>0</v>
      </c>
      <c r="Z229" s="31"/>
      <c r="AA229" s="31">
        <f>11327</f>
        <v>11327</v>
      </c>
      <c r="AB229" s="31">
        <f t="shared" si="50"/>
        <v>11327</v>
      </c>
    </row>
    <row r="230" spans="1:187" s="6" customFormat="1" x14ac:dyDescent="0.25">
      <c r="A230" s="24" t="s">
        <v>101</v>
      </c>
      <c r="B230" s="25">
        <f t="shared" si="51"/>
        <v>189988</v>
      </c>
      <c r="C230" s="25">
        <f t="shared" si="51"/>
        <v>222448</v>
      </c>
      <c r="D230" s="25">
        <f t="shared" si="51"/>
        <v>32460</v>
      </c>
      <c r="E230" s="25">
        <f>SUM(E231:E234)</f>
        <v>0</v>
      </c>
      <c r="F230" s="25">
        <f>SUM(F231:F234)</f>
        <v>0</v>
      </c>
      <c r="G230" s="25">
        <f t="shared" si="43"/>
        <v>0</v>
      </c>
      <c r="H230" s="25">
        <f>SUM(H231:H234)</f>
        <v>0</v>
      </c>
      <c r="I230" s="25">
        <f>SUM(I231:I234)</f>
        <v>0</v>
      </c>
      <c r="J230" s="25">
        <f t="shared" si="44"/>
        <v>0</v>
      </c>
      <c r="K230" s="25">
        <f>SUM(K231:K234)</f>
        <v>0</v>
      </c>
      <c r="L230" s="25">
        <f>SUM(L231:L234)</f>
        <v>8820</v>
      </c>
      <c r="M230" s="25">
        <f t="shared" si="45"/>
        <v>8820</v>
      </c>
      <c r="N230" s="25">
        <f>SUM(N231:N234)</f>
        <v>119488</v>
      </c>
      <c r="O230" s="25">
        <f>SUM(O231:O234)</f>
        <v>110068</v>
      </c>
      <c r="P230" s="25">
        <f t="shared" si="46"/>
        <v>-9420</v>
      </c>
      <c r="Q230" s="25">
        <f>SUM(Q231:Q234)</f>
        <v>70500</v>
      </c>
      <c r="R230" s="25">
        <f>SUM(R231:R234)</f>
        <v>70380</v>
      </c>
      <c r="S230" s="25">
        <f t="shared" si="47"/>
        <v>-120</v>
      </c>
      <c r="T230" s="25">
        <f>SUM(T231:T234)</f>
        <v>0</v>
      </c>
      <c r="U230" s="25">
        <f>SUM(U231:U234)</f>
        <v>0</v>
      </c>
      <c r="V230" s="25">
        <f t="shared" si="48"/>
        <v>0</v>
      </c>
      <c r="W230" s="25">
        <f>SUM(W231:W234)</f>
        <v>0</v>
      </c>
      <c r="X230" s="25">
        <f>SUM(X231:X234)</f>
        <v>0</v>
      </c>
      <c r="Y230" s="25">
        <f t="shared" si="49"/>
        <v>0</v>
      </c>
      <c r="Z230" s="25">
        <f>SUM(Z231:Z234)</f>
        <v>0</v>
      </c>
      <c r="AA230" s="25">
        <f>SUM(AA231:AA234)</f>
        <v>33180</v>
      </c>
      <c r="AB230" s="25">
        <f t="shared" si="50"/>
        <v>33180</v>
      </c>
    </row>
    <row r="231" spans="1:187" s="23" customFormat="1" ht="31.5" x14ac:dyDescent="0.25">
      <c r="A231" s="32" t="s">
        <v>212</v>
      </c>
      <c r="B231" s="34">
        <f t="shared" si="51"/>
        <v>70500</v>
      </c>
      <c r="C231" s="34">
        <f t="shared" si="51"/>
        <v>70380</v>
      </c>
      <c r="D231" s="34">
        <f t="shared" si="51"/>
        <v>-120</v>
      </c>
      <c r="E231" s="34"/>
      <c r="F231" s="34"/>
      <c r="G231" s="34">
        <f t="shared" si="43"/>
        <v>0</v>
      </c>
      <c r="H231" s="34"/>
      <c r="I231" s="34"/>
      <c r="J231" s="34">
        <f t="shared" si="44"/>
        <v>0</v>
      </c>
      <c r="K231" s="34">
        <v>0</v>
      </c>
      <c r="L231" s="34">
        <v>0</v>
      </c>
      <c r="M231" s="34">
        <f t="shared" si="45"/>
        <v>0</v>
      </c>
      <c r="N231" s="34"/>
      <c r="O231" s="34"/>
      <c r="P231" s="34">
        <f t="shared" si="46"/>
        <v>0</v>
      </c>
      <c r="Q231" s="34">
        <v>70500</v>
      </c>
      <c r="R231" s="34">
        <f>70500-120</f>
        <v>70380</v>
      </c>
      <c r="S231" s="34">
        <f t="shared" si="47"/>
        <v>-120</v>
      </c>
      <c r="T231" s="34"/>
      <c r="U231" s="34"/>
      <c r="V231" s="34">
        <f t="shared" si="48"/>
        <v>0</v>
      </c>
      <c r="W231" s="34"/>
      <c r="X231" s="34"/>
      <c r="Y231" s="34">
        <f t="shared" si="49"/>
        <v>0</v>
      </c>
      <c r="Z231" s="34"/>
      <c r="AA231" s="34"/>
      <c r="AB231" s="34">
        <f t="shared" si="50"/>
        <v>0</v>
      </c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</row>
    <row r="232" spans="1:187" s="23" customFormat="1" ht="31.5" x14ac:dyDescent="0.25">
      <c r="A232" s="32" t="s">
        <v>213</v>
      </c>
      <c r="B232" s="34">
        <f t="shared" si="51"/>
        <v>0</v>
      </c>
      <c r="C232" s="34">
        <f t="shared" si="51"/>
        <v>42000</v>
      </c>
      <c r="D232" s="34">
        <f t="shared" si="51"/>
        <v>42000</v>
      </c>
      <c r="E232" s="34"/>
      <c r="F232" s="34"/>
      <c r="G232" s="34">
        <f t="shared" si="43"/>
        <v>0</v>
      </c>
      <c r="H232" s="34"/>
      <c r="I232" s="34"/>
      <c r="J232" s="34">
        <f t="shared" si="44"/>
        <v>0</v>
      </c>
      <c r="K232" s="34">
        <v>0</v>
      </c>
      <c r="L232" s="34">
        <v>8820</v>
      </c>
      <c r="M232" s="34">
        <f t="shared" si="45"/>
        <v>8820</v>
      </c>
      <c r="N232" s="34"/>
      <c r="O232" s="34"/>
      <c r="P232" s="34">
        <f t="shared" si="46"/>
        <v>0</v>
      </c>
      <c r="Q232" s="34"/>
      <c r="R232" s="34"/>
      <c r="S232" s="34">
        <f t="shared" si="47"/>
        <v>0</v>
      </c>
      <c r="T232" s="34"/>
      <c r="U232" s="34"/>
      <c r="V232" s="34">
        <f t="shared" si="48"/>
        <v>0</v>
      </c>
      <c r="W232" s="34"/>
      <c r="X232" s="34"/>
      <c r="Y232" s="34">
        <f t="shared" si="49"/>
        <v>0</v>
      </c>
      <c r="Z232" s="34"/>
      <c r="AA232" s="34">
        <v>33180</v>
      </c>
      <c r="AB232" s="34">
        <f t="shared" si="50"/>
        <v>33180</v>
      </c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</row>
    <row r="233" spans="1:187" s="6" customFormat="1" ht="94.5" x14ac:dyDescent="0.25">
      <c r="A233" s="32" t="s">
        <v>214</v>
      </c>
      <c r="B233" s="28">
        <f t="shared" si="51"/>
        <v>77500</v>
      </c>
      <c r="C233" s="28">
        <f t="shared" si="51"/>
        <v>77500</v>
      </c>
      <c r="D233" s="28">
        <f t="shared" si="51"/>
        <v>0</v>
      </c>
      <c r="E233" s="28"/>
      <c r="F233" s="28"/>
      <c r="G233" s="28">
        <f t="shared" si="43"/>
        <v>0</v>
      </c>
      <c r="H233" s="28"/>
      <c r="I233" s="28"/>
      <c r="J233" s="28">
        <f t="shared" si="44"/>
        <v>0</v>
      </c>
      <c r="K233" s="28">
        <v>0</v>
      </c>
      <c r="L233" s="28">
        <v>0</v>
      </c>
      <c r="M233" s="28">
        <f t="shared" si="45"/>
        <v>0</v>
      </c>
      <c r="N233" s="28">
        <v>77500</v>
      </c>
      <c r="O233" s="28">
        <v>77500</v>
      </c>
      <c r="P233" s="28">
        <f t="shared" si="46"/>
        <v>0</v>
      </c>
      <c r="Q233" s="28"/>
      <c r="R233" s="28"/>
      <c r="S233" s="28">
        <f t="shared" si="47"/>
        <v>0</v>
      </c>
      <c r="T233" s="28"/>
      <c r="U233" s="28"/>
      <c r="V233" s="28">
        <f t="shared" si="48"/>
        <v>0</v>
      </c>
      <c r="W233" s="28"/>
      <c r="X233" s="28"/>
      <c r="Y233" s="28">
        <f t="shared" si="49"/>
        <v>0</v>
      </c>
      <c r="Z233" s="28"/>
      <c r="AA233" s="28"/>
      <c r="AB233" s="28">
        <f t="shared" si="50"/>
        <v>0</v>
      </c>
    </row>
    <row r="234" spans="1:187" s="6" customFormat="1" ht="78.75" x14ac:dyDescent="0.25">
      <c r="A234" s="32" t="s">
        <v>215</v>
      </c>
      <c r="B234" s="28">
        <f t="shared" si="51"/>
        <v>41988</v>
      </c>
      <c r="C234" s="28">
        <f t="shared" si="51"/>
        <v>32568</v>
      </c>
      <c r="D234" s="28">
        <f t="shared" si="51"/>
        <v>-9420</v>
      </c>
      <c r="E234" s="28"/>
      <c r="F234" s="28"/>
      <c r="G234" s="28">
        <f t="shared" si="43"/>
        <v>0</v>
      </c>
      <c r="H234" s="28"/>
      <c r="I234" s="28"/>
      <c r="J234" s="28">
        <f t="shared" si="44"/>
        <v>0</v>
      </c>
      <c r="K234" s="28">
        <v>0</v>
      </c>
      <c r="L234" s="28">
        <v>0</v>
      </c>
      <c r="M234" s="28">
        <f t="shared" si="45"/>
        <v>0</v>
      </c>
      <c r="N234" s="28">
        <f>29988+6000+6000</f>
        <v>41988</v>
      </c>
      <c r="O234" s="28">
        <f>29988+6000+6000-9420</f>
        <v>32568</v>
      </c>
      <c r="P234" s="28">
        <f t="shared" si="46"/>
        <v>-9420</v>
      </c>
      <c r="Q234" s="28"/>
      <c r="R234" s="28"/>
      <c r="S234" s="28">
        <f t="shared" si="47"/>
        <v>0</v>
      </c>
      <c r="T234" s="28"/>
      <c r="U234" s="28"/>
      <c r="V234" s="28">
        <f t="shared" si="48"/>
        <v>0</v>
      </c>
      <c r="W234" s="28"/>
      <c r="X234" s="28"/>
      <c r="Y234" s="28">
        <f t="shared" si="49"/>
        <v>0</v>
      </c>
      <c r="Z234" s="28"/>
      <c r="AA234" s="28"/>
      <c r="AB234" s="28">
        <f t="shared" si="50"/>
        <v>0</v>
      </c>
    </row>
    <row r="235" spans="1:187" s="6" customFormat="1" x14ac:dyDescent="0.25">
      <c r="A235" s="24" t="s">
        <v>152</v>
      </c>
      <c r="B235" s="25">
        <f t="shared" si="51"/>
        <v>51580</v>
      </c>
      <c r="C235" s="25">
        <f t="shared" si="51"/>
        <v>51580</v>
      </c>
      <c r="D235" s="25">
        <f t="shared" si="51"/>
        <v>0</v>
      </c>
      <c r="E235" s="25">
        <f>SUM(E236:E242)</f>
        <v>0</v>
      </c>
      <c r="F235" s="25">
        <f>SUM(F236:F242)</f>
        <v>0</v>
      </c>
      <c r="G235" s="25">
        <f t="shared" si="43"/>
        <v>0</v>
      </c>
      <c r="H235" s="25">
        <f>SUM(H236:H242)</f>
        <v>0</v>
      </c>
      <c r="I235" s="25">
        <f>SUM(I236:I242)</f>
        <v>0</v>
      </c>
      <c r="J235" s="25">
        <f t="shared" si="44"/>
        <v>0</v>
      </c>
      <c r="K235" s="25">
        <f>SUM(K236:K242)</f>
        <v>0</v>
      </c>
      <c r="L235" s="25">
        <f>SUM(L236:L242)</f>
        <v>27444</v>
      </c>
      <c r="M235" s="25">
        <f t="shared" si="45"/>
        <v>27444</v>
      </c>
      <c r="N235" s="25">
        <f>SUM(N236:N242)</f>
        <v>11310</v>
      </c>
      <c r="O235" s="25">
        <f>SUM(O236:O242)</f>
        <v>11310</v>
      </c>
      <c r="P235" s="25">
        <f t="shared" si="46"/>
        <v>0</v>
      </c>
      <c r="Q235" s="25">
        <f>SUM(Q236:Q242)</f>
        <v>40270</v>
      </c>
      <c r="R235" s="25">
        <f>SUM(R236:R242)</f>
        <v>12826</v>
      </c>
      <c r="S235" s="25">
        <f t="shared" si="47"/>
        <v>-27444</v>
      </c>
      <c r="T235" s="25">
        <f>SUM(T236:T242)</f>
        <v>0</v>
      </c>
      <c r="U235" s="25">
        <f>SUM(U236:U242)</f>
        <v>0</v>
      </c>
      <c r="V235" s="25">
        <f t="shared" si="48"/>
        <v>0</v>
      </c>
      <c r="W235" s="25">
        <f>SUM(W236:W242)</f>
        <v>0</v>
      </c>
      <c r="X235" s="25">
        <f>SUM(X236:X242)</f>
        <v>0</v>
      </c>
      <c r="Y235" s="25">
        <f t="shared" si="49"/>
        <v>0</v>
      </c>
      <c r="Z235" s="25">
        <f>SUM(Z236:Z242)</f>
        <v>0</v>
      </c>
      <c r="AA235" s="25">
        <f>SUM(AA236:AA242)</f>
        <v>0</v>
      </c>
      <c r="AB235" s="25">
        <f t="shared" si="50"/>
        <v>0</v>
      </c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</row>
    <row r="236" spans="1:187" s="6" customFormat="1" ht="47.25" x14ac:dyDescent="0.25">
      <c r="A236" s="35" t="s">
        <v>216</v>
      </c>
      <c r="B236" s="31">
        <f t="shared" si="51"/>
        <v>6802</v>
      </c>
      <c r="C236" s="31">
        <f t="shared" si="51"/>
        <v>6802</v>
      </c>
      <c r="D236" s="31">
        <f t="shared" si="51"/>
        <v>0</v>
      </c>
      <c r="E236" s="31"/>
      <c r="F236" s="31"/>
      <c r="G236" s="31">
        <f t="shared" si="43"/>
        <v>0</v>
      </c>
      <c r="H236" s="31"/>
      <c r="I236" s="31"/>
      <c r="J236" s="31">
        <f t="shared" si="44"/>
        <v>0</v>
      </c>
      <c r="K236" s="31"/>
      <c r="L236" s="31"/>
      <c r="M236" s="31">
        <f t="shared" si="45"/>
        <v>0</v>
      </c>
      <c r="N236" s="31">
        <v>0</v>
      </c>
      <c r="O236" s="31">
        <v>0</v>
      </c>
      <c r="P236" s="31">
        <f t="shared" si="46"/>
        <v>0</v>
      </c>
      <c r="Q236" s="31">
        <f>7405-603</f>
        <v>6802</v>
      </c>
      <c r="R236" s="31">
        <f>7405-603</f>
        <v>6802</v>
      </c>
      <c r="S236" s="31">
        <f t="shared" si="47"/>
        <v>0</v>
      </c>
      <c r="T236" s="31"/>
      <c r="U236" s="31"/>
      <c r="V236" s="31">
        <f t="shared" si="48"/>
        <v>0</v>
      </c>
      <c r="W236" s="31"/>
      <c r="X236" s="31"/>
      <c r="Y236" s="31">
        <f t="shared" si="49"/>
        <v>0</v>
      </c>
      <c r="Z236" s="31"/>
      <c r="AA236" s="31"/>
      <c r="AB236" s="31">
        <f t="shared" si="50"/>
        <v>0</v>
      </c>
    </row>
    <row r="237" spans="1:187" s="6" customFormat="1" ht="31.5" x14ac:dyDescent="0.25">
      <c r="A237" s="32" t="s">
        <v>217</v>
      </c>
      <c r="B237" s="28">
        <f t="shared" si="51"/>
        <v>6024</v>
      </c>
      <c r="C237" s="28">
        <f t="shared" si="51"/>
        <v>6024</v>
      </c>
      <c r="D237" s="28">
        <f t="shared" si="51"/>
        <v>0</v>
      </c>
      <c r="E237" s="28"/>
      <c r="F237" s="28"/>
      <c r="G237" s="28">
        <f t="shared" si="43"/>
        <v>0</v>
      </c>
      <c r="H237" s="28"/>
      <c r="I237" s="28"/>
      <c r="J237" s="28">
        <f t="shared" si="44"/>
        <v>0</v>
      </c>
      <c r="K237" s="28"/>
      <c r="L237" s="28"/>
      <c r="M237" s="28">
        <f t="shared" si="45"/>
        <v>0</v>
      </c>
      <c r="N237" s="28">
        <v>0</v>
      </c>
      <c r="O237" s="28">
        <v>0</v>
      </c>
      <c r="P237" s="28">
        <f t="shared" si="46"/>
        <v>0</v>
      </c>
      <c r="Q237" s="28">
        <v>6024</v>
      </c>
      <c r="R237" s="28">
        <v>6024</v>
      </c>
      <c r="S237" s="28">
        <f t="shared" si="47"/>
        <v>0</v>
      </c>
      <c r="T237" s="28"/>
      <c r="U237" s="28"/>
      <c r="V237" s="28">
        <f t="shared" si="48"/>
        <v>0</v>
      </c>
      <c r="W237" s="28"/>
      <c r="X237" s="28"/>
      <c r="Y237" s="28">
        <f t="shared" si="49"/>
        <v>0</v>
      </c>
      <c r="Z237" s="28"/>
      <c r="AA237" s="28"/>
      <c r="AB237" s="28">
        <f t="shared" si="50"/>
        <v>0</v>
      </c>
    </row>
    <row r="238" spans="1:187" s="6" customFormat="1" ht="47.25" x14ac:dyDescent="0.25">
      <c r="A238" s="32" t="s">
        <v>218</v>
      </c>
      <c r="B238" s="28">
        <f t="shared" si="51"/>
        <v>19988</v>
      </c>
      <c r="C238" s="28">
        <f t="shared" si="51"/>
        <v>19988</v>
      </c>
      <c r="D238" s="28">
        <f t="shared" si="51"/>
        <v>0</v>
      </c>
      <c r="E238" s="28"/>
      <c r="F238" s="28"/>
      <c r="G238" s="28">
        <f t="shared" si="43"/>
        <v>0</v>
      </c>
      <c r="H238" s="28"/>
      <c r="I238" s="28"/>
      <c r="J238" s="28">
        <f t="shared" si="44"/>
        <v>0</v>
      </c>
      <c r="K238" s="28"/>
      <c r="L238" s="28">
        <f>19988</f>
        <v>19988</v>
      </c>
      <c r="M238" s="28">
        <f t="shared" si="45"/>
        <v>19988</v>
      </c>
      <c r="N238" s="28">
        <v>0</v>
      </c>
      <c r="O238" s="28">
        <v>0</v>
      </c>
      <c r="P238" s="28">
        <f t="shared" si="46"/>
        <v>0</v>
      </c>
      <c r="Q238" s="28">
        <v>19988</v>
      </c>
      <c r="R238" s="28">
        <f>19988-19988</f>
        <v>0</v>
      </c>
      <c r="S238" s="28">
        <f t="shared" si="47"/>
        <v>-19988</v>
      </c>
      <c r="T238" s="28"/>
      <c r="U238" s="28"/>
      <c r="V238" s="28">
        <f t="shared" si="48"/>
        <v>0</v>
      </c>
      <c r="W238" s="28"/>
      <c r="X238" s="28"/>
      <c r="Y238" s="28">
        <f t="shared" si="49"/>
        <v>0</v>
      </c>
      <c r="Z238" s="28"/>
      <c r="AA238" s="28"/>
      <c r="AB238" s="28">
        <f t="shared" si="50"/>
        <v>0</v>
      </c>
    </row>
    <row r="239" spans="1:187" s="6" customFormat="1" ht="31.5" x14ac:dyDescent="0.25">
      <c r="A239" s="32" t="s">
        <v>219</v>
      </c>
      <c r="B239" s="28">
        <f t="shared" si="51"/>
        <v>7456</v>
      </c>
      <c r="C239" s="28">
        <f t="shared" si="51"/>
        <v>7456</v>
      </c>
      <c r="D239" s="28">
        <f t="shared" si="51"/>
        <v>0</v>
      </c>
      <c r="E239" s="28"/>
      <c r="F239" s="28"/>
      <c r="G239" s="28">
        <f t="shared" si="43"/>
        <v>0</v>
      </c>
      <c r="H239" s="28"/>
      <c r="I239" s="28"/>
      <c r="J239" s="28">
        <f t="shared" si="44"/>
        <v>0</v>
      </c>
      <c r="K239" s="28"/>
      <c r="L239" s="28">
        <f>7456</f>
        <v>7456</v>
      </c>
      <c r="M239" s="28">
        <f t="shared" si="45"/>
        <v>7456</v>
      </c>
      <c r="N239" s="28">
        <v>0</v>
      </c>
      <c r="O239" s="28">
        <v>0</v>
      </c>
      <c r="P239" s="28">
        <f t="shared" si="46"/>
        <v>0</v>
      </c>
      <c r="Q239" s="28">
        <v>7456</v>
      </c>
      <c r="R239" s="28">
        <f>7456-7456</f>
        <v>0</v>
      </c>
      <c r="S239" s="28">
        <f t="shared" si="47"/>
        <v>-7456</v>
      </c>
      <c r="T239" s="28"/>
      <c r="U239" s="28"/>
      <c r="V239" s="28">
        <f t="shared" si="48"/>
        <v>0</v>
      </c>
      <c r="W239" s="28"/>
      <c r="X239" s="28"/>
      <c r="Y239" s="28">
        <f t="shared" si="49"/>
        <v>0</v>
      </c>
      <c r="Z239" s="28"/>
      <c r="AA239" s="28"/>
      <c r="AB239" s="28">
        <f t="shared" si="50"/>
        <v>0</v>
      </c>
    </row>
    <row r="240" spans="1:187" s="6" customFormat="1" ht="78.75" x14ac:dyDescent="0.25">
      <c r="A240" s="32" t="s">
        <v>220</v>
      </c>
      <c r="B240" s="28">
        <f t="shared" si="51"/>
        <v>5000</v>
      </c>
      <c r="C240" s="28">
        <f t="shared" si="51"/>
        <v>5000</v>
      </c>
      <c r="D240" s="28">
        <f t="shared" si="51"/>
        <v>0</v>
      </c>
      <c r="E240" s="28"/>
      <c r="F240" s="28"/>
      <c r="G240" s="28">
        <f t="shared" si="43"/>
        <v>0</v>
      </c>
      <c r="H240" s="28"/>
      <c r="I240" s="28"/>
      <c r="J240" s="28">
        <f t="shared" si="44"/>
        <v>0</v>
      </c>
      <c r="K240" s="28">
        <v>0</v>
      </c>
      <c r="L240" s="28">
        <v>0</v>
      </c>
      <c r="M240" s="28">
        <f t="shared" si="45"/>
        <v>0</v>
      </c>
      <c r="N240" s="28">
        <v>5000</v>
      </c>
      <c r="O240" s="28">
        <v>5000</v>
      </c>
      <c r="P240" s="28">
        <f t="shared" si="46"/>
        <v>0</v>
      </c>
      <c r="Q240" s="28">
        <v>0</v>
      </c>
      <c r="R240" s="28">
        <v>0</v>
      </c>
      <c r="S240" s="28">
        <f t="shared" si="47"/>
        <v>0</v>
      </c>
      <c r="T240" s="28"/>
      <c r="U240" s="28"/>
      <c r="V240" s="28">
        <f t="shared" si="48"/>
        <v>0</v>
      </c>
      <c r="W240" s="28"/>
      <c r="X240" s="28"/>
      <c r="Y240" s="28">
        <f t="shared" si="49"/>
        <v>0</v>
      </c>
      <c r="Z240" s="28"/>
      <c r="AA240" s="28"/>
      <c r="AB240" s="28">
        <f t="shared" si="50"/>
        <v>0</v>
      </c>
    </row>
    <row r="241" spans="1:187" s="6" customFormat="1" ht="94.5" x14ac:dyDescent="0.25">
      <c r="A241" s="32" t="s">
        <v>221</v>
      </c>
      <c r="B241" s="28">
        <f t="shared" si="51"/>
        <v>5000</v>
      </c>
      <c r="C241" s="28">
        <f t="shared" si="51"/>
        <v>5000</v>
      </c>
      <c r="D241" s="28">
        <f t="shared" si="51"/>
        <v>0</v>
      </c>
      <c r="E241" s="28"/>
      <c r="F241" s="28"/>
      <c r="G241" s="28">
        <f t="shared" si="43"/>
        <v>0</v>
      </c>
      <c r="H241" s="28"/>
      <c r="I241" s="28"/>
      <c r="J241" s="28">
        <f t="shared" si="44"/>
        <v>0</v>
      </c>
      <c r="K241" s="28">
        <v>0</v>
      </c>
      <c r="L241" s="28">
        <v>0</v>
      </c>
      <c r="M241" s="28">
        <f t="shared" si="45"/>
        <v>0</v>
      </c>
      <c r="N241" s="28">
        <v>5000</v>
      </c>
      <c r="O241" s="28">
        <v>5000</v>
      </c>
      <c r="P241" s="28">
        <f t="shared" si="46"/>
        <v>0</v>
      </c>
      <c r="Q241" s="28"/>
      <c r="R241" s="28"/>
      <c r="S241" s="28">
        <f t="shared" si="47"/>
        <v>0</v>
      </c>
      <c r="T241" s="28"/>
      <c r="U241" s="28"/>
      <c r="V241" s="28">
        <f t="shared" si="48"/>
        <v>0</v>
      </c>
      <c r="W241" s="28"/>
      <c r="X241" s="28"/>
      <c r="Y241" s="28">
        <f t="shared" si="49"/>
        <v>0</v>
      </c>
      <c r="Z241" s="28"/>
      <c r="AA241" s="28"/>
      <c r="AB241" s="28">
        <f t="shared" si="50"/>
        <v>0</v>
      </c>
    </row>
    <row r="242" spans="1:187" s="6" customFormat="1" ht="94.5" x14ac:dyDescent="0.25">
      <c r="A242" s="32" t="s">
        <v>222</v>
      </c>
      <c r="B242" s="28">
        <f t="shared" si="51"/>
        <v>1310</v>
      </c>
      <c r="C242" s="28">
        <f t="shared" si="51"/>
        <v>1310</v>
      </c>
      <c r="D242" s="28">
        <f t="shared" si="51"/>
        <v>0</v>
      </c>
      <c r="E242" s="28"/>
      <c r="F242" s="28"/>
      <c r="G242" s="28">
        <f t="shared" si="43"/>
        <v>0</v>
      </c>
      <c r="H242" s="28"/>
      <c r="I242" s="28"/>
      <c r="J242" s="28">
        <f t="shared" si="44"/>
        <v>0</v>
      </c>
      <c r="K242" s="28"/>
      <c r="L242" s="28"/>
      <c r="M242" s="28">
        <f t="shared" si="45"/>
        <v>0</v>
      </c>
      <c r="N242" s="28">
        <v>1310</v>
      </c>
      <c r="O242" s="28">
        <v>1310</v>
      </c>
      <c r="P242" s="28">
        <f t="shared" si="46"/>
        <v>0</v>
      </c>
      <c r="Q242" s="28">
        <v>0</v>
      </c>
      <c r="R242" s="28">
        <v>0</v>
      </c>
      <c r="S242" s="28">
        <f t="shared" si="47"/>
        <v>0</v>
      </c>
      <c r="T242" s="28"/>
      <c r="U242" s="28"/>
      <c r="V242" s="28">
        <f t="shared" si="48"/>
        <v>0</v>
      </c>
      <c r="W242" s="28"/>
      <c r="X242" s="28"/>
      <c r="Y242" s="28">
        <f t="shared" si="49"/>
        <v>0</v>
      </c>
      <c r="Z242" s="28"/>
      <c r="AA242" s="28"/>
      <c r="AB242" s="28">
        <f t="shared" si="50"/>
        <v>0</v>
      </c>
    </row>
    <row r="243" spans="1:187" s="6" customFormat="1" x14ac:dyDescent="0.25">
      <c r="A243" s="24" t="s">
        <v>108</v>
      </c>
      <c r="B243" s="25">
        <f t="shared" si="51"/>
        <v>60534</v>
      </c>
      <c r="C243" s="25">
        <f t="shared" si="51"/>
        <v>60534</v>
      </c>
      <c r="D243" s="25">
        <f t="shared" si="51"/>
        <v>0</v>
      </c>
      <c r="E243" s="25">
        <f>SUM(E244)</f>
        <v>0</v>
      </c>
      <c r="F243" s="25">
        <f>SUM(F244)</f>
        <v>0</v>
      </c>
      <c r="G243" s="25">
        <f t="shared" si="43"/>
        <v>0</v>
      </c>
      <c r="H243" s="25">
        <f>SUM(H244)</f>
        <v>0</v>
      </c>
      <c r="I243" s="25">
        <f>SUM(I244)</f>
        <v>0</v>
      </c>
      <c r="J243" s="25">
        <f t="shared" si="44"/>
        <v>0</v>
      </c>
      <c r="K243" s="25">
        <f>SUM(K244)</f>
        <v>0</v>
      </c>
      <c r="L243" s="25">
        <f>SUM(L244)</f>
        <v>0</v>
      </c>
      <c r="M243" s="25">
        <f t="shared" si="45"/>
        <v>0</v>
      </c>
      <c r="N243" s="25">
        <f>SUM(N244)</f>
        <v>0</v>
      </c>
      <c r="O243" s="25">
        <f>SUM(O244)</f>
        <v>0</v>
      </c>
      <c r="P243" s="25">
        <f t="shared" si="46"/>
        <v>0</v>
      </c>
      <c r="Q243" s="25">
        <f>SUM(Q244)</f>
        <v>60534</v>
      </c>
      <c r="R243" s="25">
        <f>SUM(R244)</f>
        <v>60534</v>
      </c>
      <c r="S243" s="25">
        <f t="shared" si="47"/>
        <v>0</v>
      </c>
      <c r="T243" s="25">
        <f>SUM(T244)</f>
        <v>0</v>
      </c>
      <c r="U243" s="25">
        <f>SUM(U244)</f>
        <v>0</v>
      </c>
      <c r="V243" s="25">
        <f t="shared" si="48"/>
        <v>0</v>
      </c>
      <c r="W243" s="25">
        <f>SUM(W244)</f>
        <v>0</v>
      </c>
      <c r="X243" s="25">
        <f>SUM(X244)</f>
        <v>0</v>
      </c>
      <c r="Y243" s="25">
        <f t="shared" si="49"/>
        <v>0</v>
      </c>
      <c r="Z243" s="25">
        <f>SUM(Z244)</f>
        <v>0</v>
      </c>
      <c r="AA243" s="25">
        <f>SUM(AA244)</f>
        <v>0</v>
      </c>
      <c r="AB243" s="25">
        <f t="shared" si="50"/>
        <v>0</v>
      </c>
    </row>
    <row r="244" spans="1:187" s="6" customFormat="1" ht="63" x14ac:dyDescent="0.25">
      <c r="A244" s="30" t="s">
        <v>223</v>
      </c>
      <c r="B244" s="31">
        <f t="shared" si="51"/>
        <v>60534</v>
      </c>
      <c r="C244" s="31">
        <f t="shared" si="51"/>
        <v>60534</v>
      </c>
      <c r="D244" s="31">
        <f t="shared" si="51"/>
        <v>0</v>
      </c>
      <c r="E244" s="31"/>
      <c r="F244" s="31"/>
      <c r="G244" s="31">
        <f t="shared" si="43"/>
        <v>0</v>
      </c>
      <c r="H244" s="31"/>
      <c r="I244" s="31"/>
      <c r="J244" s="31">
        <f t="shared" si="44"/>
        <v>0</v>
      </c>
      <c r="K244" s="31">
        <v>0</v>
      </c>
      <c r="L244" s="31">
        <v>0</v>
      </c>
      <c r="M244" s="31">
        <f t="shared" si="45"/>
        <v>0</v>
      </c>
      <c r="N244" s="31"/>
      <c r="O244" s="31"/>
      <c r="P244" s="31">
        <f t="shared" si="46"/>
        <v>0</v>
      </c>
      <c r="Q244" s="31">
        <v>60534</v>
      </c>
      <c r="R244" s="31">
        <v>60534</v>
      </c>
      <c r="S244" s="31">
        <f t="shared" si="47"/>
        <v>0</v>
      </c>
      <c r="T244" s="31"/>
      <c r="U244" s="31"/>
      <c r="V244" s="31">
        <f t="shared" si="48"/>
        <v>0</v>
      </c>
      <c r="W244" s="31">
        <v>0</v>
      </c>
      <c r="X244" s="31">
        <v>0</v>
      </c>
      <c r="Y244" s="31">
        <f t="shared" si="49"/>
        <v>0</v>
      </c>
      <c r="Z244" s="31"/>
      <c r="AA244" s="31"/>
      <c r="AB244" s="31">
        <f t="shared" si="50"/>
        <v>0</v>
      </c>
    </row>
    <row r="245" spans="1:187" s="6" customFormat="1" ht="31.5" x14ac:dyDescent="0.25">
      <c r="A245" s="24" t="s">
        <v>62</v>
      </c>
      <c r="B245" s="25">
        <f t="shared" si="51"/>
        <v>13786795</v>
      </c>
      <c r="C245" s="25">
        <f t="shared" si="51"/>
        <v>16339000</v>
      </c>
      <c r="D245" s="25">
        <f t="shared" si="51"/>
        <v>2552205</v>
      </c>
      <c r="E245" s="25">
        <f>SUM(E248,E253,E265,E257,E246,E285)</f>
        <v>152495</v>
      </c>
      <c r="F245" s="25">
        <f>SUM(F248,F253,F265,F257,F246,F285)</f>
        <v>139775</v>
      </c>
      <c r="G245" s="25">
        <f t="shared" si="43"/>
        <v>-12720</v>
      </c>
      <c r="H245" s="25">
        <f t="shared" ref="H245:I245" si="52">SUM(H248,H253,H265,H257,H246,H285)</f>
        <v>25276</v>
      </c>
      <c r="I245" s="25">
        <f t="shared" si="52"/>
        <v>25276</v>
      </c>
      <c r="J245" s="25">
        <f t="shared" si="44"/>
        <v>0</v>
      </c>
      <c r="K245" s="25">
        <f t="shared" ref="K245:L245" si="53">SUM(K248,K253,K265,K257,K246,K285)</f>
        <v>704203</v>
      </c>
      <c r="L245" s="25">
        <f t="shared" si="53"/>
        <v>808056</v>
      </c>
      <c r="M245" s="25">
        <f t="shared" si="45"/>
        <v>103853</v>
      </c>
      <c r="N245" s="25">
        <f t="shared" ref="N245:O245" si="54">SUM(N248,N253,N265,N257,N246,N285)</f>
        <v>7418605</v>
      </c>
      <c r="O245" s="25">
        <f t="shared" si="54"/>
        <v>7418605</v>
      </c>
      <c r="P245" s="25">
        <f t="shared" si="46"/>
        <v>0</v>
      </c>
      <c r="Q245" s="25">
        <f t="shared" ref="Q245:R245" si="55">SUM(Q248,Q253,Q265,Q257,Q246,Q285)</f>
        <v>0</v>
      </c>
      <c r="R245" s="25">
        <f t="shared" si="55"/>
        <v>0</v>
      </c>
      <c r="S245" s="25">
        <f t="shared" si="47"/>
        <v>0</v>
      </c>
      <c r="T245" s="25">
        <f t="shared" ref="T245:U245" si="56">SUM(T248,T253,T265,T257,T246,T285)</f>
        <v>4886216</v>
      </c>
      <c r="U245" s="25">
        <f t="shared" si="56"/>
        <v>4894568</v>
      </c>
      <c r="V245" s="25">
        <f t="shared" si="48"/>
        <v>8352</v>
      </c>
      <c r="W245" s="25">
        <f t="shared" ref="W245:X245" si="57">SUM(W248,W253,W265,W257,W246,W285)</f>
        <v>0</v>
      </c>
      <c r="X245" s="25">
        <f t="shared" si="57"/>
        <v>502010</v>
      </c>
      <c r="Y245" s="25">
        <f t="shared" si="49"/>
        <v>502010</v>
      </c>
      <c r="Z245" s="25">
        <f t="shared" ref="Z245:AA245" si="58">SUM(Z248,Z253,Z265,Z257,Z246,Z285)</f>
        <v>600000</v>
      </c>
      <c r="AA245" s="25">
        <f t="shared" si="58"/>
        <v>2550710</v>
      </c>
      <c r="AB245" s="25">
        <f t="shared" si="50"/>
        <v>1950710</v>
      </c>
    </row>
    <row r="246" spans="1:187" s="6" customFormat="1" x14ac:dyDescent="0.25">
      <c r="A246" s="24" t="s">
        <v>90</v>
      </c>
      <c r="B246" s="25">
        <f t="shared" si="51"/>
        <v>1031</v>
      </c>
      <c r="C246" s="25">
        <f t="shared" si="51"/>
        <v>1031</v>
      </c>
      <c r="D246" s="25">
        <f t="shared" si="51"/>
        <v>0</v>
      </c>
      <c r="E246" s="25">
        <f>SUM(E247)</f>
        <v>0</v>
      </c>
      <c r="F246" s="25">
        <f>SUM(F247)</f>
        <v>0</v>
      </c>
      <c r="G246" s="25">
        <f t="shared" si="43"/>
        <v>0</v>
      </c>
      <c r="H246" s="25">
        <f>SUM(H247)</f>
        <v>0</v>
      </c>
      <c r="I246" s="25">
        <f>SUM(I247)</f>
        <v>0</v>
      </c>
      <c r="J246" s="25">
        <f t="shared" si="44"/>
        <v>0</v>
      </c>
      <c r="K246" s="25">
        <f>SUM(K247)</f>
        <v>0</v>
      </c>
      <c r="L246" s="25">
        <f>SUM(L247)</f>
        <v>0</v>
      </c>
      <c r="M246" s="25">
        <f t="shared" si="45"/>
        <v>0</v>
      </c>
      <c r="N246" s="25">
        <f>SUM(N247)</f>
        <v>1031</v>
      </c>
      <c r="O246" s="25">
        <f>SUM(O247)</f>
        <v>1031</v>
      </c>
      <c r="P246" s="25">
        <f t="shared" si="46"/>
        <v>0</v>
      </c>
      <c r="Q246" s="25">
        <f>SUM(Q247)</f>
        <v>0</v>
      </c>
      <c r="R246" s="25">
        <f>SUM(R247)</f>
        <v>0</v>
      </c>
      <c r="S246" s="25">
        <f t="shared" si="47"/>
        <v>0</v>
      </c>
      <c r="T246" s="25">
        <f>SUM(T247)</f>
        <v>0</v>
      </c>
      <c r="U246" s="25">
        <f>SUM(U247)</f>
        <v>0</v>
      </c>
      <c r="V246" s="25">
        <f t="shared" si="48"/>
        <v>0</v>
      </c>
      <c r="W246" s="25">
        <f>SUM(W247)</f>
        <v>0</v>
      </c>
      <c r="X246" s="25">
        <f>SUM(X247)</f>
        <v>0</v>
      </c>
      <c r="Y246" s="25">
        <f t="shared" si="49"/>
        <v>0</v>
      </c>
      <c r="Z246" s="25">
        <f>SUM(Z247)</f>
        <v>0</v>
      </c>
      <c r="AA246" s="25">
        <f>SUM(AA247)</f>
        <v>0</v>
      </c>
      <c r="AB246" s="25">
        <f t="shared" si="50"/>
        <v>0</v>
      </c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</row>
    <row r="247" spans="1:187" s="6" customFormat="1" ht="78.75" x14ac:dyDescent="0.25">
      <c r="A247" s="35" t="s">
        <v>224</v>
      </c>
      <c r="B247" s="31">
        <f t="shared" si="51"/>
        <v>1031</v>
      </c>
      <c r="C247" s="31">
        <f t="shared" si="51"/>
        <v>1031</v>
      </c>
      <c r="D247" s="31">
        <f t="shared" si="51"/>
        <v>0</v>
      </c>
      <c r="E247" s="31"/>
      <c r="F247" s="31"/>
      <c r="G247" s="31">
        <f t="shared" si="43"/>
        <v>0</v>
      </c>
      <c r="H247" s="31"/>
      <c r="I247" s="31"/>
      <c r="J247" s="31">
        <f t="shared" si="44"/>
        <v>0</v>
      </c>
      <c r="K247" s="31">
        <v>0</v>
      </c>
      <c r="L247" s="31">
        <v>0</v>
      </c>
      <c r="M247" s="31">
        <f t="shared" si="45"/>
        <v>0</v>
      </c>
      <c r="N247" s="31">
        <v>1031</v>
      </c>
      <c r="O247" s="31">
        <v>1031</v>
      </c>
      <c r="P247" s="31">
        <f t="shared" si="46"/>
        <v>0</v>
      </c>
      <c r="Q247" s="31"/>
      <c r="R247" s="31"/>
      <c r="S247" s="31">
        <f t="shared" si="47"/>
        <v>0</v>
      </c>
      <c r="T247" s="31"/>
      <c r="U247" s="31"/>
      <c r="V247" s="31">
        <f t="shared" si="48"/>
        <v>0</v>
      </c>
      <c r="W247" s="31"/>
      <c r="X247" s="31"/>
      <c r="Y247" s="31">
        <f t="shared" si="49"/>
        <v>0</v>
      </c>
      <c r="Z247" s="31"/>
      <c r="AA247" s="31"/>
      <c r="AB247" s="31">
        <f t="shared" si="50"/>
        <v>0</v>
      </c>
    </row>
    <row r="248" spans="1:187" s="23" customFormat="1" ht="31.5" x14ac:dyDescent="0.25">
      <c r="A248" s="24" t="s">
        <v>97</v>
      </c>
      <c r="B248" s="25">
        <f t="shared" si="51"/>
        <v>1214545</v>
      </c>
      <c r="C248" s="25">
        <f t="shared" si="51"/>
        <v>1219058</v>
      </c>
      <c r="D248" s="25">
        <f t="shared" si="51"/>
        <v>4513</v>
      </c>
      <c r="E248" s="25">
        <f>SUM(E249:E252)</f>
        <v>0</v>
      </c>
      <c r="F248" s="25">
        <f>SUM(F249:F252)</f>
        <v>0</v>
      </c>
      <c r="G248" s="25">
        <f t="shared" si="43"/>
        <v>0</v>
      </c>
      <c r="H248" s="25">
        <f>SUM(H249:H252)</f>
        <v>0</v>
      </c>
      <c r="I248" s="25">
        <f>SUM(I249:I252)</f>
        <v>0</v>
      </c>
      <c r="J248" s="25">
        <f t="shared" si="44"/>
        <v>0</v>
      </c>
      <c r="K248" s="25">
        <f>SUM(K249:K252)</f>
        <v>13345</v>
      </c>
      <c r="L248" s="25">
        <f>SUM(L249:L252)</f>
        <v>17858</v>
      </c>
      <c r="M248" s="25">
        <f t="shared" si="45"/>
        <v>4513</v>
      </c>
      <c r="N248" s="25">
        <f>SUM(N249:N252)</f>
        <v>1201200</v>
      </c>
      <c r="O248" s="25">
        <f>SUM(O249:O252)</f>
        <v>1201200</v>
      </c>
      <c r="P248" s="25">
        <f t="shared" si="46"/>
        <v>0</v>
      </c>
      <c r="Q248" s="25">
        <f>SUM(Q249:Q252)</f>
        <v>0</v>
      </c>
      <c r="R248" s="25">
        <f>SUM(R249:R252)</f>
        <v>0</v>
      </c>
      <c r="S248" s="25">
        <f t="shared" si="47"/>
        <v>0</v>
      </c>
      <c r="T248" s="25">
        <f>SUM(T249:T252)</f>
        <v>0</v>
      </c>
      <c r="U248" s="25">
        <f>SUM(U249:U252)</f>
        <v>0</v>
      </c>
      <c r="V248" s="25">
        <f t="shared" si="48"/>
        <v>0</v>
      </c>
      <c r="W248" s="25">
        <f>SUM(W249:W252)</f>
        <v>0</v>
      </c>
      <c r="X248" s="25">
        <f>SUM(X249:X252)</f>
        <v>0</v>
      </c>
      <c r="Y248" s="25">
        <f t="shared" si="49"/>
        <v>0</v>
      </c>
      <c r="Z248" s="25">
        <f>SUM(Z249:Z252)</f>
        <v>0</v>
      </c>
      <c r="AA248" s="25">
        <f>SUM(AA249:AA252)</f>
        <v>0</v>
      </c>
      <c r="AB248" s="25">
        <f t="shared" si="50"/>
        <v>0</v>
      </c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</row>
    <row r="249" spans="1:187" s="6" customFormat="1" ht="63" x14ac:dyDescent="0.25">
      <c r="A249" s="32" t="s">
        <v>225</v>
      </c>
      <c r="B249" s="31">
        <f t="shared" si="51"/>
        <v>1200</v>
      </c>
      <c r="C249" s="31">
        <f t="shared" si="51"/>
        <v>1200</v>
      </c>
      <c r="D249" s="31">
        <f t="shared" si="51"/>
        <v>0</v>
      </c>
      <c r="E249" s="31">
        <v>0</v>
      </c>
      <c r="F249" s="31">
        <v>0</v>
      </c>
      <c r="G249" s="31">
        <f t="shared" si="43"/>
        <v>0</v>
      </c>
      <c r="H249" s="31"/>
      <c r="I249" s="31"/>
      <c r="J249" s="31">
        <f t="shared" si="44"/>
        <v>0</v>
      </c>
      <c r="K249" s="31">
        <v>0</v>
      </c>
      <c r="L249" s="31">
        <v>0</v>
      </c>
      <c r="M249" s="31">
        <f t="shared" si="45"/>
        <v>0</v>
      </c>
      <c r="N249" s="31">
        <v>1200</v>
      </c>
      <c r="O249" s="31">
        <v>1200</v>
      </c>
      <c r="P249" s="31">
        <f t="shared" si="46"/>
        <v>0</v>
      </c>
      <c r="Q249" s="31"/>
      <c r="R249" s="31"/>
      <c r="S249" s="31">
        <f t="shared" si="47"/>
        <v>0</v>
      </c>
      <c r="T249" s="31"/>
      <c r="U249" s="31"/>
      <c r="V249" s="31">
        <f t="shared" si="48"/>
        <v>0</v>
      </c>
      <c r="W249" s="31"/>
      <c r="X249" s="31"/>
      <c r="Y249" s="31">
        <f t="shared" si="49"/>
        <v>0</v>
      </c>
      <c r="Z249" s="31"/>
      <c r="AA249" s="31"/>
      <c r="AB249" s="31">
        <f t="shared" si="50"/>
        <v>0</v>
      </c>
    </row>
    <row r="250" spans="1:187" s="6" customFormat="1" x14ac:dyDescent="0.25">
      <c r="A250" s="35" t="s">
        <v>226</v>
      </c>
      <c r="B250" s="31">
        <f t="shared" si="51"/>
        <v>0</v>
      </c>
      <c r="C250" s="31">
        <f t="shared" si="51"/>
        <v>4513</v>
      </c>
      <c r="D250" s="31">
        <f t="shared" si="51"/>
        <v>4513</v>
      </c>
      <c r="E250" s="31"/>
      <c r="F250" s="31"/>
      <c r="G250" s="31">
        <f t="shared" si="43"/>
        <v>0</v>
      </c>
      <c r="H250" s="31"/>
      <c r="I250" s="31"/>
      <c r="J250" s="31">
        <f t="shared" si="44"/>
        <v>0</v>
      </c>
      <c r="K250" s="31"/>
      <c r="L250" s="31">
        <v>4513</v>
      </c>
      <c r="M250" s="31">
        <f t="shared" si="45"/>
        <v>4513</v>
      </c>
      <c r="N250" s="31"/>
      <c r="O250" s="31"/>
      <c r="P250" s="31">
        <f t="shared" si="46"/>
        <v>0</v>
      </c>
      <c r="Q250" s="31"/>
      <c r="R250" s="31"/>
      <c r="S250" s="31">
        <f t="shared" si="47"/>
        <v>0</v>
      </c>
      <c r="T250" s="31"/>
      <c r="U250" s="31"/>
      <c r="V250" s="31">
        <f t="shared" si="48"/>
        <v>0</v>
      </c>
      <c r="W250" s="31"/>
      <c r="X250" s="31"/>
      <c r="Y250" s="31">
        <f t="shared" si="49"/>
        <v>0</v>
      </c>
      <c r="Z250" s="31"/>
      <c r="AA250" s="31"/>
      <c r="AB250" s="31">
        <f t="shared" si="50"/>
        <v>0</v>
      </c>
    </row>
    <row r="251" spans="1:187" s="6" customFormat="1" ht="31.5" x14ac:dyDescent="0.25">
      <c r="A251" s="32" t="s">
        <v>227</v>
      </c>
      <c r="B251" s="31">
        <f t="shared" si="51"/>
        <v>13345</v>
      </c>
      <c r="C251" s="31">
        <f t="shared" si="51"/>
        <v>13345</v>
      </c>
      <c r="D251" s="31">
        <f t="shared" si="51"/>
        <v>0</v>
      </c>
      <c r="E251" s="31">
        <v>0</v>
      </c>
      <c r="F251" s="31">
        <v>0</v>
      </c>
      <c r="G251" s="31">
        <f t="shared" si="43"/>
        <v>0</v>
      </c>
      <c r="H251" s="31"/>
      <c r="I251" s="31"/>
      <c r="J251" s="31">
        <f t="shared" si="44"/>
        <v>0</v>
      </c>
      <c r="K251" s="31">
        <v>13345</v>
      </c>
      <c r="L251" s="31">
        <v>13345</v>
      </c>
      <c r="M251" s="31">
        <f t="shared" si="45"/>
        <v>0</v>
      </c>
      <c r="N251" s="31"/>
      <c r="O251" s="31"/>
      <c r="P251" s="31">
        <f t="shared" si="46"/>
        <v>0</v>
      </c>
      <c r="Q251" s="31"/>
      <c r="R251" s="31"/>
      <c r="S251" s="31">
        <f t="shared" si="47"/>
        <v>0</v>
      </c>
      <c r="T251" s="31"/>
      <c r="U251" s="31"/>
      <c r="V251" s="31">
        <f t="shared" si="48"/>
        <v>0</v>
      </c>
      <c r="W251" s="31"/>
      <c r="X251" s="31"/>
      <c r="Y251" s="31">
        <f t="shared" si="49"/>
        <v>0</v>
      </c>
      <c r="Z251" s="31"/>
      <c r="AA251" s="31"/>
      <c r="AB251" s="31">
        <f t="shared" si="50"/>
        <v>0</v>
      </c>
    </row>
    <row r="252" spans="1:187" s="6" customFormat="1" ht="78.75" x14ac:dyDescent="0.25">
      <c r="A252" s="35" t="s">
        <v>228</v>
      </c>
      <c r="B252" s="31">
        <f t="shared" si="51"/>
        <v>1200000</v>
      </c>
      <c r="C252" s="31">
        <f t="shared" si="51"/>
        <v>1200000</v>
      </c>
      <c r="D252" s="31">
        <f t="shared" si="51"/>
        <v>0</v>
      </c>
      <c r="E252" s="31"/>
      <c r="F252" s="31"/>
      <c r="G252" s="31">
        <f t="shared" si="43"/>
        <v>0</v>
      </c>
      <c r="H252" s="31"/>
      <c r="I252" s="31"/>
      <c r="J252" s="31">
        <f t="shared" si="44"/>
        <v>0</v>
      </c>
      <c r="K252" s="31">
        <v>0</v>
      </c>
      <c r="L252" s="31">
        <v>0</v>
      </c>
      <c r="M252" s="31">
        <f t="shared" si="45"/>
        <v>0</v>
      </c>
      <c r="N252" s="31">
        <v>1200000</v>
      </c>
      <c r="O252" s="31">
        <v>1200000</v>
      </c>
      <c r="P252" s="31">
        <f t="shared" si="46"/>
        <v>0</v>
      </c>
      <c r="Q252" s="31"/>
      <c r="R252" s="31"/>
      <c r="S252" s="31">
        <f t="shared" si="47"/>
        <v>0</v>
      </c>
      <c r="T252" s="31"/>
      <c r="U252" s="31"/>
      <c r="V252" s="31">
        <f t="shared" si="48"/>
        <v>0</v>
      </c>
      <c r="W252" s="31"/>
      <c r="X252" s="31"/>
      <c r="Y252" s="31">
        <f t="shared" si="49"/>
        <v>0</v>
      </c>
      <c r="Z252" s="31"/>
      <c r="AA252" s="31"/>
      <c r="AB252" s="31">
        <f t="shared" si="50"/>
        <v>0</v>
      </c>
    </row>
    <row r="253" spans="1:187" s="6" customFormat="1" x14ac:dyDescent="0.25">
      <c r="A253" s="24" t="s">
        <v>101</v>
      </c>
      <c r="B253" s="25">
        <f t="shared" si="51"/>
        <v>468000</v>
      </c>
      <c r="C253" s="25">
        <f t="shared" si="51"/>
        <v>468000</v>
      </c>
      <c r="D253" s="25">
        <f t="shared" si="51"/>
        <v>0</v>
      </c>
      <c r="E253" s="25">
        <f>SUM(E254:E256)</f>
        <v>0</v>
      </c>
      <c r="F253" s="25">
        <f>SUM(F254:F256)</f>
        <v>0</v>
      </c>
      <c r="G253" s="25">
        <f t="shared" si="43"/>
        <v>0</v>
      </c>
      <c r="H253" s="25">
        <f>SUM(H254:H256)</f>
        <v>0</v>
      </c>
      <c r="I253" s="25">
        <f>SUM(I254:I256)</f>
        <v>0</v>
      </c>
      <c r="J253" s="25">
        <f t="shared" si="44"/>
        <v>0</v>
      </c>
      <c r="K253" s="25">
        <f>SUM(K254:K256)</f>
        <v>468000</v>
      </c>
      <c r="L253" s="25">
        <f>SUM(L254:L256)</f>
        <v>468000</v>
      </c>
      <c r="M253" s="25">
        <f t="shared" si="45"/>
        <v>0</v>
      </c>
      <c r="N253" s="25">
        <f>SUM(N254:N256)</f>
        <v>0</v>
      </c>
      <c r="O253" s="25">
        <f>SUM(O254:O256)</f>
        <v>0</v>
      </c>
      <c r="P253" s="25">
        <f t="shared" si="46"/>
        <v>0</v>
      </c>
      <c r="Q253" s="25">
        <f>SUM(Q254:Q256)</f>
        <v>0</v>
      </c>
      <c r="R253" s="25">
        <f>SUM(R254:R256)</f>
        <v>0</v>
      </c>
      <c r="S253" s="25">
        <f t="shared" si="47"/>
        <v>0</v>
      </c>
      <c r="T253" s="25">
        <f>SUM(T254:T256)</f>
        <v>0</v>
      </c>
      <c r="U253" s="25">
        <f>SUM(U254:U256)</f>
        <v>0</v>
      </c>
      <c r="V253" s="25">
        <f t="shared" si="48"/>
        <v>0</v>
      </c>
      <c r="W253" s="25">
        <f>SUM(W254:W256)</f>
        <v>0</v>
      </c>
      <c r="X253" s="25">
        <f>SUM(X254:X256)</f>
        <v>0</v>
      </c>
      <c r="Y253" s="25">
        <f t="shared" si="49"/>
        <v>0</v>
      </c>
      <c r="Z253" s="25">
        <f>SUM(Z254:Z256)</f>
        <v>0</v>
      </c>
      <c r="AA253" s="25">
        <f>SUM(AA254:AA256)</f>
        <v>0</v>
      </c>
      <c r="AB253" s="25">
        <f t="shared" si="50"/>
        <v>0</v>
      </c>
    </row>
    <row r="254" spans="1:187" s="6" customFormat="1" x14ac:dyDescent="0.25">
      <c r="A254" s="35" t="s">
        <v>229</v>
      </c>
      <c r="B254" s="31">
        <f t="shared" si="51"/>
        <v>186000</v>
      </c>
      <c r="C254" s="31">
        <f t="shared" si="51"/>
        <v>186000</v>
      </c>
      <c r="D254" s="31">
        <f t="shared" si="51"/>
        <v>0</v>
      </c>
      <c r="E254" s="31"/>
      <c r="F254" s="31"/>
      <c r="G254" s="31">
        <f t="shared" si="43"/>
        <v>0</v>
      </c>
      <c r="H254" s="31"/>
      <c r="I254" s="31"/>
      <c r="J254" s="31">
        <f t="shared" si="44"/>
        <v>0</v>
      </c>
      <c r="K254" s="31">
        <v>186000</v>
      </c>
      <c r="L254" s="31">
        <v>186000</v>
      </c>
      <c r="M254" s="31">
        <f t="shared" si="45"/>
        <v>0</v>
      </c>
      <c r="N254" s="31"/>
      <c r="O254" s="31"/>
      <c r="P254" s="31">
        <f t="shared" si="46"/>
        <v>0</v>
      </c>
      <c r="Q254" s="31"/>
      <c r="R254" s="31"/>
      <c r="S254" s="31">
        <f t="shared" si="47"/>
        <v>0</v>
      </c>
      <c r="T254" s="31"/>
      <c r="U254" s="31"/>
      <c r="V254" s="31">
        <f t="shared" si="48"/>
        <v>0</v>
      </c>
      <c r="W254" s="31"/>
      <c r="X254" s="31"/>
      <c r="Y254" s="31">
        <f t="shared" si="49"/>
        <v>0</v>
      </c>
      <c r="Z254" s="31"/>
      <c r="AA254" s="31"/>
      <c r="AB254" s="31">
        <f t="shared" si="50"/>
        <v>0</v>
      </c>
    </row>
    <row r="255" spans="1:187" s="6" customFormat="1" ht="31.5" x14ac:dyDescent="0.25">
      <c r="A255" s="35" t="s">
        <v>230</v>
      </c>
      <c r="B255" s="31">
        <f t="shared" si="51"/>
        <v>222000</v>
      </c>
      <c r="C255" s="31">
        <f t="shared" si="51"/>
        <v>222000</v>
      </c>
      <c r="D255" s="31">
        <f t="shared" si="51"/>
        <v>0</v>
      </c>
      <c r="E255" s="31"/>
      <c r="F255" s="31"/>
      <c r="G255" s="31">
        <f t="shared" si="43"/>
        <v>0</v>
      </c>
      <c r="H255" s="31"/>
      <c r="I255" s="31"/>
      <c r="J255" s="31">
        <f t="shared" si="44"/>
        <v>0</v>
      </c>
      <c r="K255" s="31">
        <v>222000</v>
      </c>
      <c r="L255" s="31">
        <v>222000</v>
      </c>
      <c r="M255" s="31">
        <f t="shared" si="45"/>
        <v>0</v>
      </c>
      <c r="N255" s="31"/>
      <c r="O255" s="31"/>
      <c r="P255" s="31">
        <f t="shared" si="46"/>
        <v>0</v>
      </c>
      <c r="Q255" s="31"/>
      <c r="R255" s="31"/>
      <c r="S255" s="31">
        <f t="shared" si="47"/>
        <v>0</v>
      </c>
      <c r="T255" s="31"/>
      <c r="U255" s="31"/>
      <c r="V255" s="31">
        <f t="shared" si="48"/>
        <v>0</v>
      </c>
      <c r="W255" s="31"/>
      <c r="X255" s="31"/>
      <c r="Y255" s="31">
        <f t="shared" si="49"/>
        <v>0</v>
      </c>
      <c r="Z255" s="31"/>
      <c r="AA255" s="31"/>
      <c r="AB255" s="31">
        <f t="shared" si="50"/>
        <v>0</v>
      </c>
    </row>
    <row r="256" spans="1:187" s="6" customFormat="1" x14ac:dyDescent="0.25">
      <c r="A256" s="35" t="s">
        <v>231</v>
      </c>
      <c r="B256" s="31">
        <f t="shared" si="51"/>
        <v>60000</v>
      </c>
      <c r="C256" s="31">
        <f t="shared" si="51"/>
        <v>60000</v>
      </c>
      <c r="D256" s="31">
        <f t="shared" si="51"/>
        <v>0</v>
      </c>
      <c r="E256" s="31"/>
      <c r="F256" s="31"/>
      <c r="G256" s="31">
        <f t="shared" si="43"/>
        <v>0</v>
      </c>
      <c r="H256" s="31"/>
      <c r="I256" s="31"/>
      <c r="J256" s="31">
        <f t="shared" si="44"/>
        <v>0</v>
      </c>
      <c r="K256" s="31">
        <v>60000</v>
      </c>
      <c r="L256" s="31">
        <v>60000</v>
      </c>
      <c r="M256" s="31">
        <f t="shared" si="45"/>
        <v>0</v>
      </c>
      <c r="N256" s="31"/>
      <c r="O256" s="31"/>
      <c r="P256" s="31">
        <f t="shared" si="46"/>
        <v>0</v>
      </c>
      <c r="Q256" s="31"/>
      <c r="R256" s="31"/>
      <c r="S256" s="31">
        <f t="shared" si="47"/>
        <v>0</v>
      </c>
      <c r="T256" s="31"/>
      <c r="U256" s="31"/>
      <c r="V256" s="31">
        <f t="shared" si="48"/>
        <v>0</v>
      </c>
      <c r="W256" s="31"/>
      <c r="X256" s="31"/>
      <c r="Y256" s="31">
        <f t="shared" si="49"/>
        <v>0</v>
      </c>
      <c r="Z256" s="31"/>
      <c r="AA256" s="31"/>
      <c r="AB256" s="31">
        <f t="shared" si="50"/>
        <v>0</v>
      </c>
    </row>
    <row r="257" spans="1:28" s="6" customFormat="1" x14ac:dyDescent="0.25">
      <c r="A257" s="24" t="s">
        <v>152</v>
      </c>
      <c r="B257" s="25">
        <f t="shared" si="51"/>
        <v>33682</v>
      </c>
      <c r="C257" s="25">
        <f t="shared" si="51"/>
        <v>76426</v>
      </c>
      <c r="D257" s="25">
        <f t="shared" si="51"/>
        <v>42744</v>
      </c>
      <c r="E257" s="25">
        <f>SUM(E258:E264)</f>
        <v>0</v>
      </c>
      <c r="F257" s="25">
        <f>SUM(F258:F264)</f>
        <v>0</v>
      </c>
      <c r="G257" s="25">
        <f t="shared" si="43"/>
        <v>0</v>
      </c>
      <c r="H257" s="25">
        <f>SUM(H258:H264)</f>
        <v>0</v>
      </c>
      <c r="I257" s="25">
        <f>SUM(I258:I264)</f>
        <v>0</v>
      </c>
      <c r="J257" s="25">
        <f t="shared" si="44"/>
        <v>0</v>
      </c>
      <c r="K257" s="25">
        <f>SUM(K258:K264)</f>
        <v>33682</v>
      </c>
      <c r="L257" s="25">
        <f>SUM(L258:L264)</f>
        <v>76426</v>
      </c>
      <c r="M257" s="25">
        <f t="shared" si="45"/>
        <v>42744</v>
      </c>
      <c r="N257" s="25">
        <f>SUM(N258:N264)</f>
        <v>0</v>
      </c>
      <c r="O257" s="25">
        <f>SUM(O258:O264)</f>
        <v>0</v>
      </c>
      <c r="P257" s="25">
        <f t="shared" si="46"/>
        <v>0</v>
      </c>
      <c r="Q257" s="25">
        <f>SUM(Q258:Q264)</f>
        <v>0</v>
      </c>
      <c r="R257" s="25">
        <f>SUM(R258:R264)</f>
        <v>0</v>
      </c>
      <c r="S257" s="25">
        <f t="shared" si="47"/>
        <v>0</v>
      </c>
      <c r="T257" s="25">
        <f>SUM(T258:T264)</f>
        <v>0</v>
      </c>
      <c r="U257" s="25">
        <f>SUM(U258:U264)</f>
        <v>0</v>
      </c>
      <c r="V257" s="25">
        <f t="shared" si="48"/>
        <v>0</v>
      </c>
      <c r="W257" s="25">
        <f>SUM(W258:W264)</f>
        <v>0</v>
      </c>
      <c r="X257" s="25">
        <f>SUM(X258:X264)</f>
        <v>0</v>
      </c>
      <c r="Y257" s="25">
        <f t="shared" si="49"/>
        <v>0</v>
      </c>
      <c r="Z257" s="25">
        <f>SUM(Z258:Z264)</f>
        <v>0</v>
      </c>
      <c r="AA257" s="25">
        <f>SUM(AA258:AA264)</f>
        <v>0</v>
      </c>
      <c r="AB257" s="25">
        <f t="shared" si="50"/>
        <v>0</v>
      </c>
    </row>
    <row r="258" spans="1:28" s="6" customFormat="1" ht="31.5" x14ac:dyDescent="0.25">
      <c r="A258" s="35" t="s">
        <v>232</v>
      </c>
      <c r="B258" s="31">
        <f t="shared" si="51"/>
        <v>8719</v>
      </c>
      <c r="C258" s="31">
        <f t="shared" si="51"/>
        <v>6833</v>
      </c>
      <c r="D258" s="31">
        <f t="shared" si="51"/>
        <v>-1886</v>
      </c>
      <c r="E258" s="31"/>
      <c r="F258" s="31"/>
      <c r="G258" s="31">
        <f t="shared" si="43"/>
        <v>0</v>
      </c>
      <c r="H258" s="31"/>
      <c r="I258" s="31"/>
      <c r="J258" s="31">
        <f t="shared" si="44"/>
        <v>0</v>
      </c>
      <c r="K258" s="31">
        <v>8719</v>
      </c>
      <c r="L258" s="31">
        <f>8719-639-1247</f>
        <v>6833</v>
      </c>
      <c r="M258" s="31">
        <f t="shared" si="45"/>
        <v>-1886</v>
      </c>
      <c r="N258" s="31"/>
      <c r="O258" s="31"/>
      <c r="P258" s="31">
        <f t="shared" si="46"/>
        <v>0</v>
      </c>
      <c r="Q258" s="31"/>
      <c r="R258" s="31"/>
      <c r="S258" s="31">
        <f t="shared" si="47"/>
        <v>0</v>
      </c>
      <c r="T258" s="31"/>
      <c r="U258" s="31"/>
      <c r="V258" s="31">
        <f t="shared" si="48"/>
        <v>0</v>
      </c>
      <c r="W258" s="31"/>
      <c r="X258" s="31"/>
      <c r="Y258" s="31">
        <f t="shared" si="49"/>
        <v>0</v>
      </c>
      <c r="Z258" s="31"/>
      <c r="AA258" s="31"/>
      <c r="AB258" s="31">
        <f t="shared" si="50"/>
        <v>0</v>
      </c>
    </row>
    <row r="259" spans="1:28" s="6" customFormat="1" x14ac:dyDescent="0.25">
      <c r="A259" s="35" t="s">
        <v>233</v>
      </c>
      <c r="B259" s="31">
        <f t="shared" si="51"/>
        <v>0</v>
      </c>
      <c r="C259" s="31">
        <f t="shared" si="51"/>
        <v>1247</v>
      </c>
      <c r="D259" s="31">
        <f t="shared" si="51"/>
        <v>1247</v>
      </c>
      <c r="E259" s="31"/>
      <c r="F259" s="31"/>
      <c r="G259" s="31">
        <f t="shared" ref="G259:G322" si="59">F259-E259</f>
        <v>0</v>
      </c>
      <c r="H259" s="31"/>
      <c r="I259" s="31"/>
      <c r="J259" s="31">
        <f t="shared" ref="J259:J322" si="60">I259-H259</f>
        <v>0</v>
      </c>
      <c r="K259" s="31"/>
      <c r="L259" s="31">
        <f>1247</f>
        <v>1247</v>
      </c>
      <c r="M259" s="31">
        <f t="shared" ref="M259:M322" si="61">L259-K259</f>
        <v>1247</v>
      </c>
      <c r="N259" s="31"/>
      <c r="O259" s="31"/>
      <c r="P259" s="31">
        <f t="shared" ref="P259:P322" si="62">O259-N259</f>
        <v>0</v>
      </c>
      <c r="Q259" s="31"/>
      <c r="R259" s="31"/>
      <c r="S259" s="31">
        <f t="shared" ref="S259:S322" si="63">R259-Q259</f>
        <v>0</v>
      </c>
      <c r="T259" s="31"/>
      <c r="U259" s="31"/>
      <c r="V259" s="31">
        <f t="shared" ref="V259:V322" si="64">U259-T259</f>
        <v>0</v>
      </c>
      <c r="W259" s="31"/>
      <c r="X259" s="31"/>
      <c r="Y259" s="31">
        <f t="shared" ref="Y259:Y322" si="65">X259-W259</f>
        <v>0</v>
      </c>
      <c r="Z259" s="31"/>
      <c r="AA259" s="31"/>
      <c r="AB259" s="31">
        <f t="shared" ref="AB259:AB322" si="66">AA259-Z259</f>
        <v>0</v>
      </c>
    </row>
    <row r="260" spans="1:28" s="6" customFormat="1" x14ac:dyDescent="0.25">
      <c r="A260" s="35" t="s">
        <v>234</v>
      </c>
      <c r="B260" s="31">
        <f t="shared" si="51"/>
        <v>0</v>
      </c>
      <c r="C260" s="31">
        <f t="shared" si="51"/>
        <v>1800</v>
      </c>
      <c r="D260" s="31">
        <f t="shared" si="51"/>
        <v>1800</v>
      </c>
      <c r="E260" s="31"/>
      <c r="F260" s="31"/>
      <c r="G260" s="31">
        <f t="shared" si="59"/>
        <v>0</v>
      </c>
      <c r="H260" s="31"/>
      <c r="I260" s="31"/>
      <c r="J260" s="31">
        <f t="shared" si="60"/>
        <v>0</v>
      </c>
      <c r="K260" s="31"/>
      <c r="L260" s="31">
        <v>1800</v>
      </c>
      <c r="M260" s="31">
        <f t="shared" si="61"/>
        <v>1800</v>
      </c>
      <c r="N260" s="31"/>
      <c r="O260" s="31"/>
      <c r="P260" s="31">
        <f t="shared" si="62"/>
        <v>0</v>
      </c>
      <c r="Q260" s="31"/>
      <c r="R260" s="31"/>
      <c r="S260" s="31">
        <f t="shared" si="63"/>
        <v>0</v>
      </c>
      <c r="T260" s="31"/>
      <c r="U260" s="31"/>
      <c r="V260" s="31">
        <f t="shared" si="64"/>
        <v>0</v>
      </c>
      <c r="W260" s="31"/>
      <c r="X260" s="31"/>
      <c r="Y260" s="31">
        <f t="shared" si="65"/>
        <v>0</v>
      </c>
      <c r="Z260" s="31"/>
      <c r="AA260" s="31"/>
      <c r="AB260" s="31">
        <f t="shared" si="66"/>
        <v>0</v>
      </c>
    </row>
    <row r="261" spans="1:28" s="6" customFormat="1" ht="47.25" x14ac:dyDescent="0.25">
      <c r="A261" s="35" t="s">
        <v>235</v>
      </c>
      <c r="B261" s="31">
        <f t="shared" si="51"/>
        <v>9971</v>
      </c>
      <c r="C261" s="31">
        <f t="shared" si="51"/>
        <v>19124</v>
      </c>
      <c r="D261" s="31">
        <f t="shared" si="51"/>
        <v>9153</v>
      </c>
      <c r="E261" s="31"/>
      <c r="F261" s="31"/>
      <c r="G261" s="31">
        <f t="shared" si="59"/>
        <v>0</v>
      </c>
      <c r="H261" s="31"/>
      <c r="I261" s="31"/>
      <c r="J261" s="31">
        <f t="shared" si="60"/>
        <v>0</v>
      </c>
      <c r="K261" s="31">
        <v>9971</v>
      </c>
      <c r="L261" s="31">
        <v>19124</v>
      </c>
      <c r="M261" s="31">
        <f t="shared" si="61"/>
        <v>9153</v>
      </c>
      <c r="N261" s="31"/>
      <c r="O261" s="31"/>
      <c r="P261" s="31">
        <f t="shared" si="62"/>
        <v>0</v>
      </c>
      <c r="Q261" s="31"/>
      <c r="R261" s="31"/>
      <c r="S261" s="31">
        <f t="shared" si="63"/>
        <v>0</v>
      </c>
      <c r="T261" s="31"/>
      <c r="U261" s="31"/>
      <c r="V261" s="31">
        <f t="shared" si="64"/>
        <v>0</v>
      </c>
      <c r="W261" s="31"/>
      <c r="X261" s="31"/>
      <c r="Y261" s="31">
        <f t="shared" si="65"/>
        <v>0</v>
      </c>
      <c r="Z261" s="31"/>
      <c r="AA261" s="31"/>
      <c r="AB261" s="31">
        <f t="shared" si="66"/>
        <v>0</v>
      </c>
    </row>
    <row r="262" spans="1:28" s="6" customFormat="1" ht="47.25" x14ac:dyDescent="0.25">
      <c r="A262" s="35" t="s">
        <v>236</v>
      </c>
      <c r="B262" s="31">
        <f t="shared" si="51"/>
        <v>11960</v>
      </c>
      <c r="C262" s="31">
        <f t="shared" si="51"/>
        <v>44390</v>
      </c>
      <c r="D262" s="31">
        <f t="shared" si="51"/>
        <v>32430</v>
      </c>
      <c r="E262" s="31"/>
      <c r="F262" s="31"/>
      <c r="G262" s="31">
        <f t="shared" si="59"/>
        <v>0</v>
      </c>
      <c r="H262" s="31"/>
      <c r="I262" s="31"/>
      <c r="J262" s="31">
        <f t="shared" si="60"/>
        <v>0</v>
      </c>
      <c r="K262" s="31">
        <v>11960</v>
      </c>
      <c r="L262" s="31">
        <v>44390</v>
      </c>
      <c r="M262" s="31">
        <f t="shared" si="61"/>
        <v>32430</v>
      </c>
      <c r="N262" s="31"/>
      <c r="O262" s="31"/>
      <c r="P262" s="31">
        <f t="shared" si="62"/>
        <v>0</v>
      </c>
      <c r="Q262" s="31"/>
      <c r="R262" s="31"/>
      <c r="S262" s="31">
        <f t="shared" si="63"/>
        <v>0</v>
      </c>
      <c r="T262" s="31"/>
      <c r="U262" s="31"/>
      <c r="V262" s="31">
        <f t="shared" si="64"/>
        <v>0</v>
      </c>
      <c r="W262" s="31"/>
      <c r="X262" s="31"/>
      <c r="Y262" s="31">
        <f t="shared" si="65"/>
        <v>0</v>
      </c>
      <c r="Z262" s="31"/>
      <c r="AA262" s="31"/>
      <c r="AB262" s="31">
        <f t="shared" si="66"/>
        <v>0</v>
      </c>
    </row>
    <row r="263" spans="1:28" s="6" customFormat="1" x14ac:dyDescent="0.25">
      <c r="A263" s="35" t="s">
        <v>237</v>
      </c>
      <c r="B263" s="31">
        <f t="shared" si="51"/>
        <v>1367</v>
      </c>
      <c r="C263" s="31">
        <f t="shared" si="51"/>
        <v>1367</v>
      </c>
      <c r="D263" s="31">
        <f t="shared" si="51"/>
        <v>0</v>
      </c>
      <c r="E263" s="31"/>
      <c r="F263" s="31"/>
      <c r="G263" s="31">
        <f t="shared" si="59"/>
        <v>0</v>
      </c>
      <c r="H263" s="31"/>
      <c r="I263" s="31"/>
      <c r="J263" s="31">
        <f t="shared" si="60"/>
        <v>0</v>
      </c>
      <c r="K263" s="31">
        <v>1367</v>
      </c>
      <c r="L263" s="31">
        <v>1367</v>
      </c>
      <c r="M263" s="31">
        <f t="shared" si="61"/>
        <v>0</v>
      </c>
      <c r="N263" s="31"/>
      <c r="O263" s="31"/>
      <c r="P263" s="31">
        <f t="shared" si="62"/>
        <v>0</v>
      </c>
      <c r="Q263" s="31"/>
      <c r="R263" s="31"/>
      <c r="S263" s="31">
        <f t="shared" si="63"/>
        <v>0</v>
      </c>
      <c r="T263" s="31"/>
      <c r="U263" s="31"/>
      <c r="V263" s="31">
        <f t="shared" si="64"/>
        <v>0</v>
      </c>
      <c r="W263" s="31"/>
      <c r="X263" s="31"/>
      <c r="Y263" s="31">
        <f t="shared" si="65"/>
        <v>0</v>
      </c>
      <c r="Z263" s="31"/>
      <c r="AA263" s="31"/>
      <c r="AB263" s="31">
        <f t="shared" si="66"/>
        <v>0</v>
      </c>
    </row>
    <row r="264" spans="1:28" s="6" customFormat="1" x14ac:dyDescent="0.25">
      <c r="A264" s="35" t="s">
        <v>238</v>
      </c>
      <c r="B264" s="31">
        <f t="shared" si="51"/>
        <v>1665</v>
      </c>
      <c r="C264" s="31">
        <f t="shared" si="51"/>
        <v>1665</v>
      </c>
      <c r="D264" s="31">
        <f t="shared" si="51"/>
        <v>0</v>
      </c>
      <c r="E264" s="31"/>
      <c r="F264" s="31"/>
      <c r="G264" s="31">
        <f t="shared" si="59"/>
        <v>0</v>
      </c>
      <c r="H264" s="31"/>
      <c r="I264" s="31"/>
      <c r="J264" s="31">
        <f t="shared" si="60"/>
        <v>0</v>
      </c>
      <c r="K264" s="31">
        <v>1665</v>
      </c>
      <c r="L264" s="31">
        <v>1665</v>
      </c>
      <c r="M264" s="31">
        <f t="shared" si="61"/>
        <v>0</v>
      </c>
      <c r="N264" s="31"/>
      <c r="O264" s="31"/>
      <c r="P264" s="31">
        <f t="shared" si="62"/>
        <v>0</v>
      </c>
      <c r="Q264" s="31"/>
      <c r="R264" s="31"/>
      <c r="S264" s="31">
        <f t="shared" si="63"/>
        <v>0</v>
      </c>
      <c r="T264" s="31"/>
      <c r="U264" s="31"/>
      <c r="V264" s="31">
        <f t="shared" si="64"/>
        <v>0</v>
      </c>
      <c r="W264" s="31"/>
      <c r="X264" s="31"/>
      <c r="Y264" s="31">
        <f t="shared" si="65"/>
        <v>0</v>
      </c>
      <c r="Z264" s="31"/>
      <c r="AA264" s="31"/>
      <c r="AB264" s="31">
        <f t="shared" si="66"/>
        <v>0</v>
      </c>
    </row>
    <row r="265" spans="1:28" s="6" customFormat="1" x14ac:dyDescent="0.25">
      <c r="A265" s="24" t="s">
        <v>108</v>
      </c>
      <c r="B265" s="25">
        <f t="shared" si="51"/>
        <v>12069537</v>
      </c>
      <c r="C265" s="25">
        <f t="shared" si="51"/>
        <v>14530039</v>
      </c>
      <c r="D265" s="25">
        <f t="shared" si="51"/>
        <v>2460502</v>
      </c>
      <c r="E265" s="25">
        <f>SUM(E266:E284)</f>
        <v>152495</v>
      </c>
      <c r="F265" s="25">
        <f>SUM(F266:F284)</f>
        <v>139775</v>
      </c>
      <c r="G265" s="25">
        <f t="shared" si="59"/>
        <v>-12720</v>
      </c>
      <c r="H265" s="25">
        <f>SUM(H266:H284)</f>
        <v>25276</v>
      </c>
      <c r="I265" s="25">
        <f>SUM(I266:I284)</f>
        <v>25276</v>
      </c>
      <c r="J265" s="25">
        <f t="shared" si="60"/>
        <v>0</v>
      </c>
      <c r="K265" s="25">
        <f>SUM(K266:K284)</f>
        <v>189176</v>
      </c>
      <c r="L265" s="25">
        <f>SUM(L266:L284)</f>
        <v>201326</v>
      </c>
      <c r="M265" s="25">
        <f t="shared" si="61"/>
        <v>12150</v>
      </c>
      <c r="N265" s="25">
        <f>SUM(N266:N284)</f>
        <v>6216374</v>
      </c>
      <c r="O265" s="25">
        <f>SUM(O266:O284)</f>
        <v>6216374</v>
      </c>
      <c r="P265" s="25">
        <f t="shared" si="62"/>
        <v>0</v>
      </c>
      <c r="Q265" s="25">
        <f>SUM(Q266:Q284)</f>
        <v>0</v>
      </c>
      <c r="R265" s="25">
        <f>SUM(R266:R284)</f>
        <v>0</v>
      </c>
      <c r="S265" s="25">
        <f t="shared" si="63"/>
        <v>0</v>
      </c>
      <c r="T265" s="25">
        <f>SUM(T266:T284)</f>
        <v>4886216</v>
      </c>
      <c r="U265" s="25">
        <f>SUM(U266:U284)</f>
        <v>4894568</v>
      </c>
      <c r="V265" s="25">
        <f t="shared" si="64"/>
        <v>8352</v>
      </c>
      <c r="W265" s="25">
        <f>SUM(W266:W284)</f>
        <v>0</v>
      </c>
      <c r="X265" s="25">
        <f>SUM(X266:X284)</f>
        <v>502010</v>
      </c>
      <c r="Y265" s="25">
        <f t="shared" si="65"/>
        <v>502010</v>
      </c>
      <c r="Z265" s="25">
        <f>SUM(Z266:Z284)</f>
        <v>600000</v>
      </c>
      <c r="AA265" s="25">
        <f>SUM(AA266:AA284)</f>
        <v>2550710</v>
      </c>
      <c r="AB265" s="25">
        <f t="shared" si="66"/>
        <v>1950710</v>
      </c>
    </row>
    <row r="266" spans="1:28" s="6" customFormat="1" x14ac:dyDescent="0.25">
      <c r="A266" s="30" t="s">
        <v>239</v>
      </c>
      <c r="B266" s="31">
        <f t="shared" si="51"/>
        <v>4053</v>
      </c>
      <c r="C266" s="31">
        <f t="shared" si="51"/>
        <v>4053</v>
      </c>
      <c r="D266" s="31">
        <f t="shared" si="51"/>
        <v>0</v>
      </c>
      <c r="E266" s="31"/>
      <c r="F266" s="31"/>
      <c r="G266" s="31">
        <f t="shared" si="59"/>
        <v>0</v>
      </c>
      <c r="H266" s="31">
        <v>4053</v>
      </c>
      <c r="I266" s="31">
        <v>4053</v>
      </c>
      <c r="J266" s="31">
        <f t="shared" si="60"/>
        <v>0</v>
      </c>
      <c r="K266" s="31">
        <v>0</v>
      </c>
      <c r="L266" s="31">
        <v>0</v>
      </c>
      <c r="M266" s="31">
        <f t="shared" si="61"/>
        <v>0</v>
      </c>
      <c r="N266" s="31"/>
      <c r="O266" s="31"/>
      <c r="P266" s="31">
        <f t="shared" si="62"/>
        <v>0</v>
      </c>
      <c r="Q266" s="31"/>
      <c r="R266" s="31"/>
      <c r="S266" s="31">
        <f t="shared" si="63"/>
        <v>0</v>
      </c>
      <c r="T266" s="31"/>
      <c r="U266" s="31"/>
      <c r="V266" s="31">
        <f t="shared" si="64"/>
        <v>0</v>
      </c>
      <c r="W266" s="31">
        <v>0</v>
      </c>
      <c r="X266" s="31">
        <v>0</v>
      </c>
      <c r="Y266" s="31">
        <f t="shared" si="65"/>
        <v>0</v>
      </c>
      <c r="Z266" s="31"/>
      <c r="AA266" s="31"/>
      <c r="AB266" s="31">
        <f t="shared" si="66"/>
        <v>0</v>
      </c>
    </row>
    <row r="267" spans="1:28" s="6" customFormat="1" ht="31.5" x14ac:dyDescent="0.25">
      <c r="A267" s="30" t="s">
        <v>240</v>
      </c>
      <c r="B267" s="31">
        <f t="shared" si="51"/>
        <v>4086</v>
      </c>
      <c r="C267" s="31">
        <f t="shared" si="51"/>
        <v>4086</v>
      </c>
      <c r="D267" s="31">
        <f t="shared" si="51"/>
        <v>0</v>
      </c>
      <c r="E267" s="31"/>
      <c r="F267" s="31"/>
      <c r="G267" s="31">
        <f t="shared" si="59"/>
        <v>0</v>
      </c>
      <c r="H267" s="31"/>
      <c r="I267" s="31"/>
      <c r="J267" s="31">
        <f t="shared" si="60"/>
        <v>0</v>
      </c>
      <c r="K267" s="31">
        <v>4086</v>
      </c>
      <c r="L267" s="31">
        <v>4086</v>
      </c>
      <c r="M267" s="31">
        <f t="shared" si="61"/>
        <v>0</v>
      </c>
      <c r="N267" s="31"/>
      <c r="O267" s="31"/>
      <c r="P267" s="31">
        <f t="shared" si="62"/>
        <v>0</v>
      </c>
      <c r="Q267" s="31"/>
      <c r="R267" s="31"/>
      <c r="S267" s="31">
        <f t="shared" si="63"/>
        <v>0</v>
      </c>
      <c r="T267" s="31"/>
      <c r="U267" s="31"/>
      <c r="V267" s="31">
        <f t="shared" si="64"/>
        <v>0</v>
      </c>
      <c r="W267" s="31">
        <v>0</v>
      </c>
      <c r="X267" s="31">
        <v>0</v>
      </c>
      <c r="Y267" s="31">
        <f t="shared" si="65"/>
        <v>0</v>
      </c>
      <c r="Z267" s="31"/>
      <c r="AA267" s="31"/>
      <c r="AB267" s="31">
        <f t="shared" si="66"/>
        <v>0</v>
      </c>
    </row>
    <row r="268" spans="1:28" s="6" customFormat="1" ht="31.5" x14ac:dyDescent="0.25">
      <c r="A268" s="30" t="s">
        <v>241</v>
      </c>
      <c r="B268" s="31">
        <f t="shared" si="51"/>
        <v>0</v>
      </c>
      <c r="C268" s="31">
        <f t="shared" si="51"/>
        <v>12150</v>
      </c>
      <c r="D268" s="31">
        <f t="shared" si="51"/>
        <v>12150</v>
      </c>
      <c r="E268" s="31"/>
      <c r="F268" s="31"/>
      <c r="G268" s="31">
        <f t="shared" si="59"/>
        <v>0</v>
      </c>
      <c r="H268" s="31"/>
      <c r="I268" s="31"/>
      <c r="J268" s="31">
        <f t="shared" si="60"/>
        <v>0</v>
      </c>
      <c r="K268" s="31"/>
      <c r="L268" s="31">
        <v>12150</v>
      </c>
      <c r="M268" s="31">
        <f t="shared" si="61"/>
        <v>12150</v>
      </c>
      <c r="N268" s="31"/>
      <c r="O268" s="31"/>
      <c r="P268" s="31">
        <f t="shared" si="62"/>
        <v>0</v>
      </c>
      <c r="Q268" s="31"/>
      <c r="R268" s="31"/>
      <c r="S268" s="31">
        <f t="shared" si="63"/>
        <v>0</v>
      </c>
      <c r="T268" s="31"/>
      <c r="U268" s="31"/>
      <c r="V268" s="31">
        <f t="shared" si="64"/>
        <v>0</v>
      </c>
      <c r="W268" s="31">
        <v>0</v>
      </c>
      <c r="X268" s="31">
        <v>0</v>
      </c>
      <c r="Y268" s="31">
        <f t="shared" si="65"/>
        <v>0</v>
      </c>
      <c r="Z268" s="31"/>
      <c r="AA268" s="31"/>
      <c r="AB268" s="31">
        <f t="shared" si="66"/>
        <v>0</v>
      </c>
    </row>
    <row r="269" spans="1:28" s="6" customFormat="1" ht="31.5" x14ac:dyDescent="0.25">
      <c r="A269" s="30" t="s">
        <v>242</v>
      </c>
      <c r="B269" s="31">
        <f t="shared" si="51"/>
        <v>37768</v>
      </c>
      <c r="C269" s="31">
        <f t="shared" si="51"/>
        <v>37768</v>
      </c>
      <c r="D269" s="31">
        <f t="shared" si="51"/>
        <v>0</v>
      </c>
      <c r="E269" s="31"/>
      <c r="F269" s="31"/>
      <c r="G269" s="31">
        <f t="shared" si="59"/>
        <v>0</v>
      </c>
      <c r="H269" s="31"/>
      <c r="I269" s="31"/>
      <c r="J269" s="31">
        <f t="shared" si="60"/>
        <v>0</v>
      </c>
      <c r="K269" s="31">
        <v>37768</v>
      </c>
      <c r="L269" s="31">
        <v>37768</v>
      </c>
      <c r="M269" s="31">
        <f t="shared" si="61"/>
        <v>0</v>
      </c>
      <c r="N269" s="31"/>
      <c r="O269" s="31"/>
      <c r="P269" s="31">
        <f t="shared" si="62"/>
        <v>0</v>
      </c>
      <c r="Q269" s="31"/>
      <c r="R269" s="31"/>
      <c r="S269" s="31">
        <f t="shared" si="63"/>
        <v>0</v>
      </c>
      <c r="T269" s="31"/>
      <c r="U269" s="31"/>
      <c r="V269" s="31">
        <f t="shared" si="64"/>
        <v>0</v>
      </c>
      <c r="W269" s="31">
        <v>0</v>
      </c>
      <c r="X269" s="31">
        <v>0</v>
      </c>
      <c r="Y269" s="31">
        <f t="shared" si="65"/>
        <v>0</v>
      </c>
      <c r="Z269" s="31"/>
      <c r="AA269" s="31"/>
      <c r="AB269" s="31">
        <f t="shared" si="66"/>
        <v>0</v>
      </c>
    </row>
    <row r="270" spans="1:28" s="6" customFormat="1" ht="31.5" x14ac:dyDescent="0.25">
      <c r="A270" s="30" t="s">
        <v>243</v>
      </c>
      <c r="B270" s="31">
        <f t="shared" si="51"/>
        <v>25000</v>
      </c>
      <c r="C270" s="31">
        <f t="shared" si="51"/>
        <v>25000</v>
      </c>
      <c r="D270" s="31">
        <f t="shared" si="51"/>
        <v>0</v>
      </c>
      <c r="E270" s="31"/>
      <c r="F270" s="31"/>
      <c r="G270" s="31">
        <f t="shared" si="59"/>
        <v>0</v>
      </c>
      <c r="H270" s="31"/>
      <c r="I270" s="31"/>
      <c r="J270" s="31">
        <f t="shared" si="60"/>
        <v>0</v>
      </c>
      <c r="K270" s="31">
        <v>25000</v>
      </c>
      <c r="L270" s="31">
        <v>25000</v>
      </c>
      <c r="M270" s="31">
        <f t="shared" si="61"/>
        <v>0</v>
      </c>
      <c r="N270" s="31"/>
      <c r="O270" s="31"/>
      <c r="P270" s="31">
        <f t="shared" si="62"/>
        <v>0</v>
      </c>
      <c r="Q270" s="31"/>
      <c r="R270" s="31"/>
      <c r="S270" s="31">
        <f t="shared" si="63"/>
        <v>0</v>
      </c>
      <c r="T270" s="31"/>
      <c r="U270" s="31"/>
      <c r="V270" s="31">
        <f t="shared" si="64"/>
        <v>0</v>
      </c>
      <c r="W270" s="31">
        <v>0</v>
      </c>
      <c r="X270" s="31">
        <v>0</v>
      </c>
      <c r="Y270" s="31">
        <f t="shared" si="65"/>
        <v>0</v>
      </c>
      <c r="Z270" s="31"/>
      <c r="AA270" s="31"/>
      <c r="AB270" s="31">
        <f t="shared" si="66"/>
        <v>0</v>
      </c>
    </row>
    <row r="271" spans="1:28" s="6" customFormat="1" x14ac:dyDescent="0.25">
      <c r="A271" s="35" t="s">
        <v>244</v>
      </c>
      <c r="B271" s="31">
        <f t="shared" si="51"/>
        <v>38524</v>
      </c>
      <c r="C271" s="31">
        <f t="shared" si="51"/>
        <v>46876</v>
      </c>
      <c r="D271" s="31">
        <f t="shared" si="51"/>
        <v>8352</v>
      </c>
      <c r="E271" s="31">
        <f>130942-130942</f>
        <v>0</v>
      </c>
      <c r="F271" s="31">
        <f>130942-130942</f>
        <v>0</v>
      </c>
      <c r="G271" s="31">
        <f t="shared" si="59"/>
        <v>0</v>
      </c>
      <c r="H271" s="31"/>
      <c r="I271" s="31"/>
      <c r="J271" s="31">
        <f t="shared" si="60"/>
        <v>0</v>
      </c>
      <c r="K271" s="31">
        <v>0</v>
      </c>
      <c r="L271" s="31">
        <v>0</v>
      </c>
      <c r="M271" s="31">
        <f t="shared" si="61"/>
        <v>0</v>
      </c>
      <c r="N271" s="31"/>
      <c r="O271" s="31"/>
      <c r="P271" s="31">
        <f t="shared" si="62"/>
        <v>0</v>
      </c>
      <c r="Q271" s="31"/>
      <c r="R271" s="31"/>
      <c r="S271" s="31">
        <f t="shared" si="63"/>
        <v>0</v>
      </c>
      <c r="T271" s="31">
        <f>4196+34328</f>
        <v>38524</v>
      </c>
      <c r="U271" s="31">
        <f>4196+34328+8352</f>
        <v>46876</v>
      </c>
      <c r="V271" s="31">
        <f t="shared" si="64"/>
        <v>8352</v>
      </c>
      <c r="W271" s="31"/>
      <c r="X271" s="31"/>
      <c r="Y271" s="31">
        <f t="shared" si="65"/>
        <v>0</v>
      </c>
      <c r="Z271" s="31"/>
      <c r="AA271" s="31"/>
      <c r="AB271" s="31">
        <f t="shared" si="66"/>
        <v>0</v>
      </c>
    </row>
    <row r="272" spans="1:28" s="6" customFormat="1" ht="94.5" x14ac:dyDescent="0.25">
      <c r="A272" s="27" t="s">
        <v>307</v>
      </c>
      <c r="B272" s="31">
        <f t="shared" si="51"/>
        <v>0</v>
      </c>
      <c r="C272" s="31">
        <f t="shared" si="51"/>
        <v>2452720</v>
      </c>
      <c r="D272" s="31">
        <f t="shared" si="51"/>
        <v>2452720</v>
      </c>
      <c r="E272" s="31">
        <v>0</v>
      </c>
      <c r="F272" s="31">
        <v>0</v>
      </c>
      <c r="G272" s="31">
        <f t="shared" si="59"/>
        <v>0</v>
      </c>
      <c r="H272" s="31"/>
      <c r="I272" s="31"/>
      <c r="J272" s="31">
        <f t="shared" si="60"/>
        <v>0</v>
      </c>
      <c r="K272" s="31"/>
      <c r="L272" s="31"/>
      <c r="M272" s="31">
        <f t="shared" si="61"/>
        <v>0</v>
      </c>
      <c r="N272" s="31"/>
      <c r="O272" s="31"/>
      <c r="P272" s="31">
        <f t="shared" si="62"/>
        <v>0</v>
      </c>
      <c r="Q272" s="31"/>
      <c r="R272" s="31"/>
      <c r="S272" s="31">
        <f t="shared" si="63"/>
        <v>0</v>
      </c>
      <c r="T272" s="31">
        <f>2534-2534</f>
        <v>0</v>
      </c>
      <c r="U272" s="31">
        <f>2534-2534</f>
        <v>0</v>
      </c>
      <c r="V272" s="31">
        <f t="shared" si="64"/>
        <v>0</v>
      </c>
      <c r="W272" s="31"/>
      <c r="X272" s="31">
        <v>502010</v>
      </c>
      <c r="Y272" s="31">
        <f t="shared" si="65"/>
        <v>502010</v>
      </c>
      <c r="Z272" s="31"/>
      <c r="AA272" s="31">
        <v>1950710</v>
      </c>
      <c r="AB272" s="31">
        <f t="shared" si="66"/>
        <v>1950710</v>
      </c>
    </row>
    <row r="273" spans="1:187" s="6" customFormat="1" ht="94.5" x14ac:dyDescent="0.25">
      <c r="A273" s="30" t="s">
        <v>245</v>
      </c>
      <c r="B273" s="31">
        <f t="shared" si="51"/>
        <v>1850000</v>
      </c>
      <c r="C273" s="31">
        <f t="shared" si="51"/>
        <v>1850000</v>
      </c>
      <c r="D273" s="31">
        <f t="shared" si="51"/>
        <v>0</v>
      </c>
      <c r="E273" s="31"/>
      <c r="F273" s="31"/>
      <c r="G273" s="31">
        <f t="shared" si="59"/>
        <v>0</v>
      </c>
      <c r="H273" s="31"/>
      <c r="I273" s="31"/>
      <c r="J273" s="31">
        <f t="shared" si="60"/>
        <v>0</v>
      </c>
      <c r="K273" s="31">
        <v>0</v>
      </c>
      <c r="L273" s="31">
        <v>0</v>
      </c>
      <c r="M273" s="31">
        <f t="shared" si="61"/>
        <v>0</v>
      </c>
      <c r="N273" s="31"/>
      <c r="O273" s="31"/>
      <c r="P273" s="31">
        <f t="shared" si="62"/>
        <v>0</v>
      </c>
      <c r="Q273" s="31"/>
      <c r="R273" s="31"/>
      <c r="S273" s="31">
        <f t="shared" si="63"/>
        <v>0</v>
      </c>
      <c r="T273" s="31">
        <f>1290000</f>
        <v>1290000</v>
      </c>
      <c r="U273" s="31">
        <f>1290000</f>
        <v>1290000</v>
      </c>
      <c r="V273" s="31">
        <f t="shared" si="64"/>
        <v>0</v>
      </c>
      <c r="W273" s="31">
        <f>1290000-1290000</f>
        <v>0</v>
      </c>
      <c r="X273" s="31">
        <f>1290000-1290000</f>
        <v>0</v>
      </c>
      <c r="Y273" s="31">
        <f t="shared" si="65"/>
        <v>0</v>
      </c>
      <c r="Z273" s="31">
        <v>560000</v>
      </c>
      <c r="AA273" s="31">
        <v>560000</v>
      </c>
      <c r="AB273" s="31">
        <f t="shared" si="66"/>
        <v>0</v>
      </c>
    </row>
    <row r="274" spans="1:187" s="6" customFormat="1" ht="110.25" x14ac:dyDescent="0.25">
      <c r="A274" s="27" t="s">
        <v>246</v>
      </c>
      <c r="B274" s="31">
        <f t="shared" si="51"/>
        <v>33634</v>
      </c>
      <c r="C274" s="31">
        <f t="shared" si="51"/>
        <v>33634</v>
      </c>
      <c r="D274" s="31">
        <f t="shared" si="51"/>
        <v>0</v>
      </c>
      <c r="E274" s="31"/>
      <c r="F274" s="31"/>
      <c r="G274" s="31">
        <f t="shared" si="59"/>
        <v>0</v>
      </c>
      <c r="H274" s="31"/>
      <c r="I274" s="31"/>
      <c r="J274" s="31">
        <f t="shared" si="60"/>
        <v>0</v>
      </c>
      <c r="K274" s="31">
        <v>0</v>
      </c>
      <c r="L274" s="31">
        <v>0</v>
      </c>
      <c r="M274" s="31">
        <f t="shared" si="61"/>
        <v>0</v>
      </c>
      <c r="N274" s="31"/>
      <c r="O274" s="31"/>
      <c r="P274" s="31">
        <f t="shared" si="62"/>
        <v>0</v>
      </c>
      <c r="Q274" s="31"/>
      <c r="R274" s="31"/>
      <c r="S274" s="31">
        <f t="shared" si="63"/>
        <v>0</v>
      </c>
      <c r="T274" s="31">
        <v>33634</v>
      </c>
      <c r="U274" s="31">
        <v>33634</v>
      </c>
      <c r="V274" s="31">
        <f t="shared" si="64"/>
        <v>0</v>
      </c>
      <c r="W274" s="31">
        <v>0</v>
      </c>
      <c r="X274" s="31">
        <v>0</v>
      </c>
      <c r="Y274" s="31">
        <f t="shared" si="65"/>
        <v>0</v>
      </c>
      <c r="Z274" s="31"/>
      <c r="AA274" s="31"/>
      <c r="AB274" s="31">
        <f t="shared" si="66"/>
        <v>0</v>
      </c>
    </row>
    <row r="275" spans="1:187" s="6" customFormat="1" ht="47.25" x14ac:dyDescent="0.25">
      <c r="A275" s="27" t="s">
        <v>247</v>
      </c>
      <c r="B275" s="31">
        <f t="shared" si="51"/>
        <v>18646</v>
      </c>
      <c r="C275" s="31">
        <f t="shared" si="51"/>
        <v>18646</v>
      </c>
      <c r="D275" s="31">
        <f t="shared" si="51"/>
        <v>0</v>
      </c>
      <c r="E275" s="31">
        <f>15000-15000</f>
        <v>0</v>
      </c>
      <c r="F275" s="31">
        <f>15000-15000</f>
        <v>0</v>
      </c>
      <c r="G275" s="31">
        <f t="shared" si="59"/>
        <v>0</v>
      </c>
      <c r="H275" s="31"/>
      <c r="I275" s="31"/>
      <c r="J275" s="31">
        <f t="shared" si="60"/>
        <v>0</v>
      </c>
      <c r="K275" s="31">
        <v>0</v>
      </c>
      <c r="L275" s="31">
        <v>0</v>
      </c>
      <c r="M275" s="31">
        <f t="shared" si="61"/>
        <v>0</v>
      </c>
      <c r="N275" s="31"/>
      <c r="O275" s="31"/>
      <c r="P275" s="31">
        <f t="shared" si="62"/>
        <v>0</v>
      </c>
      <c r="Q275" s="31"/>
      <c r="R275" s="31"/>
      <c r="S275" s="31">
        <f t="shared" si="63"/>
        <v>0</v>
      </c>
      <c r="T275" s="31">
        <f>3646+15000</f>
        <v>18646</v>
      </c>
      <c r="U275" s="31">
        <f>3646+15000</f>
        <v>18646</v>
      </c>
      <c r="V275" s="31">
        <f t="shared" si="64"/>
        <v>0</v>
      </c>
      <c r="W275" s="31">
        <v>0</v>
      </c>
      <c r="X275" s="31">
        <v>0</v>
      </c>
      <c r="Y275" s="31">
        <f t="shared" si="65"/>
        <v>0</v>
      </c>
      <c r="Z275" s="31"/>
      <c r="AA275" s="31"/>
      <c r="AB275" s="31">
        <f t="shared" si="66"/>
        <v>0</v>
      </c>
    </row>
    <row r="276" spans="1:187" s="6" customFormat="1" ht="110.25" x14ac:dyDescent="0.25">
      <c r="A276" s="27" t="s">
        <v>248</v>
      </c>
      <c r="B276" s="31">
        <f t="shared" si="51"/>
        <v>3412885</v>
      </c>
      <c r="C276" s="31">
        <f t="shared" si="51"/>
        <v>3412885</v>
      </c>
      <c r="D276" s="31">
        <f t="shared" si="51"/>
        <v>0</v>
      </c>
      <c r="E276" s="31"/>
      <c r="F276" s="31"/>
      <c r="G276" s="31">
        <f t="shared" si="59"/>
        <v>0</v>
      </c>
      <c r="H276" s="31"/>
      <c r="I276" s="31"/>
      <c r="J276" s="31">
        <f t="shared" si="60"/>
        <v>0</v>
      </c>
      <c r="K276" s="31">
        <v>0</v>
      </c>
      <c r="L276" s="31">
        <v>0</v>
      </c>
      <c r="M276" s="31">
        <f t="shared" si="61"/>
        <v>0</v>
      </c>
      <c r="N276" s="31"/>
      <c r="O276" s="31"/>
      <c r="P276" s="31">
        <f t="shared" si="62"/>
        <v>0</v>
      </c>
      <c r="Q276" s="31"/>
      <c r="R276" s="31"/>
      <c r="S276" s="31">
        <f t="shared" si="63"/>
        <v>0</v>
      </c>
      <c r="T276" s="31">
        <v>3412885</v>
      </c>
      <c r="U276" s="31">
        <v>3412885</v>
      </c>
      <c r="V276" s="31">
        <f t="shared" si="64"/>
        <v>0</v>
      </c>
      <c r="W276" s="31">
        <v>0</v>
      </c>
      <c r="X276" s="31">
        <v>0</v>
      </c>
      <c r="Y276" s="31">
        <f t="shared" si="65"/>
        <v>0</v>
      </c>
      <c r="Z276" s="31"/>
      <c r="AA276" s="31"/>
      <c r="AB276" s="31">
        <f t="shared" si="66"/>
        <v>0</v>
      </c>
    </row>
    <row r="277" spans="1:187" s="6" customFormat="1" ht="110.25" x14ac:dyDescent="0.25">
      <c r="A277" s="27" t="s">
        <v>249</v>
      </c>
      <c r="B277" s="31">
        <f t="shared" si="51"/>
        <v>100017</v>
      </c>
      <c r="C277" s="31">
        <f t="shared" si="51"/>
        <v>100017</v>
      </c>
      <c r="D277" s="31">
        <f t="shared" si="51"/>
        <v>0</v>
      </c>
      <c r="E277" s="31"/>
      <c r="F277" s="31"/>
      <c r="G277" s="31">
        <f t="shared" si="59"/>
        <v>0</v>
      </c>
      <c r="H277" s="31">
        <f>21223</f>
        <v>21223</v>
      </c>
      <c r="I277" s="31">
        <f>21223</f>
        <v>21223</v>
      </c>
      <c r="J277" s="31">
        <f t="shared" si="60"/>
        <v>0</v>
      </c>
      <c r="K277" s="31">
        <f>60017-21223</f>
        <v>38794</v>
      </c>
      <c r="L277" s="31">
        <f>60017-21223</f>
        <v>38794</v>
      </c>
      <c r="M277" s="31">
        <f t="shared" si="61"/>
        <v>0</v>
      </c>
      <c r="N277" s="31"/>
      <c r="O277" s="31"/>
      <c r="P277" s="31">
        <f t="shared" si="62"/>
        <v>0</v>
      </c>
      <c r="Q277" s="31"/>
      <c r="R277" s="31"/>
      <c r="S277" s="31">
        <f t="shared" si="63"/>
        <v>0</v>
      </c>
      <c r="T277" s="31">
        <v>0</v>
      </c>
      <c r="U277" s="31">
        <v>0</v>
      </c>
      <c r="V277" s="31">
        <f t="shared" si="64"/>
        <v>0</v>
      </c>
      <c r="W277" s="31">
        <v>0</v>
      </c>
      <c r="X277" s="31">
        <v>0</v>
      </c>
      <c r="Y277" s="31">
        <f t="shared" si="65"/>
        <v>0</v>
      </c>
      <c r="Z277" s="31">
        <v>40000</v>
      </c>
      <c r="AA277" s="31">
        <v>40000</v>
      </c>
      <c r="AB277" s="31">
        <f t="shared" si="66"/>
        <v>0</v>
      </c>
    </row>
    <row r="278" spans="1:187" s="6" customFormat="1" ht="31.5" x14ac:dyDescent="0.25">
      <c r="A278" s="27" t="s">
        <v>250</v>
      </c>
      <c r="B278" s="31">
        <f t="shared" ref="B278:D344" si="67">E278+H278+K278+N278+Q278+T278+W278+Z278</f>
        <v>6839</v>
      </c>
      <c r="C278" s="31">
        <f t="shared" si="67"/>
        <v>6839</v>
      </c>
      <c r="D278" s="31">
        <f t="shared" si="67"/>
        <v>0</v>
      </c>
      <c r="E278" s="31"/>
      <c r="F278" s="31"/>
      <c r="G278" s="31">
        <f t="shared" si="59"/>
        <v>0</v>
      </c>
      <c r="H278" s="31">
        <v>0</v>
      </c>
      <c r="I278" s="31">
        <v>0</v>
      </c>
      <c r="J278" s="31">
        <f t="shared" si="60"/>
        <v>0</v>
      </c>
      <c r="K278" s="31">
        <v>6839</v>
      </c>
      <c r="L278" s="31">
        <v>6839</v>
      </c>
      <c r="M278" s="31">
        <f t="shared" si="61"/>
        <v>0</v>
      </c>
      <c r="N278" s="31"/>
      <c r="O278" s="31"/>
      <c r="P278" s="31">
        <f t="shared" si="62"/>
        <v>0</v>
      </c>
      <c r="Q278" s="31"/>
      <c r="R278" s="31"/>
      <c r="S278" s="31">
        <f t="shared" si="63"/>
        <v>0</v>
      </c>
      <c r="T278" s="31">
        <v>0</v>
      </c>
      <c r="U278" s="31">
        <v>0</v>
      </c>
      <c r="V278" s="31">
        <f t="shared" si="64"/>
        <v>0</v>
      </c>
      <c r="W278" s="31">
        <v>0</v>
      </c>
      <c r="X278" s="31">
        <v>0</v>
      </c>
      <c r="Y278" s="31">
        <f t="shared" si="65"/>
        <v>0</v>
      </c>
      <c r="Z278" s="31"/>
      <c r="AA278" s="31"/>
      <c r="AB278" s="31">
        <f t="shared" si="66"/>
        <v>0</v>
      </c>
    </row>
    <row r="279" spans="1:187" s="6" customFormat="1" ht="31.5" x14ac:dyDescent="0.25">
      <c r="A279" s="27" t="s">
        <v>251</v>
      </c>
      <c r="B279" s="31">
        <f t="shared" si="67"/>
        <v>142441</v>
      </c>
      <c r="C279" s="31">
        <f t="shared" si="67"/>
        <v>142441</v>
      </c>
      <c r="D279" s="31">
        <f t="shared" si="67"/>
        <v>0</v>
      </c>
      <c r="E279" s="31">
        <v>49914</v>
      </c>
      <c r="F279" s="31">
        <v>49914</v>
      </c>
      <c r="G279" s="31">
        <f t="shared" si="59"/>
        <v>0</v>
      </c>
      <c r="H279" s="31"/>
      <c r="I279" s="31"/>
      <c r="J279" s="31">
        <f t="shared" si="60"/>
        <v>0</v>
      </c>
      <c r="K279" s="31">
        <v>0</v>
      </c>
      <c r="L279" s="31">
        <v>0</v>
      </c>
      <c r="M279" s="31">
        <f t="shared" si="61"/>
        <v>0</v>
      </c>
      <c r="N279" s="31"/>
      <c r="O279" s="31"/>
      <c r="P279" s="31">
        <f t="shared" si="62"/>
        <v>0</v>
      </c>
      <c r="Q279" s="31"/>
      <c r="R279" s="31"/>
      <c r="S279" s="31">
        <f t="shared" si="63"/>
        <v>0</v>
      </c>
      <c r="T279" s="31">
        <f>72177+20350</f>
        <v>92527</v>
      </c>
      <c r="U279" s="31">
        <f>72177+20350</f>
        <v>92527</v>
      </c>
      <c r="V279" s="31">
        <f t="shared" si="64"/>
        <v>0</v>
      </c>
      <c r="W279" s="31">
        <v>0</v>
      </c>
      <c r="X279" s="31">
        <v>0</v>
      </c>
      <c r="Y279" s="31">
        <f t="shared" si="65"/>
        <v>0</v>
      </c>
      <c r="Z279" s="31"/>
      <c r="AA279" s="31"/>
      <c r="AB279" s="31">
        <f t="shared" si="66"/>
        <v>0</v>
      </c>
    </row>
    <row r="280" spans="1:187" s="6" customFormat="1" ht="94.5" x14ac:dyDescent="0.25">
      <c r="A280" s="27" t="s">
        <v>252</v>
      </c>
      <c r="B280" s="31">
        <f t="shared" si="67"/>
        <v>6216374</v>
      </c>
      <c r="C280" s="31">
        <f t="shared" si="67"/>
        <v>6216374</v>
      </c>
      <c r="D280" s="31">
        <f t="shared" si="67"/>
        <v>0</v>
      </c>
      <c r="E280" s="31"/>
      <c r="F280" s="31"/>
      <c r="G280" s="31">
        <f t="shared" si="59"/>
        <v>0</v>
      </c>
      <c r="H280" s="31">
        <v>0</v>
      </c>
      <c r="I280" s="31">
        <v>0</v>
      </c>
      <c r="J280" s="31">
        <f t="shared" si="60"/>
        <v>0</v>
      </c>
      <c r="K280" s="31">
        <v>0</v>
      </c>
      <c r="L280" s="31">
        <v>0</v>
      </c>
      <c r="M280" s="31">
        <f t="shared" si="61"/>
        <v>0</v>
      </c>
      <c r="N280" s="31">
        <v>6216374</v>
      </c>
      <c r="O280" s="31">
        <v>6216374</v>
      </c>
      <c r="P280" s="31">
        <f t="shared" si="62"/>
        <v>0</v>
      </c>
      <c r="Q280" s="31"/>
      <c r="R280" s="31"/>
      <c r="S280" s="31">
        <f t="shared" si="63"/>
        <v>0</v>
      </c>
      <c r="T280" s="31">
        <v>0</v>
      </c>
      <c r="U280" s="31">
        <v>0</v>
      </c>
      <c r="V280" s="31">
        <f t="shared" si="64"/>
        <v>0</v>
      </c>
      <c r="W280" s="31">
        <v>0</v>
      </c>
      <c r="X280" s="31">
        <v>0</v>
      </c>
      <c r="Y280" s="31">
        <f t="shared" si="65"/>
        <v>0</v>
      </c>
      <c r="Z280" s="31"/>
      <c r="AA280" s="31"/>
      <c r="AB280" s="31">
        <f t="shared" si="66"/>
        <v>0</v>
      </c>
    </row>
    <row r="281" spans="1:187" s="6" customFormat="1" ht="63" x14ac:dyDescent="0.25">
      <c r="A281" s="30" t="s">
        <v>253</v>
      </c>
      <c r="B281" s="31">
        <f t="shared" si="67"/>
        <v>55085</v>
      </c>
      <c r="C281" s="31">
        <f t="shared" si="67"/>
        <v>42365</v>
      </c>
      <c r="D281" s="31">
        <f t="shared" si="67"/>
        <v>-12720</v>
      </c>
      <c r="E281" s="31">
        <v>55085</v>
      </c>
      <c r="F281" s="31">
        <f>55085-12720</f>
        <v>42365</v>
      </c>
      <c r="G281" s="31">
        <f t="shared" si="59"/>
        <v>-12720</v>
      </c>
      <c r="H281" s="31"/>
      <c r="I281" s="31"/>
      <c r="J281" s="31">
        <f t="shared" si="60"/>
        <v>0</v>
      </c>
      <c r="K281" s="31"/>
      <c r="L281" s="31"/>
      <c r="M281" s="31">
        <f t="shared" si="61"/>
        <v>0</v>
      </c>
      <c r="N281" s="31"/>
      <c r="O281" s="31"/>
      <c r="P281" s="31">
        <f t="shared" si="62"/>
        <v>0</v>
      </c>
      <c r="Q281" s="31"/>
      <c r="R281" s="31"/>
      <c r="S281" s="31">
        <f t="shared" si="63"/>
        <v>0</v>
      </c>
      <c r="T281" s="31">
        <v>0</v>
      </c>
      <c r="U281" s="31">
        <v>0</v>
      </c>
      <c r="V281" s="31">
        <f t="shared" si="64"/>
        <v>0</v>
      </c>
      <c r="W281" s="31">
        <v>0</v>
      </c>
      <c r="X281" s="31">
        <v>0</v>
      </c>
      <c r="Y281" s="31">
        <f t="shared" si="65"/>
        <v>0</v>
      </c>
      <c r="Z281" s="31">
        <f>37665-37665</f>
        <v>0</v>
      </c>
      <c r="AA281" s="31">
        <f>37665-37665</f>
        <v>0</v>
      </c>
      <c r="AB281" s="31">
        <f t="shared" si="66"/>
        <v>0</v>
      </c>
    </row>
    <row r="282" spans="1:187" s="6" customFormat="1" ht="31.5" x14ac:dyDescent="0.25">
      <c r="A282" s="30" t="s">
        <v>254</v>
      </c>
      <c r="B282" s="31">
        <f t="shared" si="67"/>
        <v>63574</v>
      </c>
      <c r="C282" s="31">
        <f t="shared" si="67"/>
        <v>63574</v>
      </c>
      <c r="D282" s="31">
        <f t="shared" si="67"/>
        <v>0</v>
      </c>
      <c r="E282" s="31">
        <f>63574-16078</f>
        <v>47496</v>
      </c>
      <c r="F282" s="31">
        <f>63574-16078</f>
        <v>47496</v>
      </c>
      <c r="G282" s="31">
        <f t="shared" si="59"/>
        <v>0</v>
      </c>
      <c r="H282" s="31"/>
      <c r="I282" s="31"/>
      <c r="J282" s="31">
        <f t="shared" si="60"/>
        <v>0</v>
      </c>
      <c r="K282" s="31">
        <v>16078</v>
      </c>
      <c r="L282" s="31">
        <v>16078</v>
      </c>
      <c r="M282" s="31">
        <f t="shared" si="61"/>
        <v>0</v>
      </c>
      <c r="N282" s="31"/>
      <c r="O282" s="31"/>
      <c r="P282" s="31">
        <f t="shared" si="62"/>
        <v>0</v>
      </c>
      <c r="Q282" s="31"/>
      <c r="R282" s="31"/>
      <c r="S282" s="31">
        <f t="shared" si="63"/>
        <v>0</v>
      </c>
      <c r="T282" s="31">
        <v>0</v>
      </c>
      <c r="U282" s="31">
        <v>0</v>
      </c>
      <c r="V282" s="31">
        <f t="shared" si="64"/>
        <v>0</v>
      </c>
      <c r="W282" s="31">
        <v>0</v>
      </c>
      <c r="X282" s="31">
        <v>0</v>
      </c>
      <c r="Y282" s="31">
        <f t="shared" si="65"/>
        <v>0</v>
      </c>
      <c r="Z282" s="31"/>
      <c r="AA282" s="31"/>
      <c r="AB282" s="31">
        <f t="shared" si="66"/>
        <v>0</v>
      </c>
    </row>
    <row r="283" spans="1:187" s="6" customFormat="1" ht="31.5" x14ac:dyDescent="0.25">
      <c r="A283" s="30" t="s">
        <v>255</v>
      </c>
      <c r="B283" s="31">
        <f t="shared" si="67"/>
        <v>42285</v>
      </c>
      <c r="C283" s="31">
        <f t="shared" si="67"/>
        <v>42285</v>
      </c>
      <c r="D283" s="31">
        <f t="shared" si="67"/>
        <v>0</v>
      </c>
      <c r="E283" s="31">
        <v>0</v>
      </c>
      <c r="F283" s="31">
        <v>0</v>
      </c>
      <c r="G283" s="31">
        <f t="shared" si="59"/>
        <v>0</v>
      </c>
      <c r="H283" s="31"/>
      <c r="I283" s="31"/>
      <c r="J283" s="31">
        <f t="shared" si="60"/>
        <v>0</v>
      </c>
      <c r="K283" s="31">
        <v>42285</v>
      </c>
      <c r="L283" s="31">
        <v>42285</v>
      </c>
      <c r="M283" s="31">
        <f t="shared" si="61"/>
        <v>0</v>
      </c>
      <c r="N283" s="31"/>
      <c r="O283" s="31"/>
      <c r="P283" s="31">
        <f t="shared" si="62"/>
        <v>0</v>
      </c>
      <c r="Q283" s="31"/>
      <c r="R283" s="31"/>
      <c r="S283" s="31">
        <f t="shared" si="63"/>
        <v>0</v>
      </c>
      <c r="T283" s="31">
        <v>0</v>
      </c>
      <c r="U283" s="31">
        <v>0</v>
      </c>
      <c r="V283" s="31">
        <f t="shared" si="64"/>
        <v>0</v>
      </c>
      <c r="W283" s="31">
        <v>0</v>
      </c>
      <c r="X283" s="31">
        <v>0</v>
      </c>
      <c r="Y283" s="31">
        <f t="shared" si="65"/>
        <v>0</v>
      </c>
      <c r="Z283" s="31"/>
      <c r="AA283" s="31"/>
      <c r="AB283" s="31">
        <f t="shared" si="66"/>
        <v>0</v>
      </c>
    </row>
    <row r="284" spans="1:187" s="6" customFormat="1" ht="31.5" x14ac:dyDescent="0.25">
      <c r="A284" s="30" t="s">
        <v>256</v>
      </c>
      <c r="B284" s="31">
        <f t="shared" si="67"/>
        <v>18326</v>
      </c>
      <c r="C284" s="31">
        <f t="shared" si="67"/>
        <v>18326</v>
      </c>
      <c r="D284" s="31">
        <f t="shared" si="67"/>
        <v>0</v>
      </c>
      <c r="E284" s="31">
        <v>0</v>
      </c>
      <c r="F284" s="31">
        <v>0</v>
      </c>
      <c r="G284" s="31">
        <f t="shared" si="59"/>
        <v>0</v>
      </c>
      <c r="H284" s="31"/>
      <c r="I284" s="31"/>
      <c r="J284" s="31">
        <f t="shared" si="60"/>
        <v>0</v>
      </c>
      <c r="K284" s="31">
        <v>18326</v>
      </c>
      <c r="L284" s="31">
        <v>18326</v>
      </c>
      <c r="M284" s="31">
        <f t="shared" si="61"/>
        <v>0</v>
      </c>
      <c r="N284" s="31"/>
      <c r="O284" s="31"/>
      <c r="P284" s="31">
        <f t="shared" si="62"/>
        <v>0</v>
      </c>
      <c r="Q284" s="31"/>
      <c r="R284" s="31"/>
      <c r="S284" s="31">
        <f t="shared" si="63"/>
        <v>0</v>
      </c>
      <c r="T284" s="31">
        <v>0</v>
      </c>
      <c r="U284" s="31">
        <v>0</v>
      </c>
      <c r="V284" s="31">
        <f t="shared" si="64"/>
        <v>0</v>
      </c>
      <c r="W284" s="31">
        <v>0</v>
      </c>
      <c r="X284" s="31">
        <v>0</v>
      </c>
      <c r="Y284" s="31">
        <f t="shared" si="65"/>
        <v>0</v>
      </c>
      <c r="Z284" s="31"/>
      <c r="AA284" s="31"/>
      <c r="AB284" s="31">
        <f t="shared" si="66"/>
        <v>0</v>
      </c>
    </row>
    <row r="285" spans="1:187" s="6" customFormat="1" x14ac:dyDescent="0.25">
      <c r="A285" s="24" t="s">
        <v>164</v>
      </c>
      <c r="B285" s="25">
        <f t="shared" si="67"/>
        <v>0</v>
      </c>
      <c r="C285" s="25">
        <f t="shared" si="67"/>
        <v>44446</v>
      </c>
      <c r="D285" s="25">
        <f t="shared" si="67"/>
        <v>44446</v>
      </c>
      <c r="E285" s="25">
        <f>SUM(E286:E287)</f>
        <v>0</v>
      </c>
      <c r="F285" s="25">
        <f>SUM(F286:F287)</f>
        <v>0</v>
      </c>
      <c r="G285" s="25">
        <f t="shared" si="59"/>
        <v>0</v>
      </c>
      <c r="H285" s="25">
        <f t="shared" ref="H285:I285" si="68">SUM(H286:H287)</f>
        <v>0</v>
      </c>
      <c r="I285" s="25">
        <f t="shared" si="68"/>
        <v>0</v>
      </c>
      <c r="J285" s="25">
        <f t="shared" si="60"/>
        <v>0</v>
      </c>
      <c r="K285" s="25">
        <f t="shared" ref="K285:L285" si="69">SUM(K286:K287)</f>
        <v>0</v>
      </c>
      <c r="L285" s="25">
        <f t="shared" si="69"/>
        <v>44446</v>
      </c>
      <c r="M285" s="25">
        <f t="shared" si="61"/>
        <v>44446</v>
      </c>
      <c r="N285" s="25">
        <f t="shared" ref="N285:O285" si="70">SUM(N286:N287)</f>
        <v>0</v>
      </c>
      <c r="O285" s="25">
        <f t="shared" si="70"/>
        <v>0</v>
      </c>
      <c r="P285" s="25">
        <f t="shared" si="62"/>
        <v>0</v>
      </c>
      <c r="Q285" s="25">
        <f t="shared" ref="Q285:R285" si="71">SUM(Q286:Q287)</f>
        <v>0</v>
      </c>
      <c r="R285" s="25">
        <f t="shared" si="71"/>
        <v>0</v>
      </c>
      <c r="S285" s="25">
        <f t="shared" si="63"/>
        <v>0</v>
      </c>
      <c r="T285" s="25">
        <f t="shared" ref="T285:U285" si="72">SUM(T286:T287)</f>
        <v>0</v>
      </c>
      <c r="U285" s="25">
        <f t="shared" si="72"/>
        <v>0</v>
      </c>
      <c r="V285" s="25">
        <f t="shared" si="64"/>
        <v>0</v>
      </c>
      <c r="W285" s="25">
        <f t="shared" ref="W285:X285" si="73">SUM(W286:W287)</f>
        <v>0</v>
      </c>
      <c r="X285" s="25">
        <f t="shared" si="73"/>
        <v>0</v>
      </c>
      <c r="Y285" s="25">
        <f t="shared" si="65"/>
        <v>0</v>
      </c>
      <c r="Z285" s="25">
        <f t="shared" ref="Z285:AA285" si="74">SUM(Z286:Z287)</f>
        <v>0</v>
      </c>
      <c r="AA285" s="25">
        <f t="shared" si="74"/>
        <v>0</v>
      </c>
      <c r="AB285" s="25">
        <f t="shared" si="66"/>
        <v>0</v>
      </c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</row>
    <row r="286" spans="1:187" s="6" customFormat="1" ht="31.5" x14ac:dyDescent="0.25">
      <c r="A286" s="30" t="s">
        <v>257</v>
      </c>
      <c r="B286" s="31">
        <f t="shared" si="67"/>
        <v>0</v>
      </c>
      <c r="C286" s="31">
        <f t="shared" si="67"/>
        <v>26698</v>
      </c>
      <c r="D286" s="31">
        <f t="shared" si="67"/>
        <v>26698</v>
      </c>
      <c r="E286" s="31"/>
      <c r="F286" s="31"/>
      <c r="G286" s="31">
        <f t="shared" si="59"/>
        <v>0</v>
      </c>
      <c r="H286" s="31"/>
      <c r="I286" s="31"/>
      <c r="J286" s="31">
        <f t="shared" si="60"/>
        <v>0</v>
      </c>
      <c r="K286" s="31"/>
      <c r="L286" s="31">
        <v>26698</v>
      </c>
      <c r="M286" s="31">
        <f t="shared" si="61"/>
        <v>26698</v>
      </c>
      <c r="N286" s="31"/>
      <c r="O286" s="31"/>
      <c r="P286" s="31">
        <f t="shared" si="62"/>
        <v>0</v>
      </c>
      <c r="Q286" s="31"/>
      <c r="R286" s="31"/>
      <c r="S286" s="31">
        <f t="shared" si="63"/>
        <v>0</v>
      </c>
      <c r="T286" s="31"/>
      <c r="U286" s="31"/>
      <c r="V286" s="31">
        <f t="shared" si="64"/>
        <v>0</v>
      </c>
      <c r="W286" s="31"/>
      <c r="X286" s="31"/>
      <c r="Y286" s="31">
        <f t="shared" si="65"/>
        <v>0</v>
      </c>
      <c r="Z286" s="31"/>
      <c r="AA286" s="31"/>
      <c r="AB286" s="31">
        <f t="shared" si="66"/>
        <v>0</v>
      </c>
      <c r="FL286" s="23"/>
      <c r="FM286" s="23"/>
      <c r="FN286" s="23"/>
      <c r="FO286" s="23"/>
      <c r="FP286" s="23"/>
      <c r="FQ286" s="23"/>
      <c r="FR286" s="23"/>
      <c r="FS286" s="23"/>
      <c r="FT286" s="23"/>
      <c r="FU286" s="23"/>
      <c r="FV286" s="23"/>
      <c r="FW286" s="23"/>
      <c r="FX286" s="23"/>
      <c r="FY286" s="23"/>
      <c r="FZ286" s="23"/>
      <c r="GA286" s="23"/>
      <c r="GB286" s="23"/>
      <c r="GC286" s="23"/>
      <c r="GD286" s="23"/>
      <c r="GE286" s="23"/>
    </row>
    <row r="287" spans="1:187" s="6" customFormat="1" ht="47.25" x14ac:dyDescent="0.25">
      <c r="A287" s="30" t="s">
        <v>258</v>
      </c>
      <c r="B287" s="31">
        <f t="shared" si="67"/>
        <v>0</v>
      </c>
      <c r="C287" s="31">
        <f t="shared" si="67"/>
        <v>17748</v>
      </c>
      <c r="D287" s="31">
        <f t="shared" si="67"/>
        <v>17748</v>
      </c>
      <c r="E287" s="31"/>
      <c r="F287" s="31"/>
      <c r="G287" s="31">
        <f t="shared" si="59"/>
        <v>0</v>
      </c>
      <c r="H287" s="31"/>
      <c r="I287" s="31"/>
      <c r="J287" s="31">
        <f t="shared" si="60"/>
        <v>0</v>
      </c>
      <c r="K287" s="31"/>
      <c r="L287" s="31">
        <v>17748</v>
      </c>
      <c r="M287" s="31">
        <f t="shared" si="61"/>
        <v>17748</v>
      </c>
      <c r="N287" s="31"/>
      <c r="O287" s="31"/>
      <c r="P287" s="31">
        <f t="shared" si="62"/>
        <v>0</v>
      </c>
      <c r="Q287" s="31"/>
      <c r="R287" s="31"/>
      <c r="S287" s="31">
        <f t="shared" si="63"/>
        <v>0</v>
      </c>
      <c r="T287" s="31"/>
      <c r="U287" s="31"/>
      <c r="V287" s="31">
        <f t="shared" si="64"/>
        <v>0</v>
      </c>
      <c r="W287" s="31"/>
      <c r="X287" s="31"/>
      <c r="Y287" s="31">
        <f t="shared" si="65"/>
        <v>0</v>
      </c>
      <c r="Z287" s="31"/>
      <c r="AA287" s="31"/>
      <c r="AB287" s="31">
        <f t="shared" si="66"/>
        <v>0</v>
      </c>
      <c r="FL287" s="23"/>
      <c r="FM287" s="23"/>
      <c r="FN287" s="23"/>
      <c r="FO287" s="23"/>
      <c r="FP287" s="23"/>
      <c r="FQ287" s="23"/>
      <c r="FR287" s="23"/>
      <c r="FS287" s="23"/>
      <c r="FT287" s="23"/>
      <c r="FU287" s="23"/>
      <c r="FV287" s="23"/>
      <c r="FW287" s="23"/>
      <c r="FX287" s="23"/>
      <c r="FY287" s="23"/>
      <c r="FZ287" s="23"/>
      <c r="GA287" s="23"/>
      <c r="GB287" s="23"/>
      <c r="GC287" s="23"/>
      <c r="GD287" s="23"/>
      <c r="GE287" s="23"/>
    </row>
    <row r="288" spans="1:187" s="6" customFormat="1" ht="31.5" x14ac:dyDescent="0.25">
      <c r="A288" s="24" t="s">
        <v>76</v>
      </c>
      <c r="B288" s="25">
        <f t="shared" si="67"/>
        <v>1196112</v>
      </c>
      <c r="C288" s="25">
        <f t="shared" si="67"/>
        <v>1205472</v>
      </c>
      <c r="D288" s="25">
        <f t="shared" si="67"/>
        <v>9360</v>
      </c>
      <c r="E288" s="25">
        <f>SUM(E294,E310,E306,E289,E314)</f>
        <v>181890</v>
      </c>
      <c r="F288" s="25">
        <f>SUM(F294,F310,F306,F289,F314)</f>
        <v>217159</v>
      </c>
      <c r="G288" s="25">
        <f t="shared" si="59"/>
        <v>35269</v>
      </c>
      <c r="H288" s="25">
        <f>SUM(H294,H310,H306,H289,H314)</f>
        <v>0</v>
      </c>
      <c r="I288" s="25">
        <f>SUM(I294,I310,I306,I289,I314)</f>
        <v>0</v>
      </c>
      <c r="J288" s="25">
        <f t="shared" si="60"/>
        <v>0</v>
      </c>
      <c r="K288" s="25">
        <f>SUM(K294,K310,K306,K289,K314)</f>
        <v>248782</v>
      </c>
      <c r="L288" s="25">
        <f>SUM(L294,L310,L306,L289,L314)</f>
        <v>233663</v>
      </c>
      <c r="M288" s="25">
        <f t="shared" si="61"/>
        <v>-15119</v>
      </c>
      <c r="N288" s="25">
        <f>SUM(N294,N310,N306,N289,N314)</f>
        <v>560880</v>
      </c>
      <c r="O288" s="25">
        <f>SUM(O294,O310,O306,O289,O314)</f>
        <v>550090</v>
      </c>
      <c r="P288" s="25">
        <f t="shared" si="62"/>
        <v>-10790</v>
      </c>
      <c r="Q288" s="25">
        <f>SUM(Q294,Q310,Q306,Q289,Q314)</f>
        <v>27560</v>
      </c>
      <c r="R288" s="25">
        <f>SUM(R294,R310,R306,R289,R314)</f>
        <v>27560</v>
      </c>
      <c r="S288" s="25">
        <f t="shared" si="63"/>
        <v>0</v>
      </c>
      <c r="T288" s="25">
        <f>SUM(T294,T310,T306,T289,T314)</f>
        <v>177000</v>
      </c>
      <c r="U288" s="25">
        <f>SUM(U294,U310,U306,U289,U314)</f>
        <v>177000</v>
      </c>
      <c r="V288" s="25">
        <f t="shared" si="64"/>
        <v>0</v>
      </c>
      <c r="W288" s="25">
        <f>SUM(W294,W310,W306,W289,W314)</f>
        <v>0</v>
      </c>
      <c r="X288" s="25">
        <f>SUM(X294,X310,X306,X289,X314)</f>
        <v>0</v>
      </c>
      <c r="Y288" s="25">
        <f t="shared" si="65"/>
        <v>0</v>
      </c>
      <c r="Z288" s="25">
        <f>SUM(Z294,Z310,Z306,Z289,Z314)</f>
        <v>0</v>
      </c>
      <c r="AA288" s="25">
        <f>SUM(AA294,AA310,AA306,AA289,AA314)</f>
        <v>0</v>
      </c>
      <c r="AB288" s="25">
        <f t="shared" si="66"/>
        <v>0</v>
      </c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  <c r="FE288" s="23"/>
      <c r="FF288" s="23"/>
      <c r="FG288" s="23"/>
      <c r="FH288" s="23"/>
      <c r="FI288" s="23"/>
      <c r="FJ288" s="23"/>
      <c r="FK288" s="23"/>
      <c r="FL288" s="23"/>
      <c r="FM288" s="23"/>
      <c r="FN288" s="23"/>
      <c r="FO288" s="23"/>
      <c r="FP288" s="23"/>
      <c r="FQ288" s="23"/>
      <c r="FR288" s="23"/>
      <c r="FS288" s="23"/>
      <c r="FT288" s="23"/>
      <c r="FU288" s="23"/>
      <c r="FV288" s="23"/>
      <c r="FW288" s="23"/>
      <c r="FX288" s="23"/>
      <c r="FY288" s="23"/>
      <c r="FZ288" s="23"/>
      <c r="GA288" s="23"/>
      <c r="GB288" s="23"/>
      <c r="GC288" s="23"/>
      <c r="GD288" s="23"/>
      <c r="GE288" s="23"/>
    </row>
    <row r="289" spans="1:187" s="6" customFormat="1" x14ac:dyDescent="0.25">
      <c r="A289" s="24" t="s">
        <v>90</v>
      </c>
      <c r="B289" s="25">
        <f t="shared" si="67"/>
        <v>35445</v>
      </c>
      <c r="C289" s="25">
        <f t="shared" si="67"/>
        <v>36835</v>
      </c>
      <c r="D289" s="25">
        <f t="shared" si="67"/>
        <v>1390</v>
      </c>
      <c r="E289" s="25">
        <f>SUM(E290:E293)</f>
        <v>0</v>
      </c>
      <c r="F289" s="25">
        <f>SUM(F290:F293)</f>
        <v>3238</v>
      </c>
      <c r="G289" s="25">
        <f t="shared" si="59"/>
        <v>3238</v>
      </c>
      <c r="H289" s="25">
        <f>SUM(H290:H293)</f>
        <v>0</v>
      </c>
      <c r="I289" s="25">
        <f>SUM(I290:I293)</f>
        <v>0</v>
      </c>
      <c r="J289" s="25">
        <f t="shared" si="60"/>
        <v>0</v>
      </c>
      <c r="K289" s="25">
        <f>SUM(K290:K293)</f>
        <v>4542</v>
      </c>
      <c r="L289" s="25">
        <f>SUM(L290:L293)</f>
        <v>5932</v>
      </c>
      <c r="M289" s="25">
        <f t="shared" si="61"/>
        <v>1390</v>
      </c>
      <c r="N289" s="25">
        <f>SUM(N290:N293)</f>
        <v>5343</v>
      </c>
      <c r="O289" s="25">
        <f>SUM(O290:O293)</f>
        <v>2105</v>
      </c>
      <c r="P289" s="25">
        <f t="shared" si="62"/>
        <v>-3238</v>
      </c>
      <c r="Q289" s="25">
        <f>SUM(Q290:Q293)</f>
        <v>25560</v>
      </c>
      <c r="R289" s="25">
        <f>SUM(R290:R293)</f>
        <v>25560</v>
      </c>
      <c r="S289" s="25">
        <f t="shared" si="63"/>
        <v>0</v>
      </c>
      <c r="T289" s="25">
        <f>SUM(T290:T293)</f>
        <v>0</v>
      </c>
      <c r="U289" s="25">
        <f>SUM(U290:U293)</f>
        <v>0</v>
      </c>
      <c r="V289" s="25">
        <f t="shared" si="64"/>
        <v>0</v>
      </c>
      <c r="W289" s="25">
        <f>SUM(W290:W293)</f>
        <v>0</v>
      </c>
      <c r="X289" s="25">
        <f>SUM(X290:X293)</f>
        <v>0</v>
      </c>
      <c r="Y289" s="25">
        <f t="shared" si="65"/>
        <v>0</v>
      </c>
      <c r="Z289" s="25">
        <f>SUM(Z290:Z293)</f>
        <v>0</v>
      </c>
      <c r="AA289" s="25">
        <f>SUM(AA290:AA293)</f>
        <v>0</v>
      </c>
      <c r="AB289" s="25">
        <f t="shared" si="66"/>
        <v>0</v>
      </c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  <c r="EN289" s="23"/>
      <c r="EO289" s="23"/>
      <c r="EP289" s="23"/>
      <c r="EQ289" s="23"/>
      <c r="ER289" s="23"/>
      <c r="ES289" s="23"/>
      <c r="ET289" s="23"/>
      <c r="EU289" s="23"/>
      <c r="EV289" s="23"/>
      <c r="EW289" s="23"/>
      <c r="EX289" s="23"/>
      <c r="EY289" s="23"/>
      <c r="EZ289" s="23"/>
      <c r="FA289" s="23"/>
      <c r="FB289" s="23"/>
      <c r="FC289" s="23"/>
      <c r="FD289" s="23"/>
      <c r="FE289" s="23"/>
      <c r="FF289" s="23"/>
      <c r="FG289" s="23"/>
      <c r="FH289" s="23"/>
      <c r="FI289" s="23"/>
      <c r="FJ289" s="23"/>
      <c r="FK289" s="23"/>
      <c r="FL289" s="23"/>
      <c r="FM289" s="23"/>
      <c r="FN289" s="23"/>
      <c r="FO289" s="23"/>
      <c r="FP289" s="23"/>
      <c r="FQ289" s="23"/>
      <c r="FR289" s="23"/>
      <c r="FS289" s="23"/>
      <c r="FT289" s="23"/>
      <c r="FU289" s="23"/>
      <c r="FV289" s="23"/>
      <c r="FW289" s="23"/>
      <c r="FX289" s="23"/>
      <c r="FY289" s="23"/>
      <c r="FZ289" s="23"/>
      <c r="GA289" s="23"/>
      <c r="GB289" s="23"/>
      <c r="GC289" s="23"/>
      <c r="GD289" s="23"/>
      <c r="GE289" s="23"/>
    </row>
    <row r="290" spans="1:187" s="6" customFormat="1" ht="63" x14ac:dyDescent="0.25">
      <c r="A290" s="27" t="s">
        <v>259</v>
      </c>
      <c r="B290" s="31">
        <f t="shared" si="67"/>
        <v>5343</v>
      </c>
      <c r="C290" s="31">
        <f t="shared" si="67"/>
        <v>5343</v>
      </c>
      <c r="D290" s="31">
        <f t="shared" si="67"/>
        <v>0</v>
      </c>
      <c r="E290" s="31"/>
      <c r="F290" s="31">
        <f>1134+2104</f>
        <v>3238</v>
      </c>
      <c r="G290" s="31">
        <f t="shared" si="59"/>
        <v>3238</v>
      </c>
      <c r="H290" s="31"/>
      <c r="I290" s="31"/>
      <c r="J290" s="31">
        <f t="shared" si="60"/>
        <v>0</v>
      </c>
      <c r="K290" s="31"/>
      <c r="L290" s="31"/>
      <c r="M290" s="31">
        <f t="shared" si="61"/>
        <v>0</v>
      </c>
      <c r="N290" s="31">
        <v>5343</v>
      </c>
      <c r="O290" s="31">
        <f>5343-3238</f>
        <v>2105</v>
      </c>
      <c r="P290" s="31">
        <f t="shared" si="62"/>
        <v>-3238</v>
      </c>
      <c r="Q290" s="31"/>
      <c r="R290" s="31"/>
      <c r="S290" s="31">
        <f t="shared" si="63"/>
        <v>0</v>
      </c>
      <c r="T290" s="31"/>
      <c r="U290" s="31"/>
      <c r="V290" s="31">
        <f t="shared" si="64"/>
        <v>0</v>
      </c>
      <c r="W290" s="31"/>
      <c r="X290" s="31"/>
      <c r="Y290" s="31">
        <f t="shared" si="65"/>
        <v>0</v>
      </c>
      <c r="Z290" s="31"/>
      <c r="AA290" s="31"/>
      <c r="AB290" s="31">
        <f t="shared" si="66"/>
        <v>0</v>
      </c>
    </row>
    <row r="291" spans="1:187" s="6" customFormat="1" ht="31.5" x14ac:dyDescent="0.25">
      <c r="A291" s="27" t="s">
        <v>260</v>
      </c>
      <c r="B291" s="31">
        <f t="shared" si="67"/>
        <v>15060</v>
      </c>
      <c r="C291" s="31">
        <f t="shared" si="67"/>
        <v>15060</v>
      </c>
      <c r="D291" s="31">
        <f t="shared" si="67"/>
        <v>0</v>
      </c>
      <c r="E291" s="31"/>
      <c r="F291" s="31"/>
      <c r="G291" s="31">
        <f t="shared" si="59"/>
        <v>0</v>
      </c>
      <c r="H291" s="31"/>
      <c r="I291" s="31"/>
      <c r="J291" s="31">
        <f t="shared" si="60"/>
        <v>0</v>
      </c>
      <c r="K291" s="31"/>
      <c r="L291" s="31"/>
      <c r="M291" s="31">
        <f t="shared" si="61"/>
        <v>0</v>
      </c>
      <c r="N291" s="31"/>
      <c r="O291" s="31"/>
      <c r="P291" s="31">
        <f t="shared" si="62"/>
        <v>0</v>
      </c>
      <c r="Q291" s="31">
        <v>15060</v>
      </c>
      <c r="R291" s="31">
        <v>15060</v>
      </c>
      <c r="S291" s="31">
        <f t="shared" si="63"/>
        <v>0</v>
      </c>
      <c r="T291" s="31"/>
      <c r="U291" s="31"/>
      <c r="V291" s="31">
        <f t="shared" si="64"/>
        <v>0</v>
      </c>
      <c r="W291" s="31"/>
      <c r="X291" s="31"/>
      <c r="Y291" s="31">
        <f t="shared" si="65"/>
        <v>0</v>
      </c>
      <c r="Z291" s="31"/>
      <c r="AA291" s="31"/>
      <c r="AB291" s="31">
        <f t="shared" si="66"/>
        <v>0</v>
      </c>
    </row>
    <row r="292" spans="1:187" s="6" customFormat="1" ht="31.5" x14ac:dyDescent="0.25">
      <c r="A292" s="27" t="s">
        <v>261</v>
      </c>
      <c r="B292" s="31">
        <f t="shared" si="67"/>
        <v>4542</v>
      </c>
      <c r="C292" s="31">
        <f t="shared" si="67"/>
        <v>5932</v>
      </c>
      <c r="D292" s="31">
        <f t="shared" si="67"/>
        <v>1390</v>
      </c>
      <c r="E292" s="31"/>
      <c r="F292" s="31"/>
      <c r="G292" s="31">
        <f t="shared" si="59"/>
        <v>0</v>
      </c>
      <c r="H292" s="31"/>
      <c r="I292" s="31"/>
      <c r="J292" s="31">
        <f t="shared" si="60"/>
        <v>0</v>
      </c>
      <c r="K292" s="31">
        <f>3822+720</f>
        <v>4542</v>
      </c>
      <c r="L292" s="31">
        <f>3822+720+1390</f>
        <v>5932</v>
      </c>
      <c r="M292" s="31">
        <f t="shared" si="61"/>
        <v>1390</v>
      </c>
      <c r="N292" s="31"/>
      <c r="O292" s="31"/>
      <c r="P292" s="31">
        <f t="shared" si="62"/>
        <v>0</v>
      </c>
      <c r="Q292" s="31">
        <v>0</v>
      </c>
      <c r="R292" s="31">
        <v>0</v>
      </c>
      <c r="S292" s="31">
        <f t="shared" si="63"/>
        <v>0</v>
      </c>
      <c r="T292" s="31"/>
      <c r="U292" s="31"/>
      <c r="V292" s="31">
        <f t="shared" si="64"/>
        <v>0</v>
      </c>
      <c r="W292" s="31"/>
      <c r="X292" s="31"/>
      <c r="Y292" s="31">
        <f t="shared" si="65"/>
        <v>0</v>
      </c>
      <c r="Z292" s="31"/>
      <c r="AA292" s="31"/>
      <c r="AB292" s="31">
        <f t="shared" si="66"/>
        <v>0</v>
      </c>
    </row>
    <row r="293" spans="1:187" s="6" customFormat="1" ht="31.5" x14ac:dyDescent="0.25">
      <c r="A293" s="27" t="s">
        <v>262</v>
      </c>
      <c r="B293" s="31">
        <f t="shared" si="67"/>
        <v>10500</v>
      </c>
      <c r="C293" s="31">
        <f t="shared" si="67"/>
        <v>10500</v>
      </c>
      <c r="D293" s="31">
        <f t="shared" si="67"/>
        <v>0</v>
      </c>
      <c r="E293" s="31"/>
      <c r="F293" s="31"/>
      <c r="G293" s="31">
        <f t="shared" si="59"/>
        <v>0</v>
      </c>
      <c r="H293" s="31"/>
      <c r="I293" s="31"/>
      <c r="J293" s="31">
        <f t="shared" si="60"/>
        <v>0</v>
      </c>
      <c r="K293" s="31"/>
      <c r="L293" s="31"/>
      <c r="M293" s="31">
        <f t="shared" si="61"/>
        <v>0</v>
      </c>
      <c r="N293" s="31"/>
      <c r="O293" s="31"/>
      <c r="P293" s="31">
        <f t="shared" si="62"/>
        <v>0</v>
      </c>
      <c r="Q293" s="31">
        <v>10500</v>
      </c>
      <c r="R293" s="31">
        <v>10500</v>
      </c>
      <c r="S293" s="31">
        <f t="shared" si="63"/>
        <v>0</v>
      </c>
      <c r="T293" s="31"/>
      <c r="U293" s="31"/>
      <c r="V293" s="31">
        <f t="shared" si="64"/>
        <v>0</v>
      </c>
      <c r="W293" s="31"/>
      <c r="X293" s="31"/>
      <c r="Y293" s="31">
        <f t="shared" si="65"/>
        <v>0</v>
      </c>
      <c r="Z293" s="31"/>
      <c r="AA293" s="31"/>
      <c r="AB293" s="31">
        <f t="shared" si="66"/>
        <v>0</v>
      </c>
    </row>
    <row r="294" spans="1:187" s="6" customFormat="1" ht="31.5" x14ac:dyDescent="0.25">
      <c r="A294" s="24" t="s">
        <v>97</v>
      </c>
      <c r="B294" s="25">
        <f t="shared" si="67"/>
        <v>173301</v>
      </c>
      <c r="C294" s="25">
        <f t="shared" si="67"/>
        <v>185402</v>
      </c>
      <c r="D294" s="25">
        <f t="shared" si="67"/>
        <v>12101</v>
      </c>
      <c r="E294" s="25">
        <f>SUM(E295:E305)</f>
        <v>0</v>
      </c>
      <c r="F294" s="25">
        <f>SUM(F295:F305)</f>
        <v>32031</v>
      </c>
      <c r="G294" s="25">
        <f t="shared" si="59"/>
        <v>32031</v>
      </c>
      <c r="H294" s="25">
        <f>SUM(H295:H305)</f>
        <v>0</v>
      </c>
      <c r="I294" s="25">
        <f>SUM(I295:I305)</f>
        <v>0</v>
      </c>
      <c r="J294" s="25">
        <f t="shared" si="60"/>
        <v>0</v>
      </c>
      <c r="K294" s="25">
        <f>SUM(K295:K305)</f>
        <v>169509</v>
      </c>
      <c r="L294" s="25">
        <f>SUM(L295:L305)</f>
        <v>149579</v>
      </c>
      <c r="M294" s="25">
        <f t="shared" si="61"/>
        <v>-19930</v>
      </c>
      <c r="N294" s="25">
        <f>SUM(N295:N305)</f>
        <v>3792</v>
      </c>
      <c r="O294" s="25">
        <f>SUM(O295:O305)</f>
        <v>3792</v>
      </c>
      <c r="P294" s="25">
        <f t="shared" si="62"/>
        <v>0</v>
      </c>
      <c r="Q294" s="25">
        <f>SUM(Q295:Q305)</f>
        <v>0</v>
      </c>
      <c r="R294" s="25">
        <f>SUM(R295:R305)</f>
        <v>0</v>
      </c>
      <c r="S294" s="25">
        <f t="shared" si="63"/>
        <v>0</v>
      </c>
      <c r="T294" s="25">
        <f>SUM(T295:T305)</f>
        <v>0</v>
      </c>
      <c r="U294" s="25">
        <f>SUM(U295:U305)</f>
        <v>0</v>
      </c>
      <c r="V294" s="25">
        <f t="shared" si="64"/>
        <v>0</v>
      </c>
      <c r="W294" s="25">
        <f>SUM(W295:W305)</f>
        <v>0</v>
      </c>
      <c r="X294" s="25">
        <f>SUM(X295:X305)</f>
        <v>0</v>
      </c>
      <c r="Y294" s="25">
        <f t="shared" si="65"/>
        <v>0</v>
      </c>
      <c r="Z294" s="25">
        <f>SUM(Z295:Z305)</f>
        <v>0</v>
      </c>
      <c r="AA294" s="25">
        <f>SUM(AA295:AA305)</f>
        <v>0</v>
      </c>
      <c r="AB294" s="25">
        <f t="shared" si="66"/>
        <v>0</v>
      </c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  <c r="EH294" s="23"/>
      <c r="EI294" s="23"/>
      <c r="EJ294" s="23"/>
      <c r="EK294" s="23"/>
      <c r="EL294" s="23"/>
      <c r="EM294" s="23"/>
      <c r="EN294" s="23"/>
      <c r="EO294" s="23"/>
      <c r="EP294" s="23"/>
      <c r="EQ294" s="23"/>
      <c r="ER294" s="23"/>
      <c r="ES294" s="23"/>
      <c r="ET294" s="23"/>
      <c r="EU294" s="23"/>
      <c r="EV294" s="23"/>
      <c r="EW294" s="23"/>
      <c r="EX294" s="23"/>
      <c r="EY294" s="23"/>
      <c r="EZ294" s="23"/>
      <c r="FA294" s="23"/>
      <c r="FB294" s="23"/>
      <c r="FC294" s="23"/>
      <c r="FD294" s="23"/>
      <c r="FE294" s="23"/>
      <c r="FF294" s="23"/>
      <c r="FG294" s="23"/>
      <c r="FH294" s="23"/>
      <c r="FI294" s="23"/>
      <c r="FJ294" s="23"/>
      <c r="FK294" s="23"/>
      <c r="FL294" s="23"/>
      <c r="FM294" s="23"/>
      <c r="FN294" s="23"/>
      <c r="FO294" s="23"/>
      <c r="FP294" s="23"/>
      <c r="FQ294" s="23"/>
      <c r="FR294" s="23"/>
      <c r="FS294" s="23"/>
      <c r="FT294" s="23"/>
      <c r="FU294" s="23"/>
      <c r="FV294" s="23"/>
      <c r="FW294" s="23"/>
      <c r="FX294" s="23"/>
      <c r="FY294" s="23"/>
      <c r="FZ294" s="23"/>
      <c r="GA294" s="23"/>
      <c r="GB294" s="23"/>
      <c r="GC294" s="23"/>
      <c r="GD294" s="23"/>
      <c r="GE294" s="23"/>
    </row>
    <row r="295" spans="1:187" s="6" customFormat="1" ht="63" x14ac:dyDescent="0.25">
      <c r="A295" s="36" t="s">
        <v>263</v>
      </c>
      <c r="B295" s="31">
        <f t="shared" si="67"/>
        <v>1440</v>
      </c>
      <c r="C295" s="31">
        <f t="shared" si="67"/>
        <v>1440</v>
      </c>
      <c r="D295" s="31">
        <f t="shared" si="67"/>
        <v>0</v>
      </c>
      <c r="E295" s="31"/>
      <c r="F295" s="31"/>
      <c r="G295" s="31">
        <f t="shared" si="59"/>
        <v>0</v>
      </c>
      <c r="H295" s="31"/>
      <c r="I295" s="31"/>
      <c r="J295" s="31">
        <f t="shared" si="60"/>
        <v>0</v>
      </c>
      <c r="K295" s="31">
        <v>0</v>
      </c>
      <c r="L295" s="31">
        <v>0</v>
      </c>
      <c r="M295" s="31">
        <f t="shared" si="61"/>
        <v>0</v>
      </c>
      <c r="N295" s="31">
        <v>1440</v>
      </c>
      <c r="O295" s="31">
        <v>1440</v>
      </c>
      <c r="P295" s="31">
        <f t="shared" si="62"/>
        <v>0</v>
      </c>
      <c r="Q295" s="31"/>
      <c r="R295" s="31"/>
      <c r="S295" s="31">
        <f t="shared" si="63"/>
        <v>0</v>
      </c>
      <c r="T295" s="31"/>
      <c r="U295" s="31"/>
      <c r="V295" s="31">
        <f t="shared" si="64"/>
        <v>0</v>
      </c>
      <c r="W295" s="31"/>
      <c r="X295" s="31"/>
      <c r="Y295" s="31">
        <f t="shared" si="65"/>
        <v>0</v>
      </c>
      <c r="Z295" s="31"/>
      <c r="AA295" s="31"/>
      <c r="AB295" s="31">
        <f t="shared" si="66"/>
        <v>0</v>
      </c>
    </row>
    <row r="296" spans="1:187" s="6" customFormat="1" ht="78.75" x14ac:dyDescent="0.25">
      <c r="A296" s="36" t="s">
        <v>264</v>
      </c>
      <c r="B296" s="31">
        <f t="shared" si="67"/>
        <v>2352</v>
      </c>
      <c r="C296" s="31">
        <f t="shared" si="67"/>
        <v>2352</v>
      </c>
      <c r="D296" s="31">
        <f t="shared" si="67"/>
        <v>0</v>
      </c>
      <c r="E296" s="31">
        <v>0</v>
      </c>
      <c r="F296" s="31">
        <v>0</v>
      </c>
      <c r="G296" s="31">
        <f t="shared" si="59"/>
        <v>0</v>
      </c>
      <c r="H296" s="31">
        <v>0</v>
      </c>
      <c r="I296" s="31">
        <v>0</v>
      </c>
      <c r="J296" s="31">
        <f t="shared" si="60"/>
        <v>0</v>
      </c>
      <c r="K296" s="31">
        <v>0</v>
      </c>
      <c r="L296" s="31">
        <v>0</v>
      </c>
      <c r="M296" s="31">
        <f t="shared" si="61"/>
        <v>0</v>
      </c>
      <c r="N296" s="31">
        <v>2352</v>
      </c>
      <c r="O296" s="31">
        <v>2352</v>
      </c>
      <c r="P296" s="31">
        <f t="shared" si="62"/>
        <v>0</v>
      </c>
      <c r="Q296" s="31"/>
      <c r="R296" s="31"/>
      <c r="S296" s="31">
        <f t="shared" si="63"/>
        <v>0</v>
      </c>
      <c r="T296" s="31"/>
      <c r="U296" s="31"/>
      <c r="V296" s="31">
        <f t="shared" si="64"/>
        <v>0</v>
      </c>
      <c r="W296" s="31"/>
      <c r="X296" s="31"/>
      <c r="Y296" s="31">
        <f t="shared" si="65"/>
        <v>0</v>
      </c>
      <c r="Z296" s="31"/>
      <c r="AA296" s="31"/>
      <c r="AB296" s="31">
        <f t="shared" si="66"/>
        <v>0</v>
      </c>
    </row>
    <row r="297" spans="1:187" s="6" customFormat="1" ht="31.5" x14ac:dyDescent="0.25">
      <c r="A297" s="30" t="s">
        <v>265</v>
      </c>
      <c r="B297" s="31">
        <f t="shared" si="67"/>
        <v>0</v>
      </c>
      <c r="C297" s="31">
        <f t="shared" si="67"/>
        <v>2600</v>
      </c>
      <c r="D297" s="31">
        <f t="shared" si="67"/>
        <v>2600</v>
      </c>
      <c r="E297" s="31"/>
      <c r="F297" s="31"/>
      <c r="G297" s="31">
        <f t="shared" si="59"/>
        <v>0</v>
      </c>
      <c r="H297" s="31"/>
      <c r="I297" s="31"/>
      <c r="J297" s="31">
        <f t="shared" si="60"/>
        <v>0</v>
      </c>
      <c r="K297" s="31"/>
      <c r="L297" s="31">
        <v>2600</v>
      </c>
      <c r="M297" s="31">
        <f t="shared" si="61"/>
        <v>2600</v>
      </c>
      <c r="N297" s="31">
        <v>0</v>
      </c>
      <c r="O297" s="31">
        <v>0</v>
      </c>
      <c r="P297" s="31">
        <f t="shared" si="62"/>
        <v>0</v>
      </c>
      <c r="Q297" s="31"/>
      <c r="R297" s="31"/>
      <c r="S297" s="31">
        <f t="shared" si="63"/>
        <v>0</v>
      </c>
      <c r="T297" s="31"/>
      <c r="U297" s="31"/>
      <c r="V297" s="31">
        <f t="shared" si="64"/>
        <v>0</v>
      </c>
      <c r="W297" s="31"/>
      <c r="X297" s="31"/>
      <c r="Y297" s="31">
        <f t="shared" si="65"/>
        <v>0</v>
      </c>
      <c r="Z297" s="31"/>
      <c r="AA297" s="31"/>
      <c r="AB297" s="31">
        <f t="shared" si="66"/>
        <v>0</v>
      </c>
    </row>
    <row r="298" spans="1:187" s="6" customFormat="1" ht="31.5" x14ac:dyDescent="0.25">
      <c r="A298" s="30" t="s">
        <v>266</v>
      </c>
      <c r="B298" s="31">
        <f t="shared" si="67"/>
        <v>1596</v>
      </c>
      <c r="C298" s="31">
        <f t="shared" si="67"/>
        <v>1596</v>
      </c>
      <c r="D298" s="31">
        <f t="shared" si="67"/>
        <v>0</v>
      </c>
      <c r="E298" s="31"/>
      <c r="F298" s="31"/>
      <c r="G298" s="31">
        <f t="shared" si="59"/>
        <v>0</v>
      </c>
      <c r="H298" s="31"/>
      <c r="I298" s="31"/>
      <c r="J298" s="31">
        <f t="shared" si="60"/>
        <v>0</v>
      </c>
      <c r="K298" s="31">
        <v>1596</v>
      </c>
      <c r="L298" s="31">
        <v>1596</v>
      </c>
      <c r="M298" s="31">
        <f t="shared" si="61"/>
        <v>0</v>
      </c>
      <c r="N298" s="31">
        <v>0</v>
      </c>
      <c r="O298" s="31">
        <v>0</v>
      </c>
      <c r="P298" s="31">
        <f t="shared" si="62"/>
        <v>0</v>
      </c>
      <c r="Q298" s="31"/>
      <c r="R298" s="31"/>
      <c r="S298" s="31">
        <f t="shared" si="63"/>
        <v>0</v>
      </c>
      <c r="T298" s="31"/>
      <c r="U298" s="31"/>
      <c r="V298" s="31">
        <f t="shared" si="64"/>
        <v>0</v>
      </c>
      <c r="W298" s="31"/>
      <c r="X298" s="31"/>
      <c r="Y298" s="31">
        <f t="shared" si="65"/>
        <v>0</v>
      </c>
      <c r="Z298" s="31"/>
      <c r="AA298" s="31"/>
      <c r="AB298" s="31">
        <f t="shared" si="66"/>
        <v>0</v>
      </c>
    </row>
    <row r="299" spans="1:187" s="6" customFormat="1" ht="31.5" x14ac:dyDescent="0.25">
      <c r="A299" s="30" t="s">
        <v>267</v>
      </c>
      <c r="B299" s="31">
        <f t="shared" si="67"/>
        <v>35890</v>
      </c>
      <c r="C299" s="31">
        <f t="shared" si="67"/>
        <v>35890</v>
      </c>
      <c r="D299" s="31">
        <f t="shared" si="67"/>
        <v>0</v>
      </c>
      <c r="E299" s="31"/>
      <c r="F299" s="31">
        <f>32031</f>
        <v>32031</v>
      </c>
      <c r="G299" s="31">
        <f t="shared" si="59"/>
        <v>32031</v>
      </c>
      <c r="H299" s="31"/>
      <c r="I299" s="31"/>
      <c r="J299" s="31">
        <f t="shared" si="60"/>
        <v>0</v>
      </c>
      <c r="K299" s="31">
        <f>36600-710</f>
        <v>35890</v>
      </c>
      <c r="L299" s="31">
        <f>36600-710-32031</f>
        <v>3859</v>
      </c>
      <c r="M299" s="31">
        <f t="shared" si="61"/>
        <v>-32031</v>
      </c>
      <c r="N299" s="31">
        <v>0</v>
      </c>
      <c r="O299" s="31">
        <v>0</v>
      </c>
      <c r="P299" s="31">
        <f t="shared" si="62"/>
        <v>0</v>
      </c>
      <c r="Q299" s="31"/>
      <c r="R299" s="31"/>
      <c r="S299" s="31">
        <f t="shared" si="63"/>
        <v>0</v>
      </c>
      <c r="T299" s="31"/>
      <c r="U299" s="31"/>
      <c r="V299" s="31">
        <f t="shared" si="64"/>
        <v>0</v>
      </c>
      <c r="W299" s="31"/>
      <c r="X299" s="31"/>
      <c r="Y299" s="31">
        <f t="shared" si="65"/>
        <v>0</v>
      </c>
      <c r="Z299" s="31"/>
      <c r="AA299" s="31"/>
      <c r="AB299" s="31">
        <f t="shared" si="66"/>
        <v>0</v>
      </c>
    </row>
    <row r="300" spans="1:187" s="6" customFormat="1" x14ac:dyDescent="0.25">
      <c r="A300" s="30" t="s">
        <v>268</v>
      </c>
      <c r="B300" s="31">
        <f t="shared" si="67"/>
        <v>4944</v>
      </c>
      <c r="C300" s="31">
        <f t="shared" si="67"/>
        <v>4944</v>
      </c>
      <c r="D300" s="31">
        <f t="shared" si="67"/>
        <v>0</v>
      </c>
      <c r="E300" s="31"/>
      <c r="F300" s="31"/>
      <c r="G300" s="31">
        <f t="shared" si="59"/>
        <v>0</v>
      </c>
      <c r="H300" s="31"/>
      <c r="I300" s="31"/>
      <c r="J300" s="31">
        <f t="shared" si="60"/>
        <v>0</v>
      </c>
      <c r="K300" s="31">
        <f>5304-360</f>
        <v>4944</v>
      </c>
      <c r="L300" s="31">
        <f>5304-360</f>
        <v>4944</v>
      </c>
      <c r="M300" s="31">
        <f t="shared" si="61"/>
        <v>0</v>
      </c>
      <c r="N300" s="31">
        <v>0</v>
      </c>
      <c r="O300" s="31">
        <v>0</v>
      </c>
      <c r="P300" s="31">
        <f t="shared" si="62"/>
        <v>0</v>
      </c>
      <c r="Q300" s="31"/>
      <c r="R300" s="31"/>
      <c r="S300" s="31">
        <f t="shared" si="63"/>
        <v>0</v>
      </c>
      <c r="T300" s="31"/>
      <c r="U300" s="31"/>
      <c r="V300" s="31">
        <f t="shared" si="64"/>
        <v>0</v>
      </c>
      <c r="W300" s="31"/>
      <c r="X300" s="31"/>
      <c r="Y300" s="31">
        <f t="shared" si="65"/>
        <v>0</v>
      </c>
      <c r="Z300" s="31"/>
      <c r="AA300" s="31"/>
      <c r="AB300" s="31">
        <f t="shared" si="66"/>
        <v>0</v>
      </c>
    </row>
    <row r="301" spans="1:187" s="6" customFormat="1" ht="31.5" x14ac:dyDescent="0.25">
      <c r="A301" s="30" t="s">
        <v>269</v>
      </c>
      <c r="B301" s="31">
        <f t="shared" si="67"/>
        <v>6000</v>
      </c>
      <c r="C301" s="31">
        <f t="shared" si="67"/>
        <v>6000</v>
      </c>
      <c r="D301" s="31">
        <f t="shared" si="67"/>
        <v>0</v>
      </c>
      <c r="E301" s="31"/>
      <c r="F301" s="31"/>
      <c r="G301" s="31">
        <f t="shared" si="59"/>
        <v>0</v>
      </c>
      <c r="H301" s="31"/>
      <c r="I301" s="31"/>
      <c r="J301" s="31">
        <f t="shared" si="60"/>
        <v>0</v>
      </c>
      <c r="K301" s="31">
        <v>6000</v>
      </c>
      <c r="L301" s="31">
        <v>6000</v>
      </c>
      <c r="M301" s="31">
        <f t="shared" si="61"/>
        <v>0</v>
      </c>
      <c r="N301" s="31">
        <v>0</v>
      </c>
      <c r="O301" s="31">
        <v>0</v>
      </c>
      <c r="P301" s="31">
        <f t="shared" si="62"/>
        <v>0</v>
      </c>
      <c r="Q301" s="31"/>
      <c r="R301" s="31"/>
      <c r="S301" s="31">
        <f t="shared" si="63"/>
        <v>0</v>
      </c>
      <c r="T301" s="31"/>
      <c r="U301" s="31"/>
      <c r="V301" s="31">
        <f t="shared" si="64"/>
        <v>0</v>
      </c>
      <c r="W301" s="31"/>
      <c r="X301" s="31"/>
      <c r="Y301" s="31">
        <f t="shared" si="65"/>
        <v>0</v>
      </c>
      <c r="Z301" s="31"/>
      <c r="AA301" s="31"/>
      <c r="AB301" s="31">
        <f t="shared" si="66"/>
        <v>0</v>
      </c>
    </row>
    <row r="302" spans="1:187" s="6" customFormat="1" x14ac:dyDescent="0.25">
      <c r="A302" s="30" t="s">
        <v>270</v>
      </c>
      <c r="B302" s="31">
        <f t="shared" si="67"/>
        <v>25999</v>
      </c>
      <c r="C302" s="31">
        <f t="shared" si="67"/>
        <v>25999</v>
      </c>
      <c r="D302" s="31">
        <f t="shared" si="67"/>
        <v>0</v>
      </c>
      <c r="E302" s="31"/>
      <c r="F302" s="31"/>
      <c r="G302" s="31">
        <f t="shared" si="59"/>
        <v>0</v>
      </c>
      <c r="H302" s="31"/>
      <c r="I302" s="31"/>
      <c r="J302" s="31">
        <f t="shared" si="60"/>
        <v>0</v>
      </c>
      <c r="K302" s="31">
        <v>25999</v>
      </c>
      <c r="L302" s="31">
        <v>25999</v>
      </c>
      <c r="M302" s="31">
        <f t="shared" si="61"/>
        <v>0</v>
      </c>
      <c r="N302" s="31">
        <v>0</v>
      </c>
      <c r="O302" s="31">
        <v>0</v>
      </c>
      <c r="P302" s="31">
        <f t="shared" si="62"/>
        <v>0</v>
      </c>
      <c r="Q302" s="31"/>
      <c r="R302" s="31"/>
      <c r="S302" s="31">
        <f t="shared" si="63"/>
        <v>0</v>
      </c>
      <c r="T302" s="31"/>
      <c r="U302" s="31"/>
      <c r="V302" s="31">
        <f t="shared" si="64"/>
        <v>0</v>
      </c>
      <c r="W302" s="31"/>
      <c r="X302" s="31"/>
      <c r="Y302" s="31">
        <f t="shared" si="65"/>
        <v>0</v>
      </c>
      <c r="Z302" s="31"/>
      <c r="AA302" s="31"/>
      <c r="AB302" s="31">
        <f t="shared" si="66"/>
        <v>0</v>
      </c>
    </row>
    <row r="303" spans="1:187" s="6" customFormat="1" x14ac:dyDescent="0.25">
      <c r="A303" s="30" t="s">
        <v>271</v>
      </c>
      <c r="B303" s="31">
        <f t="shared" si="67"/>
        <v>0</v>
      </c>
      <c r="C303" s="31">
        <f t="shared" si="67"/>
        <v>9501</v>
      </c>
      <c r="D303" s="31">
        <f t="shared" si="67"/>
        <v>9501</v>
      </c>
      <c r="E303" s="31"/>
      <c r="F303" s="31"/>
      <c r="G303" s="31">
        <f t="shared" si="59"/>
        <v>0</v>
      </c>
      <c r="H303" s="31"/>
      <c r="I303" s="31"/>
      <c r="J303" s="31">
        <f t="shared" si="60"/>
        <v>0</v>
      </c>
      <c r="K303" s="31"/>
      <c r="L303" s="31">
        <v>9501</v>
      </c>
      <c r="M303" s="31">
        <f t="shared" si="61"/>
        <v>9501</v>
      </c>
      <c r="N303" s="31">
        <v>0</v>
      </c>
      <c r="O303" s="31">
        <v>0</v>
      </c>
      <c r="P303" s="31">
        <f t="shared" si="62"/>
        <v>0</v>
      </c>
      <c r="Q303" s="31"/>
      <c r="R303" s="31"/>
      <c r="S303" s="31">
        <f t="shared" si="63"/>
        <v>0</v>
      </c>
      <c r="T303" s="31"/>
      <c r="U303" s="31"/>
      <c r="V303" s="31">
        <f t="shared" si="64"/>
        <v>0</v>
      </c>
      <c r="W303" s="31"/>
      <c r="X303" s="31"/>
      <c r="Y303" s="31">
        <f t="shared" si="65"/>
        <v>0</v>
      </c>
      <c r="Z303" s="31"/>
      <c r="AA303" s="31"/>
      <c r="AB303" s="31">
        <f t="shared" si="66"/>
        <v>0</v>
      </c>
    </row>
    <row r="304" spans="1:187" s="6" customFormat="1" x14ac:dyDescent="0.25">
      <c r="A304" s="30" t="s">
        <v>272</v>
      </c>
      <c r="B304" s="31">
        <f t="shared" si="67"/>
        <v>89880</v>
      </c>
      <c r="C304" s="31">
        <f t="shared" si="67"/>
        <v>89880</v>
      </c>
      <c r="D304" s="31">
        <f t="shared" si="67"/>
        <v>0</v>
      </c>
      <c r="E304" s="31"/>
      <c r="F304" s="31"/>
      <c r="G304" s="31">
        <f t="shared" si="59"/>
        <v>0</v>
      </c>
      <c r="H304" s="31"/>
      <c r="I304" s="31"/>
      <c r="J304" s="31">
        <f t="shared" si="60"/>
        <v>0</v>
      </c>
      <c r="K304" s="31">
        <v>89880</v>
      </c>
      <c r="L304" s="31">
        <v>89880</v>
      </c>
      <c r="M304" s="31">
        <f t="shared" si="61"/>
        <v>0</v>
      </c>
      <c r="N304" s="31">
        <v>0</v>
      </c>
      <c r="O304" s="31">
        <v>0</v>
      </c>
      <c r="P304" s="31">
        <f t="shared" si="62"/>
        <v>0</v>
      </c>
      <c r="Q304" s="31"/>
      <c r="R304" s="31"/>
      <c r="S304" s="31">
        <f t="shared" si="63"/>
        <v>0</v>
      </c>
      <c r="T304" s="31"/>
      <c r="U304" s="31"/>
      <c r="V304" s="31">
        <f t="shared" si="64"/>
        <v>0</v>
      </c>
      <c r="W304" s="31"/>
      <c r="X304" s="31"/>
      <c r="Y304" s="31">
        <f t="shared" si="65"/>
        <v>0</v>
      </c>
      <c r="Z304" s="31"/>
      <c r="AA304" s="31"/>
      <c r="AB304" s="31">
        <f t="shared" si="66"/>
        <v>0</v>
      </c>
    </row>
    <row r="305" spans="1:187" s="6" customFormat="1" x14ac:dyDescent="0.25">
      <c r="A305" s="30" t="s">
        <v>273</v>
      </c>
      <c r="B305" s="31">
        <f t="shared" si="67"/>
        <v>5200</v>
      </c>
      <c r="C305" s="31">
        <f t="shared" si="67"/>
        <v>5200</v>
      </c>
      <c r="D305" s="31">
        <f t="shared" si="67"/>
        <v>0</v>
      </c>
      <c r="E305" s="31"/>
      <c r="F305" s="31"/>
      <c r="G305" s="31">
        <f t="shared" si="59"/>
        <v>0</v>
      </c>
      <c r="H305" s="31"/>
      <c r="I305" s="31"/>
      <c r="J305" s="31">
        <f t="shared" si="60"/>
        <v>0</v>
      </c>
      <c r="K305" s="31">
        <f>3000+2200</f>
        <v>5200</v>
      </c>
      <c r="L305" s="31">
        <f>3000+2200</f>
        <v>5200</v>
      </c>
      <c r="M305" s="31">
        <f t="shared" si="61"/>
        <v>0</v>
      </c>
      <c r="N305" s="31">
        <v>0</v>
      </c>
      <c r="O305" s="31">
        <v>0</v>
      </c>
      <c r="P305" s="31">
        <f t="shared" si="62"/>
        <v>0</v>
      </c>
      <c r="Q305" s="31"/>
      <c r="R305" s="31"/>
      <c r="S305" s="31">
        <f t="shared" si="63"/>
        <v>0</v>
      </c>
      <c r="T305" s="31"/>
      <c r="U305" s="31"/>
      <c r="V305" s="31">
        <f t="shared" si="64"/>
        <v>0</v>
      </c>
      <c r="W305" s="31"/>
      <c r="X305" s="31"/>
      <c r="Y305" s="31">
        <f t="shared" si="65"/>
        <v>0</v>
      </c>
      <c r="Z305" s="31"/>
      <c r="AA305" s="31"/>
      <c r="AB305" s="31">
        <f t="shared" si="66"/>
        <v>0</v>
      </c>
    </row>
    <row r="306" spans="1:187" s="6" customFormat="1" x14ac:dyDescent="0.25">
      <c r="A306" s="24" t="s">
        <v>152</v>
      </c>
      <c r="B306" s="25">
        <f t="shared" si="67"/>
        <v>553745</v>
      </c>
      <c r="C306" s="25">
        <f t="shared" si="67"/>
        <v>547814</v>
      </c>
      <c r="D306" s="25">
        <f t="shared" si="67"/>
        <v>-5931</v>
      </c>
      <c r="E306" s="25">
        <f>SUM(E307:E309)</f>
        <v>0</v>
      </c>
      <c r="F306" s="25">
        <f>SUM(F307:F309)</f>
        <v>0</v>
      </c>
      <c r="G306" s="25">
        <f t="shared" si="59"/>
        <v>0</v>
      </c>
      <c r="H306" s="25">
        <f>SUM(H307:H309)</f>
        <v>0</v>
      </c>
      <c r="I306" s="25">
        <f>SUM(I307:I309)</f>
        <v>0</v>
      </c>
      <c r="J306" s="25">
        <f t="shared" si="60"/>
        <v>0</v>
      </c>
      <c r="K306" s="25">
        <f>SUM(K307:K309)</f>
        <v>0</v>
      </c>
      <c r="L306" s="25">
        <f>SUM(L307:L309)</f>
        <v>1621</v>
      </c>
      <c r="M306" s="25">
        <f t="shared" si="61"/>
        <v>1621</v>
      </c>
      <c r="N306" s="25">
        <f>SUM(N307:N309)</f>
        <v>551745</v>
      </c>
      <c r="O306" s="25">
        <f>SUM(O307:O309)</f>
        <v>544193</v>
      </c>
      <c r="P306" s="25">
        <f t="shared" si="62"/>
        <v>-7552</v>
      </c>
      <c r="Q306" s="25">
        <f>SUM(Q307:Q309)</f>
        <v>2000</v>
      </c>
      <c r="R306" s="25">
        <f>SUM(R307:R309)</f>
        <v>2000</v>
      </c>
      <c r="S306" s="25">
        <f t="shared" si="63"/>
        <v>0</v>
      </c>
      <c r="T306" s="25">
        <f>SUM(T307:T309)</f>
        <v>0</v>
      </c>
      <c r="U306" s="25">
        <f>SUM(U307:U309)</f>
        <v>0</v>
      </c>
      <c r="V306" s="25">
        <f t="shared" si="64"/>
        <v>0</v>
      </c>
      <c r="W306" s="25">
        <f>SUM(W307:W309)</f>
        <v>0</v>
      </c>
      <c r="X306" s="25">
        <f>SUM(X307:X309)</f>
        <v>0</v>
      </c>
      <c r="Y306" s="25">
        <f t="shared" si="65"/>
        <v>0</v>
      </c>
      <c r="Z306" s="25">
        <f>SUM(Z307:Z309)</f>
        <v>0</v>
      </c>
      <c r="AA306" s="25">
        <f>SUM(AA307:AA309)</f>
        <v>0</v>
      </c>
      <c r="AB306" s="25">
        <f t="shared" si="66"/>
        <v>0</v>
      </c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  <c r="DG306" s="23"/>
      <c r="DH306" s="23"/>
      <c r="DI306" s="23"/>
      <c r="DJ306" s="23"/>
      <c r="DK306" s="23"/>
      <c r="DL306" s="23"/>
      <c r="DM306" s="23"/>
      <c r="DN306" s="23"/>
      <c r="DO306" s="23"/>
      <c r="DP306" s="23"/>
      <c r="DQ306" s="23"/>
      <c r="DR306" s="23"/>
      <c r="DS306" s="23"/>
      <c r="DT306" s="23"/>
      <c r="DU306" s="23"/>
      <c r="DV306" s="23"/>
      <c r="DW306" s="23"/>
      <c r="DX306" s="23"/>
      <c r="DY306" s="23"/>
      <c r="DZ306" s="23"/>
      <c r="EA306" s="23"/>
      <c r="EB306" s="23"/>
      <c r="EC306" s="23"/>
      <c r="ED306" s="23"/>
      <c r="EE306" s="23"/>
      <c r="EF306" s="23"/>
      <c r="EG306" s="23"/>
      <c r="EH306" s="23"/>
      <c r="EI306" s="23"/>
      <c r="EJ306" s="23"/>
      <c r="EK306" s="23"/>
      <c r="EL306" s="23"/>
      <c r="EM306" s="23"/>
      <c r="EN306" s="23"/>
      <c r="EO306" s="23"/>
      <c r="EP306" s="23"/>
      <c r="EQ306" s="23"/>
      <c r="ER306" s="23"/>
      <c r="ES306" s="23"/>
      <c r="ET306" s="23"/>
      <c r="EU306" s="23"/>
      <c r="EV306" s="23"/>
      <c r="EW306" s="23"/>
      <c r="EX306" s="23"/>
      <c r="EY306" s="23"/>
      <c r="EZ306" s="23"/>
      <c r="FA306" s="23"/>
      <c r="FB306" s="23"/>
      <c r="FC306" s="23"/>
      <c r="FD306" s="23"/>
      <c r="FE306" s="23"/>
      <c r="FF306" s="23"/>
      <c r="FG306" s="23"/>
      <c r="FH306" s="23"/>
      <c r="FI306" s="23"/>
      <c r="FJ306" s="23"/>
      <c r="FK306" s="23"/>
      <c r="FL306" s="23"/>
      <c r="FM306" s="23"/>
      <c r="FN306" s="23"/>
      <c r="FO306" s="23"/>
      <c r="FP306" s="23"/>
      <c r="FQ306" s="23"/>
      <c r="FR306" s="23"/>
      <c r="FS306" s="23"/>
      <c r="FT306" s="23"/>
      <c r="FU306" s="23"/>
      <c r="FV306" s="23"/>
      <c r="FW306" s="23"/>
      <c r="FX306" s="23"/>
      <c r="FY306" s="23"/>
      <c r="FZ306" s="23"/>
      <c r="GA306" s="23"/>
      <c r="GB306" s="23"/>
      <c r="GC306" s="23"/>
      <c r="GD306" s="23"/>
      <c r="GE306" s="23"/>
    </row>
    <row r="307" spans="1:187" s="6" customFormat="1" ht="78.75" x14ac:dyDescent="0.25">
      <c r="A307" s="30" t="s">
        <v>274</v>
      </c>
      <c r="B307" s="31">
        <f t="shared" si="67"/>
        <v>551745</v>
      </c>
      <c r="C307" s="31">
        <f t="shared" si="67"/>
        <v>544193</v>
      </c>
      <c r="D307" s="31">
        <f t="shared" si="67"/>
        <v>-7552</v>
      </c>
      <c r="E307" s="31"/>
      <c r="F307" s="31"/>
      <c r="G307" s="31">
        <f t="shared" si="59"/>
        <v>0</v>
      </c>
      <c r="H307" s="31"/>
      <c r="I307" s="31"/>
      <c r="J307" s="31">
        <f t="shared" si="60"/>
        <v>0</v>
      </c>
      <c r="K307" s="31"/>
      <c r="L307" s="31"/>
      <c r="M307" s="31">
        <f t="shared" si="61"/>
        <v>0</v>
      </c>
      <c r="N307" s="31">
        <v>551745</v>
      </c>
      <c r="O307" s="31">
        <f>551745-7552</f>
        <v>544193</v>
      </c>
      <c r="P307" s="31">
        <f t="shared" si="62"/>
        <v>-7552</v>
      </c>
      <c r="Q307" s="31"/>
      <c r="R307" s="31"/>
      <c r="S307" s="31">
        <f t="shared" si="63"/>
        <v>0</v>
      </c>
      <c r="T307" s="31"/>
      <c r="U307" s="31"/>
      <c r="V307" s="31">
        <f t="shared" si="64"/>
        <v>0</v>
      </c>
      <c r="W307" s="31"/>
      <c r="X307" s="31"/>
      <c r="Y307" s="31">
        <f t="shared" si="65"/>
        <v>0</v>
      </c>
      <c r="Z307" s="31"/>
      <c r="AA307" s="31"/>
      <c r="AB307" s="31">
        <f t="shared" si="66"/>
        <v>0</v>
      </c>
    </row>
    <row r="308" spans="1:187" s="6" customFormat="1" ht="31.5" x14ac:dyDescent="0.25">
      <c r="A308" s="27" t="s">
        <v>275</v>
      </c>
      <c r="B308" s="31">
        <f t="shared" si="67"/>
        <v>0</v>
      </c>
      <c r="C308" s="31">
        <f t="shared" si="67"/>
        <v>1621</v>
      </c>
      <c r="D308" s="31">
        <f t="shared" si="67"/>
        <v>1621</v>
      </c>
      <c r="E308" s="31"/>
      <c r="F308" s="31"/>
      <c r="G308" s="31">
        <f t="shared" si="59"/>
        <v>0</v>
      </c>
      <c r="H308" s="31"/>
      <c r="I308" s="31"/>
      <c r="J308" s="31">
        <f t="shared" si="60"/>
        <v>0</v>
      </c>
      <c r="K308" s="31"/>
      <c r="L308" s="31">
        <v>1621</v>
      </c>
      <c r="M308" s="31">
        <f t="shared" si="61"/>
        <v>1621</v>
      </c>
      <c r="N308" s="31"/>
      <c r="O308" s="31"/>
      <c r="P308" s="31">
        <f t="shared" si="62"/>
        <v>0</v>
      </c>
      <c r="Q308" s="31">
        <v>0</v>
      </c>
      <c r="R308" s="31">
        <v>0</v>
      </c>
      <c r="S308" s="31">
        <f t="shared" si="63"/>
        <v>0</v>
      </c>
      <c r="T308" s="31"/>
      <c r="U308" s="31"/>
      <c r="V308" s="31">
        <f t="shared" si="64"/>
        <v>0</v>
      </c>
      <c r="W308" s="31"/>
      <c r="X308" s="31"/>
      <c r="Y308" s="31">
        <f t="shared" si="65"/>
        <v>0</v>
      </c>
      <c r="Z308" s="31"/>
      <c r="AA308" s="31"/>
      <c r="AB308" s="31">
        <f t="shared" si="66"/>
        <v>0</v>
      </c>
    </row>
    <row r="309" spans="1:187" s="6" customFormat="1" ht="31.5" x14ac:dyDescent="0.25">
      <c r="A309" s="36" t="s">
        <v>276</v>
      </c>
      <c r="B309" s="31">
        <f t="shared" si="67"/>
        <v>2000</v>
      </c>
      <c r="C309" s="31">
        <f t="shared" si="67"/>
        <v>2000</v>
      </c>
      <c r="D309" s="31">
        <f t="shared" si="67"/>
        <v>0</v>
      </c>
      <c r="E309" s="31"/>
      <c r="F309" s="31"/>
      <c r="G309" s="31">
        <f t="shared" si="59"/>
        <v>0</v>
      </c>
      <c r="H309" s="31"/>
      <c r="I309" s="31"/>
      <c r="J309" s="31">
        <f t="shared" si="60"/>
        <v>0</v>
      </c>
      <c r="K309" s="31"/>
      <c r="L309" s="31"/>
      <c r="M309" s="31">
        <f t="shared" si="61"/>
        <v>0</v>
      </c>
      <c r="N309" s="31">
        <v>0</v>
      </c>
      <c r="O309" s="31">
        <v>0</v>
      </c>
      <c r="P309" s="31">
        <f t="shared" si="62"/>
        <v>0</v>
      </c>
      <c r="Q309" s="31">
        <v>2000</v>
      </c>
      <c r="R309" s="31">
        <v>2000</v>
      </c>
      <c r="S309" s="31">
        <f t="shared" si="63"/>
        <v>0</v>
      </c>
      <c r="T309" s="31"/>
      <c r="U309" s="31"/>
      <c r="V309" s="31">
        <f t="shared" si="64"/>
        <v>0</v>
      </c>
      <c r="W309" s="31"/>
      <c r="X309" s="31"/>
      <c r="Y309" s="31">
        <f t="shared" si="65"/>
        <v>0</v>
      </c>
      <c r="Z309" s="31"/>
      <c r="AA309" s="31"/>
      <c r="AB309" s="31">
        <f t="shared" si="66"/>
        <v>0</v>
      </c>
    </row>
    <row r="310" spans="1:187" s="6" customFormat="1" x14ac:dyDescent="0.25">
      <c r="A310" s="24" t="s">
        <v>108</v>
      </c>
      <c r="B310" s="25">
        <f t="shared" si="67"/>
        <v>403621</v>
      </c>
      <c r="C310" s="25">
        <f t="shared" si="67"/>
        <v>394621</v>
      </c>
      <c r="D310" s="25">
        <f t="shared" si="67"/>
        <v>-9000</v>
      </c>
      <c r="E310" s="25">
        <f>SUM(E311:E313)</f>
        <v>181890</v>
      </c>
      <c r="F310" s="25">
        <f>SUM(F311:F313)</f>
        <v>181890</v>
      </c>
      <c r="G310" s="25">
        <f t="shared" si="59"/>
        <v>0</v>
      </c>
      <c r="H310" s="25">
        <f>SUM(H311:H313)</f>
        <v>0</v>
      </c>
      <c r="I310" s="25">
        <f>SUM(I311:I313)</f>
        <v>0</v>
      </c>
      <c r="J310" s="25">
        <f t="shared" si="60"/>
        <v>0</v>
      </c>
      <c r="K310" s="25">
        <f>SUM(K311:K313)</f>
        <v>44731</v>
      </c>
      <c r="L310" s="25">
        <f>SUM(L311:L313)</f>
        <v>35731</v>
      </c>
      <c r="M310" s="25">
        <f t="shared" si="61"/>
        <v>-9000</v>
      </c>
      <c r="N310" s="25">
        <f>SUM(N311:N313)</f>
        <v>0</v>
      </c>
      <c r="O310" s="25">
        <f>SUM(O311:O313)</f>
        <v>0</v>
      </c>
      <c r="P310" s="25">
        <f t="shared" si="62"/>
        <v>0</v>
      </c>
      <c r="Q310" s="25">
        <f>SUM(Q311:Q313)</f>
        <v>0</v>
      </c>
      <c r="R310" s="25">
        <f>SUM(R311:R313)</f>
        <v>0</v>
      </c>
      <c r="S310" s="25">
        <f t="shared" si="63"/>
        <v>0</v>
      </c>
      <c r="T310" s="25">
        <f>SUM(T311:T313)</f>
        <v>177000</v>
      </c>
      <c r="U310" s="25">
        <f>SUM(U311:U313)</f>
        <v>177000</v>
      </c>
      <c r="V310" s="25">
        <f t="shared" si="64"/>
        <v>0</v>
      </c>
      <c r="W310" s="25">
        <f>SUM(W311:W313)</f>
        <v>0</v>
      </c>
      <c r="X310" s="25">
        <f>SUM(X311:X313)</f>
        <v>0</v>
      </c>
      <c r="Y310" s="25">
        <f t="shared" si="65"/>
        <v>0</v>
      </c>
      <c r="Z310" s="25">
        <f>SUM(Z311:Z313)</f>
        <v>0</v>
      </c>
      <c r="AA310" s="25">
        <f>SUM(AA311:AA313)</f>
        <v>0</v>
      </c>
      <c r="AB310" s="25">
        <f t="shared" si="66"/>
        <v>0</v>
      </c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  <c r="DG310" s="23"/>
      <c r="DH310" s="23"/>
      <c r="DI310" s="23"/>
      <c r="DJ310" s="23"/>
      <c r="DK310" s="23"/>
      <c r="DL310" s="23"/>
      <c r="DM310" s="23"/>
      <c r="DN310" s="23"/>
      <c r="DO310" s="23"/>
      <c r="DP310" s="23"/>
      <c r="DQ310" s="23"/>
      <c r="DR310" s="23"/>
      <c r="DS310" s="23"/>
      <c r="DT310" s="23"/>
      <c r="DU310" s="23"/>
      <c r="DV310" s="23"/>
      <c r="DW310" s="23"/>
      <c r="DX310" s="23"/>
      <c r="DY310" s="23"/>
      <c r="DZ310" s="23"/>
      <c r="EA310" s="23"/>
      <c r="EB310" s="23"/>
      <c r="EC310" s="23"/>
      <c r="ED310" s="23"/>
      <c r="EE310" s="23"/>
      <c r="EF310" s="23"/>
      <c r="EG310" s="23"/>
      <c r="EH310" s="23"/>
      <c r="EI310" s="23"/>
      <c r="EJ310" s="23"/>
      <c r="EK310" s="23"/>
      <c r="EL310" s="23"/>
      <c r="EM310" s="23"/>
      <c r="EN310" s="23"/>
      <c r="EO310" s="23"/>
      <c r="EP310" s="23"/>
      <c r="EQ310" s="23"/>
      <c r="ER310" s="23"/>
      <c r="ES310" s="23"/>
      <c r="ET310" s="23"/>
      <c r="EU310" s="23"/>
      <c r="EV310" s="23"/>
      <c r="EW310" s="23"/>
      <c r="EX310" s="23"/>
      <c r="EY310" s="23"/>
      <c r="EZ310" s="23"/>
      <c r="FA310" s="23"/>
      <c r="FB310" s="23"/>
      <c r="FC310" s="23"/>
      <c r="FD310" s="23"/>
      <c r="FE310" s="23"/>
      <c r="FF310" s="23"/>
      <c r="FG310" s="23"/>
      <c r="FH310" s="23"/>
      <c r="FI310" s="23"/>
      <c r="FJ310" s="23"/>
      <c r="FK310" s="23"/>
      <c r="FL310" s="23"/>
      <c r="FM310" s="23"/>
      <c r="FN310" s="23"/>
      <c r="FO310" s="23"/>
      <c r="FP310" s="23"/>
      <c r="FQ310" s="23"/>
      <c r="FR310" s="23"/>
      <c r="FS310" s="23"/>
      <c r="FT310" s="23"/>
      <c r="FU310" s="23"/>
      <c r="FV310" s="23"/>
      <c r="FW310" s="23"/>
      <c r="FX310" s="23"/>
      <c r="FY310" s="23"/>
      <c r="FZ310" s="23"/>
      <c r="GA310" s="23"/>
      <c r="GB310" s="23"/>
      <c r="GC310" s="23"/>
      <c r="GD310" s="23"/>
      <c r="GE310" s="23"/>
    </row>
    <row r="311" spans="1:187" s="6" customFormat="1" ht="31.5" x14ac:dyDescent="0.25">
      <c r="A311" s="27" t="s">
        <v>277</v>
      </c>
      <c r="B311" s="31">
        <f t="shared" si="67"/>
        <v>35731</v>
      </c>
      <c r="C311" s="31">
        <f t="shared" si="67"/>
        <v>35731</v>
      </c>
      <c r="D311" s="31">
        <f t="shared" si="67"/>
        <v>0</v>
      </c>
      <c r="E311" s="31"/>
      <c r="F311" s="31"/>
      <c r="G311" s="31">
        <f t="shared" si="59"/>
        <v>0</v>
      </c>
      <c r="H311" s="31"/>
      <c r="I311" s="31"/>
      <c r="J311" s="31">
        <f t="shared" si="60"/>
        <v>0</v>
      </c>
      <c r="K311" s="31">
        <f>13563+22168</f>
        <v>35731</v>
      </c>
      <c r="L311" s="31">
        <f>13563+22168</f>
        <v>35731</v>
      </c>
      <c r="M311" s="31">
        <f t="shared" si="61"/>
        <v>0</v>
      </c>
      <c r="N311" s="31"/>
      <c r="O311" s="31"/>
      <c r="P311" s="31">
        <f t="shared" si="62"/>
        <v>0</v>
      </c>
      <c r="Q311" s="31"/>
      <c r="R311" s="31"/>
      <c r="S311" s="31">
        <f t="shared" si="63"/>
        <v>0</v>
      </c>
      <c r="T311" s="31"/>
      <c r="U311" s="31"/>
      <c r="V311" s="31">
        <f t="shared" si="64"/>
        <v>0</v>
      </c>
      <c r="W311" s="31"/>
      <c r="X311" s="31"/>
      <c r="Y311" s="31">
        <f t="shared" si="65"/>
        <v>0</v>
      </c>
      <c r="Z311" s="31"/>
      <c r="AA311" s="31"/>
      <c r="AB311" s="31">
        <f t="shared" si="66"/>
        <v>0</v>
      </c>
      <c r="FL311" s="23"/>
      <c r="FM311" s="23"/>
      <c r="FN311" s="23"/>
      <c r="FO311" s="23"/>
      <c r="FP311" s="23"/>
      <c r="FQ311" s="23"/>
      <c r="FR311" s="23"/>
      <c r="FS311" s="23"/>
      <c r="FT311" s="23"/>
      <c r="FU311" s="23"/>
      <c r="FV311" s="23"/>
      <c r="FW311" s="23"/>
      <c r="FX311" s="23"/>
      <c r="FY311" s="23"/>
      <c r="FZ311" s="23"/>
      <c r="GA311" s="23"/>
      <c r="GB311" s="23"/>
      <c r="GC311" s="23"/>
      <c r="GD311" s="23"/>
      <c r="GE311" s="23"/>
    </row>
    <row r="312" spans="1:187" s="6" customFormat="1" x14ac:dyDescent="0.25">
      <c r="A312" s="27" t="s">
        <v>278</v>
      </c>
      <c r="B312" s="31">
        <f t="shared" si="67"/>
        <v>9000</v>
      </c>
      <c r="C312" s="31">
        <f t="shared" si="67"/>
        <v>0</v>
      </c>
      <c r="D312" s="31">
        <f t="shared" si="67"/>
        <v>-9000</v>
      </c>
      <c r="E312" s="31"/>
      <c r="F312" s="31"/>
      <c r="G312" s="31">
        <f t="shared" si="59"/>
        <v>0</v>
      </c>
      <c r="H312" s="31"/>
      <c r="I312" s="31"/>
      <c r="J312" s="31">
        <f t="shared" si="60"/>
        <v>0</v>
      </c>
      <c r="K312" s="31">
        <v>9000</v>
      </c>
      <c r="L312" s="31">
        <v>0</v>
      </c>
      <c r="M312" s="31">
        <f t="shared" si="61"/>
        <v>-9000</v>
      </c>
      <c r="N312" s="31"/>
      <c r="O312" s="31"/>
      <c r="P312" s="31">
        <f t="shared" si="62"/>
        <v>0</v>
      </c>
      <c r="Q312" s="31"/>
      <c r="R312" s="31"/>
      <c r="S312" s="31">
        <f t="shared" si="63"/>
        <v>0</v>
      </c>
      <c r="T312" s="31"/>
      <c r="U312" s="31"/>
      <c r="V312" s="31">
        <f t="shared" si="64"/>
        <v>0</v>
      </c>
      <c r="W312" s="31"/>
      <c r="X312" s="31"/>
      <c r="Y312" s="31">
        <f t="shared" si="65"/>
        <v>0</v>
      </c>
      <c r="Z312" s="31"/>
      <c r="AA312" s="31"/>
      <c r="AB312" s="31">
        <f t="shared" si="66"/>
        <v>0</v>
      </c>
      <c r="FL312" s="23"/>
      <c r="FM312" s="23"/>
      <c r="FN312" s="23"/>
      <c r="FO312" s="23"/>
      <c r="FP312" s="23"/>
      <c r="FQ312" s="23"/>
      <c r="FR312" s="23"/>
      <c r="FS312" s="23"/>
      <c r="FT312" s="23"/>
      <c r="FU312" s="23"/>
      <c r="FV312" s="23"/>
      <c r="FW312" s="23"/>
      <c r="FX312" s="23"/>
      <c r="FY312" s="23"/>
      <c r="FZ312" s="23"/>
      <c r="GA312" s="23"/>
      <c r="GB312" s="23"/>
      <c r="GC312" s="23"/>
      <c r="GD312" s="23"/>
      <c r="GE312" s="23"/>
    </row>
    <row r="313" spans="1:187" s="6" customFormat="1" ht="31.5" x14ac:dyDescent="0.25">
      <c r="A313" s="30" t="s">
        <v>279</v>
      </c>
      <c r="B313" s="31">
        <f t="shared" si="67"/>
        <v>358890</v>
      </c>
      <c r="C313" s="31">
        <f t="shared" si="67"/>
        <v>358890</v>
      </c>
      <c r="D313" s="31">
        <f t="shared" si="67"/>
        <v>0</v>
      </c>
      <c r="E313" s="31">
        <f>181890</f>
        <v>181890</v>
      </c>
      <c r="F313" s="31">
        <f>181890</f>
        <v>181890</v>
      </c>
      <c r="G313" s="31">
        <f t="shared" si="59"/>
        <v>0</v>
      </c>
      <c r="H313" s="31"/>
      <c r="I313" s="31"/>
      <c r="J313" s="31">
        <f t="shared" si="60"/>
        <v>0</v>
      </c>
      <c r="K313" s="31">
        <v>0</v>
      </c>
      <c r="L313" s="31">
        <v>0</v>
      </c>
      <c r="M313" s="31">
        <f t="shared" si="61"/>
        <v>0</v>
      </c>
      <c r="N313" s="31"/>
      <c r="O313" s="31"/>
      <c r="P313" s="31">
        <f t="shared" si="62"/>
        <v>0</v>
      </c>
      <c r="Q313" s="31"/>
      <c r="R313" s="31"/>
      <c r="S313" s="31">
        <f t="shared" si="63"/>
        <v>0</v>
      </c>
      <c r="T313" s="31">
        <f>177000</f>
        <v>177000</v>
      </c>
      <c r="U313" s="31">
        <f>177000</f>
        <v>177000</v>
      </c>
      <c r="V313" s="31">
        <f t="shared" si="64"/>
        <v>0</v>
      </c>
      <c r="W313" s="31"/>
      <c r="X313" s="31"/>
      <c r="Y313" s="31">
        <f t="shared" si="65"/>
        <v>0</v>
      </c>
      <c r="Z313" s="31">
        <v>0</v>
      </c>
      <c r="AA313" s="31">
        <v>0</v>
      </c>
      <c r="AB313" s="31">
        <f t="shared" si="66"/>
        <v>0</v>
      </c>
      <c r="FL313" s="23"/>
      <c r="FM313" s="23"/>
      <c r="FN313" s="23"/>
      <c r="FO313" s="23"/>
      <c r="FP313" s="23"/>
      <c r="FQ313" s="23"/>
      <c r="FR313" s="23"/>
      <c r="FS313" s="23"/>
      <c r="FT313" s="23"/>
      <c r="FU313" s="23"/>
      <c r="FV313" s="23"/>
      <c r="FW313" s="23"/>
      <c r="FX313" s="23"/>
      <c r="FY313" s="23"/>
      <c r="FZ313" s="23"/>
      <c r="GA313" s="23"/>
      <c r="GB313" s="23"/>
      <c r="GC313" s="23"/>
      <c r="GD313" s="23"/>
      <c r="GE313" s="23"/>
    </row>
    <row r="314" spans="1:187" s="6" customFormat="1" x14ac:dyDescent="0.25">
      <c r="A314" s="24" t="s">
        <v>164</v>
      </c>
      <c r="B314" s="25">
        <f t="shared" si="67"/>
        <v>30000</v>
      </c>
      <c r="C314" s="25">
        <f t="shared" si="67"/>
        <v>40800</v>
      </c>
      <c r="D314" s="25">
        <f t="shared" si="67"/>
        <v>10800</v>
      </c>
      <c r="E314" s="25">
        <f>SUM(E315:E316)</f>
        <v>0</v>
      </c>
      <c r="F314" s="25">
        <f>SUM(F315:F316)</f>
        <v>0</v>
      </c>
      <c r="G314" s="25">
        <f t="shared" si="59"/>
        <v>0</v>
      </c>
      <c r="H314" s="25">
        <f t="shared" ref="H314:I314" si="75">SUM(H315:H316)</f>
        <v>0</v>
      </c>
      <c r="I314" s="25">
        <f t="shared" si="75"/>
        <v>0</v>
      </c>
      <c r="J314" s="25">
        <f t="shared" si="60"/>
        <v>0</v>
      </c>
      <c r="K314" s="25">
        <f t="shared" ref="K314:L314" si="76">SUM(K315:K316)</f>
        <v>30000</v>
      </c>
      <c r="L314" s="25">
        <f t="shared" si="76"/>
        <v>40800</v>
      </c>
      <c r="M314" s="25">
        <f t="shared" si="61"/>
        <v>10800</v>
      </c>
      <c r="N314" s="25">
        <f t="shared" ref="N314:O314" si="77">SUM(N315:N316)</f>
        <v>0</v>
      </c>
      <c r="O314" s="25">
        <f t="shared" si="77"/>
        <v>0</v>
      </c>
      <c r="P314" s="25">
        <f t="shared" si="62"/>
        <v>0</v>
      </c>
      <c r="Q314" s="25">
        <f t="shared" ref="Q314:R314" si="78">SUM(Q315:Q316)</f>
        <v>0</v>
      </c>
      <c r="R314" s="25">
        <f t="shared" si="78"/>
        <v>0</v>
      </c>
      <c r="S314" s="25">
        <f t="shared" si="63"/>
        <v>0</v>
      </c>
      <c r="T314" s="25">
        <f t="shared" ref="T314:U314" si="79">SUM(T315:T316)</f>
        <v>0</v>
      </c>
      <c r="U314" s="25">
        <f t="shared" si="79"/>
        <v>0</v>
      </c>
      <c r="V314" s="25">
        <f t="shared" si="64"/>
        <v>0</v>
      </c>
      <c r="W314" s="25">
        <f t="shared" ref="W314:X314" si="80">SUM(W315:W316)</f>
        <v>0</v>
      </c>
      <c r="X314" s="25">
        <f t="shared" si="80"/>
        <v>0</v>
      </c>
      <c r="Y314" s="25">
        <f t="shared" si="65"/>
        <v>0</v>
      </c>
      <c r="Z314" s="25">
        <f t="shared" ref="Z314:AA314" si="81">SUM(Z315:Z316)</f>
        <v>0</v>
      </c>
      <c r="AA314" s="25">
        <f t="shared" si="81"/>
        <v>0</v>
      </c>
      <c r="AB314" s="25">
        <f t="shared" si="66"/>
        <v>0</v>
      </c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  <c r="DG314" s="23"/>
      <c r="DH314" s="23"/>
      <c r="DI314" s="23"/>
      <c r="DJ314" s="23"/>
      <c r="DK314" s="23"/>
      <c r="DL314" s="23"/>
      <c r="DM314" s="23"/>
      <c r="DN314" s="23"/>
      <c r="DO314" s="23"/>
      <c r="DP314" s="23"/>
      <c r="DQ314" s="23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3"/>
      <c r="EC314" s="23"/>
      <c r="ED314" s="23"/>
      <c r="EE314" s="23"/>
      <c r="EF314" s="23"/>
      <c r="EG314" s="23"/>
      <c r="EH314" s="23"/>
      <c r="EI314" s="23"/>
      <c r="EJ314" s="23"/>
      <c r="EK314" s="23"/>
      <c r="EL314" s="23"/>
      <c r="EM314" s="23"/>
      <c r="EN314" s="23"/>
      <c r="EO314" s="23"/>
      <c r="EP314" s="23"/>
      <c r="EQ314" s="23"/>
      <c r="ER314" s="23"/>
      <c r="ES314" s="23"/>
      <c r="ET314" s="23"/>
      <c r="EU314" s="23"/>
      <c r="EV314" s="23"/>
      <c r="EW314" s="23"/>
      <c r="EX314" s="23"/>
      <c r="EY314" s="23"/>
      <c r="EZ314" s="23"/>
      <c r="FA314" s="23"/>
      <c r="FB314" s="23"/>
      <c r="FC314" s="23"/>
      <c r="FD314" s="23"/>
      <c r="FE314" s="23"/>
      <c r="FF314" s="23"/>
      <c r="FG314" s="23"/>
      <c r="FH314" s="23"/>
      <c r="FI314" s="23"/>
      <c r="FJ314" s="23"/>
      <c r="FK314" s="23"/>
      <c r="FL314" s="23"/>
      <c r="FM314" s="23"/>
      <c r="FN314" s="23"/>
      <c r="FO314" s="23"/>
      <c r="FP314" s="23"/>
      <c r="FQ314" s="23"/>
      <c r="FR314" s="23"/>
      <c r="FS314" s="23"/>
      <c r="FT314" s="23"/>
      <c r="FU314" s="23"/>
      <c r="FV314" s="23"/>
      <c r="FW314" s="23"/>
      <c r="FX314" s="23"/>
      <c r="FY314" s="23"/>
      <c r="FZ314" s="23"/>
      <c r="GA314" s="23"/>
      <c r="GB314" s="23"/>
      <c r="GC314" s="23"/>
      <c r="GD314" s="23"/>
      <c r="GE314" s="23"/>
    </row>
    <row r="315" spans="1:187" s="6" customFormat="1" ht="63" x14ac:dyDescent="0.25">
      <c r="A315" s="30" t="s">
        <v>280</v>
      </c>
      <c r="B315" s="31">
        <f t="shared" si="67"/>
        <v>30000</v>
      </c>
      <c r="C315" s="31">
        <f t="shared" si="67"/>
        <v>30000</v>
      </c>
      <c r="D315" s="31">
        <f t="shared" si="67"/>
        <v>0</v>
      </c>
      <c r="E315" s="31"/>
      <c r="F315" s="31"/>
      <c r="G315" s="31">
        <f t="shared" si="59"/>
        <v>0</v>
      </c>
      <c r="H315" s="31"/>
      <c r="I315" s="31"/>
      <c r="J315" s="31">
        <f t="shared" si="60"/>
        <v>0</v>
      </c>
      <c r="K315" s="31">
        <v>30000</v>
      </c>
      <c r="L315" s="31">
        <v>30000</v>
      </c>
      <c r="M315" s="31">
        <f t="shared" si="61"/>
        <v>0</v>
      </c>
      <c r="N315" s="31"/>
      <c r="O315" s="31"/>
      <c r="P315" s="31">
        <f t="shared" si="62"/>
        <v>0</v>
      </c>
      <c r="Q315" s="31"/>
      <c r="R315" s="31"/>
      <c r="S315" s="31">
        <f t="shared" si="63"/>
        <v>0</v>
      </c>
      <c r="T315" s="31"/>
      <c r="U315" s="31"/>
      <c r="V315" s="31">
        <f t="shared" si="64"/>
        <v>0</v>
      </c>
      <c r="W315" s="31"/>
      <c r="X315" s="31"/>
      <c r="Y315" s="31">
        <f t="shared" si="65"/>
        <v>0</v>
      </c>
      <c r="Z315" s="31"/>
      <c r="AA315" s="31"/>
      <c r="AB315" s="31">
        <f t="shared" si="66"/>
        <v>0</v>
      </c>
      <c r="FL315" s="23"/>
      <c r="FM315" s="23"/>
      <c r="FN315" s="23"/>
      <c r="FO315" s="23"/>
      <c r="FP315" s="23"/>
      <c r="FQ315" s="23"/>
      <c r="FR315" s="23"/>
      <c r="FS315" s="23"/>
      <c r="FT315" s="23"/>
      <c r="FU315" s="23"/>
      <c r="FV315" s="23"/>
      <c r="FW315" s="23"/>
      <c r="FX315" s="23"/>
      <c r="FY315" s="23"/>
      <c r="FZ315" s="23"/>
      <c r="GA315" s="23"/>
      <c r="GB315" s="23"/>
      <c r="GC315" s="23"/>
      <c r="GD315" s="23"/>
      <c r="GE315" s="23"/>
    </row>
    <row r="316" spans="1:187" s="6" customFormat="1" x14ac:dyDescent="0.25">
      <c r="A316" s="27" t="s">
        <v>278</v>
      </c>
      <c r="B316" s="31">
        <f t="shared" si="67"/>
        <v>0</v>
      </c>
      <c r="C316" s="31">
        <f t="shared" si="67"/>
        <v>10800</v>
      </c>
      <c r="D316" s="31">
        <f t="shared" si="67"/>
        <v>10800</v>
      </c>
      <c r="E316" s="31"/>
      <c r="F316" s="31"/>
      <c r="G316" s="31">
        <f t="shared" si="59"/>
        <v>0</v>
      </c>
      <c r="H316" s="31"/>
      <c r="I316" s="31"/>
      <c r="J316" s="31">
        <f t="shared" si="60"/>
        <v>0</v>
      </c>
      <c r="K316" s="31">
        <v>0</v>
      </c>
      <c r="L316" s="31">
        <f>9000+1800</f>
        <v>10800</v>
      </c>
      <c r="M316" s="31">
        <f t="shared" si="61"/>
        <v>10800</v>
      </c>
      <c r="N316" s="31"/>
      <c r="O316" s="31"/>
      <c r="P316" s="31">
        <f t="shared" si="62"/>
        <v>0</v>
      </c>
      <c r="Q316" s="31"/>
      <c r="R316" s="31"/>
      <c r="S316" s="31">
        <f t="shared" si="63"/>
        <v>0</v>
      </c>
      <c r="T316" s="31"/>
      <c r="U316" s="31"/>
      <c r="V316" s="31">
        <f t="shared" si="64"/>
        <v>0</v>
      </c>
      <c r="W316" s="31"/>
      <c r="X316" s="31"/>
      <c r="Y316" s="31">
        <f t="shared" si="65"/>
        <v>0</v>
      </c>
      <c r="Z316" s="31"/>
      <c r="AA316" s="31"/>
      <c r="AB316" s="31">
        <f t="shared" si="66"/>
        <v>0</v>
      </c>
      <c r="FL316" s="23"/>
      <c r="FM316" s="23"/>
      <c r="FN316" s="23"/>
      <c r="FO316" s="23"/>
      <c r="FP316" s="23"/>
      <c r="FQ316" s="23"/>
      <c r="FR316" s="23"/>
      <c r="FS316" s="23"/>
      <c r="FT316" s="23"/>
      <c r="FU316" s="23"/>
      <c r="FV316" s="23"/>
      <c r="FW316" s="23"/>
      <c r="FX316" s="23"/>
      <c r="FY316" s="23"/>
      <c r="FZ316" s="23"/>
      <c r="GA316" s="23"/>
      <c r="GB316" s="23"/>
      <c r="GC316" s="23"/>
      <c r="GD316" s="23"/>
      <c r="GE316" s="23"/>
    </row>
    <row r="317" spans="1:187" s="6" customFormat="1" x14ac:dyDescent="0.25">
      <c r="A317" s="24" t="s">
        <v>86</v>
      </c>
      <c r="B317" s="25">
        <f t="shared" si="67"/>
        <v>2744817</v>
      </c>
      <c r="C317" s="25">
        <f t="shared" si="67"/>
        <v>2744817</v>
      </c>
      <c r="D317" s="25">
        <f t="shared" si="67"/>
        <v>0</v>
      </c>
      <c r="E317" s="25">
        <f>SUM(E318,E320,E322,E325)</f>
        <v>0</v>
      </c>
      <c r="F317" s="25">
        <f>SUM(F318,F320,F322,F325)</f>
        <v>0</v>
      </c>
      <c r="G317" s="25">
        <f t="shared" si="59"/>
        <v>0</v>
      </c>
      <c r="H317" s="25">
        <f>SUM(H318,H320,H322,H325)</f>
        <v>0</v>
      </c>
      <c r="I317" s="25">
        <f>SUM(I318,I320,I322,I325)</f>
        <v>0</v>
      </c>
      <c r="J317" s="25">
        <f t="shared" si="60"/>
        <v>0</v>
      </c>
      <c r="K317" s="25">
        <f>SUM(K318,K320,K322,K325)</f>
        <v>95510</v>
      </c>
      <c r="L317" s="25">
        <f>SUM(L318,L320,L322,L325)</f>
        <v>95510</v>
      </c>
      <c r="M317" s="25">
        <f t="shared" si="61"/>
        <v>0</v>
      </c>
      <c r="N317" s="25">
        <f>SUM(N318,N320,N322,N325)</f>
        <v>2649307</v>
      </c>
      <c r="O317" s="25">
        <f>SUM(O318,O320,O322,O325)</f>
        <v>2649307</v>
      </c>
      <c r="P317" s="25">
        <f t="shared" si="62"/>
        <v>0</v>
      </c>
      <c r="Q317" s="25">
        <f>SUM(Q318,Q320,Q322,Q325)</f>
        <v>0</v>
      </c>
      <c r="R317" s="25">
        <f>SUM(R318,R320,R322,R325)</f>
        <v>0</v>
      </c>
      <c r="S317" s="25">
        <f t="shared" si="63"/>
        <v>0</v>
      </c>
      <c r="T317" s="25">
        <f>SUM(T318,T320,T322,T325)</f>
        <v>0</v>
      </c>
      <c r="U317" s="25">
        <f>SUM(U318,U320,U322,U325)</f>
        <v>0</v>
      </c>
      <c r="V317" s="25">
        <f t="shared" si="64"/>
        <v>0</v>
      </c>
      <c r="W317" s="25">
        <f>SUM(W318,W320,W322,W325)</f>
        <v>0</v>
      </c>
      <c r="X317" s="25">
        <f>SUM(X318,X320,X322,X325)</f>
        <v>0</v>
      </c>
      <c r="Y317" s="25">
        <f t="shared" si="65"/>
        <v>0</v>
      </c>
      <c r="Z317" s="25">
        <f>SUM(Z318,Z320,Z322,Z325)</f>
        <v>0</v>
      </c>
      <c r="AA317" s="25">
        <f>SUM(AA318,AA320,AA322,AA325)</f>
        <v>0</v>
      </c>
      <c r="AB317" s="25">
        <f t="shared" si="66"/>
        <v>0</v>
      </c>
      <c r="FL317" s="23"/>
      <c r="FM317" s="23"/>
      <c r="FN317" s="23"/>
      <c r="FO317" s="23"/>
      <c r="FP317" s="23"/>
      <c r="FQ317" s="23"/>
      <c r="FR317" s="23"/>
      <c r="FS317" s="23"/>
      <c r="FT317" s="23"/>
      <c r="FU317" s="23"/>
      <c r="FV317" s="23"/>
      <c r="FW317" s="23"/>
      <c r="FX317" s="23"/>
      <c r="FY317" s="23"/>
      <c r="FZ317" s="23"/>
      <c r="GA317" s="23"/>
      <c r="GB317" s="23"/>
      <c r="GC317" s="23"/>
      <c r="GD317" s="23"/>
      <c r="GE317" s="23"/>
    </row>
    <row r="318" spans="1:187" s="6" customFormat="1" x14ac:dyDescent="0.25">
      <c r="A318" s="24" t="s">
        <v>90</v>
      </c>
      <c r="B318" s="25">
        <f t="shared" si="67"/>
        <v>80100</v>
      </c>
      <c r="C318" s="25">
        <f t="shared" si="67"/>
        <v>80100</v>
      </c>
      <c r="D318" s="25">
        <f t="shared" si="67"/>
        <v>0</v>
      </c>
      <c r="E318" s="25">
        <f>SUM(E319)</f>
        <v>0</v>
      </c>
      <c r="F318" s="25">
        <f>SUM(F319)</f>
        <v>0</v>
      </c>
      <c r="G318" s="25">
        <f t="shared" si="59"/>
        <v>0</v>
      </c>
      <c r="H318" s="25">
        <f>SUM(H319)</f>
        <v>0</v>
      </c>
      <c r="I318" s="25">
        <f>SUM(I319)</f>
        <v>0</v>
      </c>
      <c r="J318" s="25">
        <f t="shared" si="60"/>
        <v>0</v>
      </c>
      <c r="K318" s="25">
        <f>SUM(K319)</f>
        <v>0</v>
      </c>
      <c r="L318" s="25">
        <f>SUM(L319)</f>
        <v>0</v>
      </c>
      <c r="M318" s="25">
        <f t="shared" si="61"/>
        <v>0</v>
      </c>
      <c r="N318" s="25">
        <f>SUM(N319)</f>
        <v>80100</v>
      </c>
      <c r="O318" s="25">
        <f>SUM(O319)</f>
        <v>80100</v>
      </c>
      <c r="P318" s="25">
        <f t="shared" si="62"/>
        <v>0</v>
      </c>
      <c r="Q318" s="25">
        <f>SUM(Q319)</f>
        <v>0</v>
      </c>
      <c r="R318" s="25">
        <f>SUM(R319)</f>
        <v>0</v>
      </c>
      <c r="S318" s="25">
        <f t="shared" si="63"/>
        <v>0</v>
      </c>
      <c r="T318" s="25">
        <f>SUM(T319)</f>
        <v>0</v>
      </c>
      <c r="U318" s="25">
        <f>SUM(U319)</f>
        <v>0</v>
      </c>
      <c r="V318" s="25">
        <f t="shared" si="64"/>
        <v>0</v>
      </c>
      <c r="W318" s="25">
        <f>SUM(W319)</f>
        <v>0</v>
      </c>
      <c r="X318" s="25">
        <f>SUM(X319)</f>
        <v>0</v>
      </c>
      <c r="Y318" s="25">
        <f t="shared" si="65"/>
        <v>0</v>
      </c>
      <c r="Z318" s="25">
        <f>SUM(Z319)</f>
        <v>0</v>
      </c>
      <c r="AA318" s="25">
        <f>SUM(AA319)</f>
        <v>0</v>
      </c>
      <c r="AB318" s="25">
        <f t="shared" si="66"/>
        <v>0</v>
      </c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  <c r="DG318" s="23"/>
      <c r="DH318" s="23"/>
      <c r="DI318" s="23"/>
      <c r="DJ318" s="23"/>
      <c r="DK318" s="23"/>
      <c r="DL318" s="23"/>
      <c r="DM318" s="23"/>
      <c r="DN318" s="23"/>
      <c r="DO318" s="23"/>
      <c r="DP318" s="23"/>
      <c r="DQ318" s="23"/>
      <c r="DR318" s="23"/>
      <c r="DS318" s="23"/>
      <c r="DT318" s="23"/>
      <c r="DU318" s="23"/>
      <c r="DV318" s="23"/>
      <c r="DW318" s="23"/>
      <c r="DX318" s="23"/>
      <c r="DY318" s="23"/>
      <c r="DZ318" s="23"/>
      <c r="EA318" s="23"/>
      <c r="EB318" s="23"/>
      <c r="EC318" s="23"/>
      <c r="ED318" s="23"/>
      <c r="EE318" s="23"/>
      <c r="EF318" s="23"/>
      <c r="EG318" s="23"/>
      <c r="EH318" s="23"/>
      <c r="EI318" s="23"/>
      <c r="EJ318" s="23"/>
      <c r="EK318" s="23"/>
      <c r="EL318" s="23"/>
      <c r="EM318" s="23"/>
      <c r="EN318" s="23"/>
      <c r="EO318" s="23"/>
      <c r="EP318" s="23"/>
      <c r="EQ318" s="23"/>
      <c r="ER318" s="23"/>
      <c r="ES318" s="23"/>
      <c r="ET318" s="23"/>
      <c r="EU318" s="23"/>
      <c r="EV318" s="23"/>
      <c r="EW318" s="23"/>
      <c r="EX318" s="23"/>
      <c r="EY318" s="23"/>
      <c r="EZ318" s="23"/>
      <c r="FA318" s="23"/>
      <c r="FB318" s="23"/>
      <c r="FC318" s="23"/>
      <c r="FD318" s="23"/>
      <c r="FE318" s="23"/>
      <c r="FF318" s="23"/>
      <c r="FG318" s="23"/>
      <c r="FH318" s="23"/>
      <c r="FI318" s="23"/>
      <c r="FJ318" s="23"/>
      <c r="FK318" s="23"/>
      <c r="FL318" s="23"/>
      <c r="FM318" s="23"/>
      <c r="FN318" s="23"/>
      <c r="FO318" s="23"/>
      <c r="FP318" s="23"/>
      <c r="FQ318" s="23"/>
      <c r="FR318" s="23"/>
      <c r="FS318" s="23"/>
      <c r="FT318" s="23"/>
      <c r="FU318" s="23"/>
      <c r="FV318" s="23"/>
      <c r="FW318" s="23"/>
      <c r="FX318" s="23"/>
      <c r="FY318" s="23"/>
      <c r="FZ318" s="23"/>
      <c r="GA318" s="23"/>
      <c r="GB318" s="23"/>
      <c r="GC318" s="23"/>
      <c r="GD318" s="23"/>
      <c r="GE318" s="23"/>
    </row>
    <row r="319" spans="1:187" s="6" customFormat="1" ht="78.75" x14ac:dyDescent="0.25">
      <c r="A319" s="30" t="s">
        <v>281</v>
      </c>
      <c r="B319" s="31">
        <f t="shared" si="67"/>
        <v>80100</v>
      </c>
      <c r="C319" s="31">
        <f t="shared" si="67"/>
        <v>80100</v>
      </c>
      <c r="D319" s="31">
        <f t="shared" si="67"/>
        <v>0</v>
      </c>
      <c r="E319" s="31"/>
      <c r="F319" s="31"/>
      <c r="G319" s="31">
        <f t="shared" si="59"/>
        <v>0</v>
      </c>
      <c r="H319" s="31"/>
      <c r="I319" s="31"/>
      <c r="J319" s="31">
        <f t="shared" si="60"/>
        <v>0</v>
      </c>
      <c r="K319" s="31"/>
      <c r="L319" s="31"/>
      <c r="M319" s="31">
        <f t="shared" si="61"/>
        <v>0</v>
      </c>
      <c r="N319" s="31">
        <v>80100</v>
      </c>
      <c r="O319" s="31">
        <v>80100</v>
      </c>
      <c r="P319" s="31">
        <f t="shared" si="62"/>
        <v>0</v>
      </c>
      <c r="Q319" s="31"/>
      <c r="R319" s="31"/>
      <c r="S319" s="31">
        <f t="shared" si="63"/>
        <v>0</v>
      </c>
      <c r="T319" s="31"/>
      <c r="U319" s="31"/>
      <c r="V319" s="31">
        <f t="shared" si="64"/>
        <v>0</v>
      </c>
      <c r="W319" s="31"/>
      <c r="X319" s="31"/>
      <c r="Y319" s="31">
        <f t="shared" si="65"/>
        <v>0</v>
      </c>
      <c r="Z319" s="31"/>
      <c r="AA319" s="31"/>
      <c r="AB319" s="31">
        <f t="shared" si="66"/>
        <v>0</v>
      </c>
      <c r="FL319" s="23"/>
      <c r="FM319" s="23"/>
      <c r="FN319" s="23"/>
      <c r="FO319" s="23"/>
      <c r="FP319" s="23"/>
      <c r="FQ319" s="23"/>
      <c r="FR319" s="23"/>
      <c r="FS319" s="23"/>
      <c r="FT319" s="23"/>
      <c r="FU319" s="23"/>
      <c r="FV319" s="23"/>
      <c r="FW319" s="23"/>
      <c r="FX319" s="23"/>
      <c r="FY319" s="23"/>
      <c r="FZ319" s="23"/>
      <c r="GA319" s="23"/>
      <c r="GB319" s="23"/>
      <c r="GC319" s="23"/>
      <c r="GD319" s="23"/>
      <c r="GE319" s="23"/>
    </row>
    <row r="320" spans="1:187" s="6" customFormat="1" ht="31.5" x14ac:dyDescent="0.25">
      <c r="A320" s="24" t="s">
        <v>97</v>
      </c>
      <c r="B320" s="25">
        <f t="shared" si="67"/>
        <v>568611</v>
      </c>
      <c r="C320" s="25">
        <f t="shared" si="67"/>
        <v>568611</v>
      </c>
      <c r="D320" s="25">
        <f t="shared" si="67"/>
        <v>0</v>
      </c>
      <c r="E320" s="25">
        <f>SUM(E321:E321)</f>
        <v>0</v>
      </c>
      <c r="F320" s="25">
        <f>SUM(F321:F321)</f>
        <v>0</v>
      </c>
      <c r="G320" s="25">
        <f t="shared" si="59"/>
        <v>0</v>
      </c>
      <c r="H320" s="25">
        <f>SUM(H321:H321)</f>
        <v>0</v>
      </c>
      <c r="I320" s="25">
        <f>SUM(I321:I321)</f>
        <v>0</v>
      </c>
      <c r="J320" s="25">
        <f t="shared" si="60"/>
        <v>0</v>
      </c>
      <c r="K320" s="25">
        <f>SUM(K321:K321)</f>
        <v>0</v>
      </c>
      <c r="L320" s="25">
        <f>SUM(L321:L321)</f>
        <v>0</v>
      </c>
      <c r="M320" s="25">
        <f t="shared" si="61"/>
        <v>0</v>
      </c>
      <c r="N320" s="25">
        <f>SUM(N321:N321)</f>
        <v>568611</v>
      </c>
      <c r="O320" s="25">
        <f>SUM(O321:O321)</f>
        <v>568611</v>
      </c>
      <c r="P320" s="25">
        <f t="shared" si="62"/>
        <v>0</v>
      </c>
      <c r="Q320" s="25">
        <f>SUM(Q321:Q321)</f>
        <v>0</v>
      </c>
      <c r="R320" s="25">
        <f>SUM(R321:R321)</f>
        <v>0</v>
      </c>
      <c r="S320" s="25">
        <f t="shared" si="63"/>
        <v>0</v>
      </c>
      <c r="T320" s="25">
        <f>SUM(T321:T321)</f>
        <v>0</v>
      </c>
      <c r="U320" s="25">
        <f>SUM(U321:U321)</f>
        <v>0</v>
      </c>
      <c r="V320" s="25">
        <f t="shared" si="64"/>
        <v>0</v>
      </c>
      <c r="W320" s="25">
        <f>SUM(W321:W321)</f>
        <v>0</v>
      </c>
      <c r="X320" s="25">
        <f>SUM(X321:X321)</f>
        <v>0</v>
      </c>
      <c r="Y320" s="25">
        <f t="shared" si="65"/>
        <v>0</v>
      </c>
      <c r="Z320" s="25">
        <f>SUM(Z321:Z321)</f>
        <v>0</v>
      </c>
      <c r="AA320" s="25">
        <f>SUM(AA321:AA321)</f>
        <v>0</v>
      </c>
      <c r="AB320" s="25">
        <f t="shared" si="66"/>
        <v>0</v>
      </c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  <c r="DG320" s="23"/>
      <c r="DH320" s="23"/>
      <c r="DI320" s="23"/>
      <c r="DJ320" s="23"/>
      <c r="DK320" s="23"/>
      <c r="DL320" s="23"/>
      <c r="DM320" s="23"/>
      <c r="DN320" s="23"/>
      <c r="DO320" s="23"/>
      <c r="DP320" s="23"/>
      <c r="DQ320" s="23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3"/>
      <c r="EC320" s="23"/>
      <c r="ED320" s="23"/>
      <c r="EE320" s="23"/>
      <c r="EF320" s="23"/>
      <c r="EG320" s="23"/>
      <c r="EH320" s="23"/>
      <c r="EI320" s="23"/>
      <c r="EJ320" s="23"/>
      <c r="EK320" s="23"/>
      <c r="EL320" s="23"/>
      <c r="EM320" s="23"/>
      <c r="EN320" s="23"/>
      <c r="EO320" s="23"/>
      <c r="EP320" s="23"/>
      <c r="EQ320" s="23"/>
      <c r="ER320" s="23"/>
      <c r="ES320" s="23"/>
      <c r="ET320" s="23"/>
      <c r="EU320" s="23"/>
      <c r="EV320" s="23"/>
      <c r="EW320" s="23"/>
      <c r="EX320" s="23"/>
      <c r="EY320" s="23"/>
      <c r="EZ320" s="23"/>
      <c r="FA320" s="23"/>
      <c r="FB320" s="23"/>
      <c r="FC320" s="23"/>
      <c r="FD320" s="23"/>
      <c r="FE320" s="23"/>
      <c r="FF320" s="23"/>
      <c r="FG320" s="23"/>
      <c r="FH320" s="23"/>
      <c r="FI320" s="23"/>
      <c r="FJ320" s="23"/>
      <c r="FK320" s="23"/>
    </row>
    <row r="321" spans="1:187" s="6" customFormat="1" ht="78.75" x14ac:dyDescent="0.25">
      <c r="A321" s="30" t="s">
        <v>282</v>
      </c>
      <c r="B321" s="31">
        <f t="shared" si="67"/>
        <v>568611</v>
      </c>
      <c r="C321" s="31">
        <f t="shared" si="67"/>
        <v>568611</v>
      </c>
      <c r="D321" s="31">
        <f t="shared" si="67"/>
        <v>0</v>
      </c>
      <c r="E321" s="31"/>
      <c r="F321" s="31"/>
      <c r="G321" s="31">
        <f t="shared" si="59"/>
        <v>0</v>
      </c>
      <c r="H321" s="31"/>
      <c r="I321" s="31"/>
      <c r="J321" s="31">
        <f t="shared" si="60"/>
        <v>0</v>
      </c>
      <c r="K321" s="31"/>
      <c r="L321" s="31"/>
      <c r="M321" s="31">
        <f t="shared" si="61"/>
        <v>0</v>
      </c>
      <c r="N321" s="31">
        <f>1231273-662662</f>
        <v>568611</v>
      </c>
      <c r="O321" s="31">
        <f>1231273-662662</f>
        <v>568611</v>
      </c>
      <c r="P321" s="31">
        <f t="shared" si="62"/>
        <v>0</v>
      </c>
      <c r="Q321" s="31"/>
      <c r="R321" s="31"/>
      <c r="S321" s="31">
        <f t="shared" si="63"/>
        <v>0</v>
      </c>
      <c r="T321" s="31"/>
      <c r="U321" s="31"/>
      <c r="V321" s="31">
        <f t="shared" si="64"/>
        <v>0</v>
      </c>
      <c r="W321" s="31"/>
      <c r="X321" s="31"/>
      <c r="Y321" s="31">
        <f t="shared" si="65"/>
        <v>0</v>
      </c>
      <c r="Z321" s="31"/>
      <c r="AA321" s="31"/>
      <c r="AB321" s="31">
        <f t="shared" si="66"/>
        <v>0</v>
      </c>
      <c r="FL321" s="23"/>
      <c r="FM321" s="23"/>
      <c r="FN321" s="23"/>
      <c r="FO321" s="23"/>
      <c r="FP321" s="23"/>
      <c r="FQ321" s="23"/>
      <c r="FR321" s="23"/>
      <c r="FS321" s="23"/>
      <c r="FT321" s="23"/>
      <c r="FU321" s="23"/>
      <c r="FV321" s="23"/>
      <c r="FW321" s="23"/>
      <c r="FX321" s="23"/>
      <c r="FY321" s="23"/>
      <c r="FZ321" s="23"/>
      <c r="GA321" s="23"/>
      <c r="GB321" s="23"/>
      <c r="GC321" s="23"/>
      <c r="GD321" s="23"/>
      <c r="GE321" s="23"/>
    </row>
    <row r="322" spans="1:187" s="6" customFormat="1" x14ac:dyDescent="0.25">
      <c r="A322" s="24" t="s">
        <v>108</v>
      </c>
      <c r="B322" s="25">
        <f t="shared" si="67"/>
        <v>1071114</v>
      </c>
      <c r="C322" s="25">
        <f t="shared" si="67"/>
        <v>1071114</v>
      </c>
      <c r="D322" s="25">
        <f t="shared" si="67"/>
        <v>0</v>
      </c>
      <c r="E322" s="25">
        <f>SUM(E323:E324)</f>
        <v>0</v>
      </c>
      <c r="F322" s="25">
        <f>SUM(F323:F324)</f>
        <v>0</v>
      </c>
      <c r="G322" s="25">
        <f t="shared" si="59"/>
        <v>0</v>
      </c>
      <c r="H322" s="25">
        <f>SUM(H323:H324)</f>
        <v>0</v>
      </c>
      <c r="I322" s="25">
        <f>SUM(I323:I324)</f>
        <v>0</v>
      </c>
      <c r="J322" s="25">
        <f t="shared" si="60"/>
        <v>0</v>
      </c>
      <c r="K322" s="25">
        <f>SUM(K323:K324)</f>
        <v>80000</v>
      </c>
      <c r="L322" s="25">
        <f>SUM(L323:L324)</f>
        <v>80000</v>
      </c>
      <c r="M322" s="25">
        <f t="shared" si="61"/>
        <v>0</v>
      </c>
      <c r="N322" s="25">
        <f>SUM(N323:N324)</f>
        <v>991114</v>
      </c>
      <c r="O322" s="25">
        <f>SUM(O323:O324)</f>
        <v>991114</v>
      </c>
      <c r="P322" s="25">
        <f t="shared" si="62"/>
        <v>0</v>
      </c>
      <c r="Q322" s="25">
        <f>SUM(Q323:Q324)</f>
        <v>0</v>
      </c>
      <c r="R322" s="25">
        <f>SUM(R323:R324)</f>
        <v>0</v>
      </c>
      <c r="S322" s="25">
        <f t="shared" si="63"/>
        <v>0</v>
      </c>
      <c r="T322" s="25">
        <f>SUM(T323:T324)</f>
        <v>0</v>
      </c>
      <c r="U322" s="25">
        <f>SUM(U323:U324)</f>
        <v>0</v>
      </c>
      <c r="V322" s="25">
        <f t="shared" si="64"/>
        <v>0</v>
      </c>
      <c r="W322" s="25">
        <f>SUM(W323:W324)</f>
        <v>0</v>
      </c>
      <c r="X322" s="25">
        <f>SUM(X323:X324)</f>
        <v>0</v>
      </c>
      <c r="Y322" s="25">
        <f t="shared" si="65"/>
        <v>0</v>
      </c>
      <c r="Z322" s="25">
        <f>SUM(Z323:Z324)</f>
        <v>0</v>
      </c>
      <c r="AA322" s="25">
        <f>SUM(AA323:AA324)</f>
        <v>0</v>
      </c>
      <c r="AB322" s="25">
        <f t="shared" si="66"/>
        <v>0</v>
      </c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  <c r="DG322" s="23"/>
      <c r="DH322" s="23"/>
      <c r="DI322" s="23"/>
      <c r="DJ322" s="23"/>
      <c r="DK322" s="23"/>
      <c r="DL322" s="23"/>
      <c r="DM322" s="23"/>
      <c r="DN322" s="23"/>
      <c r="DO322" s="23"/>
      <c r="DP322" s="23"/>
      <c r="DQ322" s="23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3"/>
      <c r="EC322" s="23"/>
      <c r="ED322" s="23"/>
      <c r="EE322" s="23"/>
      <c r="EF322" s="23"/>
      <c r="EG322" s="23"/>
      <c r="EH322" s="23"/>
      <c r="EI322" s="23"/>
      <c r="EJ322" s="23"/>
      <c r="EK322" s="23"/>
      <c r="EL322" s="23"/>
      <c r="EM322" s="23"/>
      <c r="EN322" s="23"/>
      <c r="EO322" s="23"/>
      <c r="EP322" s="23"/>
      <c r="EQ322" s="23"/>
      <c r="ER322" s="23"/>
      <c r="ES322" s="23"/>
      <c r="ET322" s="23"/>
      <c r="EU322" s="23"/>
      <c r="EV322" s="23"/>
      <c r="EW322" s="23"/>
      <c r="EX322" s="23"/>
      <c r="EY322" s="23"/>
      <c r="EZ322" s="23"/>
      <c r="FA322" s="23"/>
      <c r="FB322" s="23"/>
      <c r="FC322" s="23"/>
      <c r="FD322" s="23"/>
      <c r="FE322" s="23"/>
      <c r="FF322" s="23"/>
      <c r="FG322" s="23"/>
      <c r="FH322" s="23"/>
      <c r="FI322" s="23"/>
      <c r="FJ322" s="23"/>
      <c r="FK322" s="23"/>
      <c r="FL322" s="23"/>
      <c r="FM322" s="23"/>
      <c r="FN322" s="23"/>
      <c r="FO322" s="23"/>
      <c r="FP322" s="23"/>
      <c r="FQ322" s="23"/>
      <c r="FR322" s="23"/>
      <c r="FS322" s="23"/>
      <c r="FT322" s="23"/>
      <c r="FU322" s="23"/>
      <c r="FV322" s="23"/>
      <c r="FW322" s="23"/>
      <c r="FX322" s="23"/>
      <c r="FY322" s="23"/>
      <c r="FZ322" s="23"/>
      <c r="GA322" s="23"/>
      <c r="GB322" s="23"/>
      <c r="GC322" s="23"/>
      <c r="GD322" s="23"/>
      <c r="GE322" s="23"/>
    </row>
    <row r="323" spans="1:187" s="6" customFormat="1" ht="94.5" x14ac:dyDescent="0.25">
      <c r="A323" s="30" t="s">
        <v>283</v>
      </c>
      <c r="B323" s="31">
        <f t="shared" si="67"/>
        <v>991114</v>
      </c>
      <c r="C323" s="31">
        <f t="shared" si="67"/>
        <v>991114</v>
      </c>
      <c r="D323" s="31">
        <f t="shared" si="67"/>
        <v>0</v>
      </c>
      <c r="E323" s="31"/>
      <c r="F323" s="31"/>
      <c r="G323" s="31">
        <f t="shared" ref="G323:G344" si="82">F323-E323</f>
        <v>0</v>
      </c>
      <c r="H323" s="31"/>
      <c r="I323" s="31"/>
      <c r="J323" s="31">
        <f t="shared" ref="J323:J344" si="83">I323-H323</f>
        <v>0</v>
      </c>
      <c r="K323" s="31"/>
      <c r="L323" s="31"/>
      <c r="M323" s="31">
        <f t="shared" ref="M323:M344" si="84">L323-K323</f>
        <v>0</v>
      </c>
      <c r="N323" s="31">
        <f>860214+130900</f>
        <v>991114</v>
      </c>
      <c r="O323" s="31">
        <f>860214+130900</f>
        <v>991114</v>
      </c>
      <c r="P323" s="31">
        <f t="shared" ref="P323:P344" si="85">O323-N323</f>
        <v>0</v>
      </c>
      <c r="Q323" s="31"/>
      <c r="R323" s="31"/>
      <c r="S323" s="31">
        <f t="shared" ref="S323:S344" si="86">R323-Q323</f>
        <v>0</v>
      </c>
      <c r="T323" s="31"/>
      <c r="U323" s="31"/>
      <c r="V323" s="31">
        <f t="shared" ref="V323:V344" si="87">U323-T323</f>
        <v>0</v>
      </c>
      <c r="W323" s="31"/>
      <c r="X323" s="31"/>
      <c r="Y323" s="31">
        <f t="shared" ref="Y323:Y344" si="88">X323-W323</f>
        <v>0</v>
      </c>
      <c r="Z323" s="31"/>
      <c r="AA323" s="31"/>
      <c r="AB323" s="31">
        <f t="shared" ref="AB323:AB344" si="89">AA323-Z323</f>
        <v>0</v>
      </c>
      <c r="FL323" s="23"/>
      <c r="FM323" s="23"/>
      <c r="FN323" s="23"/>
      <c r="FO323" s="23"/>
      <c r="FP323" s="23"/>
      <c r="FQ323" s="23"/>
      <c r="FR323" s="23"/>
      <c r="FS323" s="23"/>
      <c r="FT323" s="23"/>
      <c r="FU323" s="23"/>
      <c r="FV323" s="23"/>
      <c r="FW323" s="23"/>
      <c r="FX323" s="23"/>
      <c r="FY323" s="23"/>
      <c r="FZ323" s="23"/>
      <c r="GA323" s="23"/>
      <c r="GB323" s="23"/>
      <c r="GC323" s="23"/>
      <c r="GD323" s="23"/>
      <c r="GE323" s="23"/>
    </row>
    <row r="324" spans="1:187" s="6" customFormat="1" ht="31.5" x14ac:dyDescent="0.25">
      <c r="A324" s="30" t="s">
        <v>284</v>
      </c>
      <c r="B324" s="31">
        <f t="shared" si="67"/>
        <v>80000</v>
      </c>
      <c r="C324" s="31">
        <f t="shared" si="67"/>
        <v>80000</v>
      </c>
      <c r="D324" s="31">
        <f t="shared" si="67"/>
        <v>0</v>
      </c>
      <c r="E324" s="31"/>
      <c r="F324" s="31"/>
      <c r="G324" s="31">
        <f t="shared" si="82"/>
        <v>0</v>
      </c>
      <c r="H324" s="31"/>
      <c r="I324" s="31"/>
      <c r="J324" s="31">
        <f t="shared" si="83"/>
        <v>0</v>
      </c>
      <c r="K324" s="31">
        <v>80000</v>
      </c>
      <c r="L324" s="31">
        <v>80000</v>
      </c>
      <c r="M324" s="31">
        <f t="shared" si="84"/>
        <v>0</v>
      </c>
      <c r="N324" s="31"/>
      <c r="O324" s="31"/>
      <c r="P324" s="31">
        <f t="shared" si="85"/>
        <v>0</v>
      </c>
      <c r="Q324" s="31"/>
      <c r="R324" s="31"/>
      <c r="S324" s="31">
        <f t="shared" si="86"/>
        <v>0</v>
      </c>
      <c r="T324" s="31"/>
      <c r="U324" s="31"/>
      <c r="V324" s="31">
        <f t="shared" si="87"/>
        <v>0</v>
      </c>
      <c r="W324" s="31"/>
      <c r="X324" s="31"/>
      <c r="Y324" s="31">
        <f t="shared" si="88"/>
        <v>0</v>
      </c>
      <c r="Z324" s="31"/>
      <c r="AA324" s="31"/>
      <c r="AB324" s="31">
        <f t="shared" si="89"/>
        <v>0</v>
      </c>
      <c r="FL324" s="23"/>
      <c r="FM324" s="23"/>
      <c r="FN324" s="23"/>
      <c r="FO324" s="23"/>
      <c r="FP324" s="23"/>
      <c r="FQ324" s="23"/>
      <c r="FR324" s="23"/>
      <c r="FS324" s="23"/>
      <c r="FT324" s="23"/>
      <c r="FU324" s="23"/>
      <c r="FV324" s="23"/>
      <c r="FW324" s="23"/>
      <c r="FX324" s="23"/>
      <c r="FY324" s="23"/>
      <c r="FZ324" s="23"/>
      <c r="GA324" s="23"/>
      <c r="GB324" s="23"/>
      <c r="GC324" s="23"/>
      <c r="GD324" s="23"/>
      <c r="GE324" s="23"/>
    </row>
    <row r="325" spans="1:187" s="6" customFormat="1" x14ac:dyDescent="0.25">
      <c r="A325" s="24" t="s">
        <v>164</v>
      </c>
      <c r="B325" s="25">
        <f t="shared" si="67"/>
        <v>1024992</v>
      </c>
      <c r="C325" s="25">
        <f t="shared" si="67"/>
        <v>1024992</v>
      </c>
      <c r="D325" s="25">
        <f t="shared" si="67"/>
        <v>0</v>
      </c>
      <c r="E325" s="25">
        <f>SUM(E326:E327)</f>
        <v>0</v>
      </c>
      <c r="F325" s="25">
        <f>SUM(F326:F327)</f>
        <v>0</v>
      </c>
      <c r="G325" s="25">
        <f t="shared" si="82"/>
        <v>0</v>
      </c>
      <c r="H325" s="25">
        <f>SUM(H326:H327)</f>
        <v>0</v>
      </c>
      <c r="I325" s="25">
        <f>SUM(I326:I327)</f>
        <v>0</v>
      </c>
      <c r="J325" s="25">
        <f t="shared" si="83"/>
        <v>0</v>
      </c>
      <c r="K325" s="25">
        <f>SUM(K326:K327)</f>
        <v>15510</v>
      </c>
      <c r="L325" s="25">
        <f>SUM(L326:L327)</f>
        <v>15510</v>
      </c>
      <c r="M325" s="25">
        <f t="shared" si="84"/>
        <v>0</v>
      </c>
      <c r="N325" s="25">
        <f>SUM(N326:N327)</f>
        <v>1009482</v>
      </c>
      <c r="O325" s="25">
        <f>SUM(O326:O327)</f>
        <v>1009482</v>
      </c>
      <c r="P325" s="25">
        <f t="shared" si="85"/>
        <v>0</v>
      </c>
      <c r="Q325" s="25">
        <f>SUM(Q326:Q327)</f>
        <v>0</v>
      </c>
      <c r="R325" s="25">
        <f>SUM(R326:R327)</f>
        <v>0</v>
      </c>
      <c r="S325" s="25">
        <f t="shared" si="86"/>
        <v>0</v>
      </c>
      <c r="T325" s="25">
        <f>SUM(T326:T327)</f>
        <v>0</v>
      </c>
      <c r="U325" s="25">
        <f>SUM(U326:U327)</f>
        <v>0</v>
      </c>
      <c r="V325" s="25">
        <f t="shared" si="87"/>
        <v>0</v>
      </c>
      <c r="W325" s="25">
        <f>SUM(W326:W327)</f>
        <v>0</v>
      </c>
      <c r="X325" s="25">
        <f>SUM(X326:X327)</f>
        <v>0</v>
      </c>
      <c r="Y325" s="25">
        <f t="shared" si="88"/>
        <v>0</v>
      </c>
      <c r="Z325" s="25">
        <f>SUM(Z326:Z327)</f>
        <v>0</v>
      </c>
      <c r="AA325" s="25">
        <f>SUM(AA326:AA327)</f>
        <v>0</v>
      </c>
      <c r="AB325" s="25">
        <f t="shared" si="89"/>
        <v>0</v>
      </c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  <c r="DG325" s="23"/>
      <c r="DH325" s="23"/>
      <c r="DI325" s="23"/>
      <c r="DJ325" s="23"/>
      <c r="DK325" s="23"/>
      <c r="DL325" s="23"/>
      <c r="DM325" s="23"/>
      <c r="DN325" s="23"/>
      <c r="DO325" s="23"/>
      <c r="DP325" s="23"/>
      <c r="DQ325" s="23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3"/>
      <c r="EC325" s="23"/>
      <c r="ED325" s="23"/>
      <c r="EE325" s="23"/>
      <c r="EF325" s="23"/>
      <c r="EG325" s="23"/>
      <c r="EH325" s="23"/>
      <c r="EI325" s="23"/>
      <c r="EJ325" s="23"/>
      <c r="EK325" s="23"/>
      <c r="EL325" s="23"/>
      <c r="EM325" s="23"/>
      <c r="EN325" s="23"/>
      <c r="EO325" s="23"/>
      <c r="EP325" s="23"/>
      <c r="EQ325" s="23"/>
      <c r="ER325" s="23"/>
      <c r="ES325" s="23"/>
      <c r="ET325" s="23"/>
      <c r="EU325" s="23"/>
      <c r="EV325" s="23"/>
      <c r="EW325" s="23"/>
      <c r="EX325" s="23"/>
      <c r="EY325" s="23"/>
      <c r="EZ325" s="23"/>
      <c r="FA325" s="23"/>
      <c r="FB325" s="23"/>
      <c r="FC325" s="23"/>
      <c r="FD325" s="23"/>
      <c r="FE325" s="23"/>
      <c r="FF325" s="23"/>
      <c r="FG325" s="23"/>
      <c r="FH325" s="23"/>
      <c r="FI325" s="23"/>
      <c r="FJ325" s="23"/>
      <c r="FK325" s="23"/>
      <c r="FL325" s="23"/>
      <c r="FM325" s="23"/>
      <c r="FN325" s="23"/>
      <c r="FO325" s="23"/>
      <c r="FP325" s="23"/>
      <c r="FQ325" s="23"/>
      <c r="FR325" s="23"/>
      <c r="FS325" s="23"/>
      <c r="FT325" s="23"/>
      <c r="FU325" s="23"/>
      <c r="FV325" s="23"/>
      <c r="FW325" s="23"/>
      <c r="FX325" s="23"/>
      <c r="FY325" s="23"/>
      <c r="FZ325" s="23"/>
      <c r="GA325" s="23"/>
      <c r="GB325" s="23"/>
      <c r="GC325" s="23"/>
      <c r="GD325" s="23"/>
      <c r="GE325" s="23"/>
    </row>
    <row r="326" spans="1:187" s="6" customFormat="1" ht="31.5" x14ac:dyDescent="0.25">
      <c r="A326" s="30" t="s">
        <v>285</v>
      </c>
      <c r="B326" s="31">
        <f t="shared" si="67"/>
        <v>15510</v>
      </c>
      <c r="C326" s="31">
        <f t="shared" si="67"/>
        <v>15510</v>
      </c>
      <c r="D326" s="31">
        <f t="shared" si="67"/>
        <v>0</v>
      </c>
      <c r="E326" s="31">
        <v>0</v>
      </c>
      <c r="F326" s="31">
        <v>0</v>
      </c>
      <c r="G326" s="31">
        <f t="shared" si="82"/>
        <v>0</v>
      </c>
      <c r="H326" s="31">
        <v>0</v>
      </c>
      <c r="I326" s="31">
        <v>0</v>
      </c>
      <c r="J326" s="31">
        <f t="shared" si="83"/>
        <v>0</v>
      </c>
      <c r="K326" s="31">
        <v>15510</v>
      </c>
      <c r="L326" s="31">
        <v>15510</v>
      </c>
      <c r="M326" s="31">
        <f t="shared" si="84"/>
        <v>0</v>
      </c>
      <c r="N326" s="31"/>
      <c r="O326" s="31"/>
      <c r="P326" s="31">
        <f t="shared" si="85"/>
        <v>0</v>
      </c>
      <c r="Q326" s="31"/>
      <c r="R326" s="31"/>
      <c r="S326" s="31">
        <f t="shared" si="86"/>
        <v>0</v>
      </c>
      <c r="T326" s="31"/>
      <c r="U326" s="31"/>
      <c r="V326" s="31">
        <f t="shared" si="87"/>
        <v>0</v>
      </c>
      <c r="W326" s="31"/>
      <c r="X326" s="31"/>
      <c r="Y326" s="31">
        <f t="shared" si="88"/>
        <v>0</v>
      </c>
      <c r="Z326" s="31"/>
      <c r="AA326" s="31"/>
      <c r="AB326" s="31">
        <f t="shared" si="89"/>
        <v>0</v>
      </c>
    </row>
    <row r="327" spans="1:187" s="6" customFormat="1" ht="78.75" x14ac:dyDescent="0.25">
      <c r="A327" s="30" t="s">
        <v>286</v>
      </c>
      <c r="B327" s="31">
        <f t="shared" si="67"/>
        <v>1009482</v>
      </c>
      <c r="C327" s="31">
        <f t="shared" si="67"/>
        <v>1009482</v>
      </c>
      <c r="D327" s="31">
        <f t="shared" si="67"/>
        <v>0</v>
      </c>
      <c r="E327" s="31"/>
      <c r="F327" s="31"/>
      <c r="G327" s="31">
        <f t="shared" si="82"/>
        <v>0</v>
      </c>
      <c r="H327" s="31"/>
      <c r="I327" s="31"/>
      <c r="J327" s="31">
        <f t="shared" si="83"/>
        <v>0</v>
      </c>
      <c r="K327" s="31"/>
      <c r="L327" s="31"/>
      <c r="M327" s="31">
        <f t="shared" si="84"/>
        <v>0</v>
      </c>
      <c r="N327" s="31">
        <v>1009482</v>
      </c>
      <c r="O327" s="31">
        <v>1009482</v>
      </c>
      <c r="P327" s="31">
        <f t="shared" si="85"/>
        <v>0</v>
      </c>
      <c r="Q327" s="31"/>
      <c r="R327" s="31"/>
      <c r="S327" s="31">
        <f t="shared" si="86"/>
        <v>0</v>
      </c>
      <c r="T327" s="31"/>
      <c r="U327" s="31"/>
      <c r="V327" s="31">
        <f t="shared" si="87"/>
        <v>0</v>
      </c>
      <c r="W327" s="31"/>
      <c r="X327" s="31"/>
      <c r="Y327" s="31">
        <f t="shared" si="88"/>
        <v>0</v>
      </c>
      <c r="Z327" s="31"/>
      <c r="AA327" s="31"/>
      <c r="AB327" s="31">
        <f t="shared" si="89"/>
        <v>0</v>
      </c>
      <c r="FL327" s="23"/>
      <c r="FM327" s="23"/>
      <c r="FN327" s="23"/>
      <c r="FO327" s="23"/>
      <c r="FP327" s="23"/>
      <c r="FQ327" s="23"/>
      <c r="FR327" s="23"/>
      <c r="FS327" s="23"/>
      <c r="FT327" s="23"/>
      <c r="FU327" s="23"/>
      <c r="FV327" s="23"/>
      <c r="FW327" s="23"/>
      <c r="FX327" s="23"/>
      <c r="FY327" s="23"/>
      <c r="FZ327" s="23"/>
      <c r="GA327" s="23"/>
      <c r="GB327" s="23"/>
      <c r="GC327" s="23"/>
      <c r="GD327" s="23"/>
      <c r="GE327" s="23"/>
    </row>
    <row r="328" spans="1:187" s="23" customFormat="1" x14ac:dyDescent="0.25">
      <c r="A328" s="24" t="s">
        <v>287</v>
      </c>
      <c r="B328" s="25">
        <f t="shared" si="67"/>
        <v>507201</v>
      </c>
      <c r="C328" s="25">
        <f t="shared" si="67"/>
        <v>507201</v>
      </c>
      <c r="D328" s="25">
        <f t="shared" si="67"/>
        <v>0</v>
      </c>
      <c r="E328" s="25">
        <f>SUM(E329,E334,E337)</f>
        <v>0</v>
      </c>
      <c r="F328" s="25">
        <f>SUM(F329,F334,F337)</f>
        <v>0</v>
      </c>
      <c r="G328" s="25">
        <f t="shared" si="82"/>
        <v>0</v>
      </c>
      <c r="H328" s="25">
        <f>SUM(H329,H334,H337)</f>
        <v>0</v>
      </c>
      <c r="I328" s="25">
        <f>SUM(I329,I334,I337)</f>
        <v>0</v>
      </c>
      <c r="J328" s="25">
        <f t="shared" si="83"/>
        <v>0</v>
      </c>
      <c r="K328" s="25">
        <f>SUM(K329,K334,K337)</f>
        <v>92580</v>
      </c>
      <c r="L328" s="25">
        <f>SUM(L329,L334,L337)</f>
        <v>92580</v>
      </c>
      <c r="M328" s="25">
        <f t="shared" si="84"/>
        <v>0</v>
      </c>
      <c r="N328" s="25">
        <f>SUM(N329,N334,N337)</f>
        <v>412151</v>
      </c>
      <c r="O328" s="25">
        <f>SUM(O329,O334,O337)</f>
        <v>412151</v>
      </c>
      <c r="P328" s="25">
        <f t="shared" si="85"/>
        <v>0</v>
      </c>
      <c r="Q328" s="25">
        <f>SUM(Q329,Q334,Q337)</f>
        <v>2470</v>
      </c>
      <c r="R328" s="25">
        <f>SUM(R329,R334,R337)</f>
        <v>2470</v>
      </c>
      <c r="S328" s="25">
        <f t="shared" si="86"/>
        <v>0</v>
      </c>
      <c r="T328" s="25">
        <f>SUM(T329,T334,T337)</f>
        <v>0</v>
      </c>
      <c r="U328" s="25">
        <f>SUM(U329,U334,U337)</f>
        <v>0</v>
      </c>
      <c r="V328" s="25">
        <f t="shared" si="87"/>
        <v>0</v>
      </c>
      <c r="W328" s="25">
        <f>SUM(W329,W334,W337)</f>
        <v>0</v>
      </c>
      <c r="X328" s="25">
        <f>SUM(X329,X334,X337)</f>
        <v>0</v>
      </c>
      <c r="Y328" s="25">
        <f t="shared" si="88"/>
        <v>0</v>
      </c>
      <c r="Z328" s="25">
        <f>SUM(Z329,Z334,Z337)</f>
        <v>0</v>
      </c>
      <c r="AA328" s="25">
        <f>SUM(AA329,AA334,AA337)</f>
        <v>0</v>
      </c>
      <c r="AB328" s="25">
        <f t="shared" si="89"/>
        <v>0</v>
      </c>
      <c r="FL328" s="6"/>
      <c r="FM328" s="6"/>
      <c r="FN328" s="6"/>
      <c r="FO328" s="6"/>
      <c r="FP328" s="6"/>
      <c r="FQ328" s="6"/>
      <c r="FR328" s="6"/>
      <c r="FS328" s="6"/>
      <c r="FT328" s="6"/>
      <c r="FU328" s="6"/>
      <c r="FV328" s="6"/>
      <c r="FW328" s="6"/>
      <c r="FX328" s="6"/>
      <c r="FY328" s="6"/>
      <c r="FZ328" s="6"/>
      <c r="GA328" s="6"/>
      <c r="GB328" s="6"/>
      <c r="GC328" s="6"/>
      <c r="GD328" s="6"/>
      <c r="GE328" s="6"/>
    </row>
    <row r="329" spans="1:187" s="6" customFormat="1" x14ac:dyDescent="0.25">
      <c r="A329" s="24" t="s">
        <v>17</v>
      </c>
      <c r="B329" s="25">
        <f t="shared" si="67"/>
        <v>68580</v>
      </c>
      <c r="C329" s="25">
        <f t="shared" si="67"/>
        <v>68580</v>
      </c>
      <c r="D329" s="25">
        <f t="shared" si="67"/>
        <v>0</v>
      </c>
      <c r="E329" s="25">
        <f>SUM(E330)</f>
        <v>0</v>
      </c>
      <c r="F329" s="25">
        <f>SUM(F330)</f>
        <v>0</v>
      </c>
      <c r="G329" s="25">
        <f t="shared" si="82"/>
        <v>0</v>
      </c>
      <c r="H329" s="25">
        <f>SUM(H330)</f>
        <v>0</v>
      </c>
      <c r="I329" s="25">
        <f>SUM(I330)</f>
        <v>0</v>
      </c>
      <c r="J329" s="25">
        <f t="shared" si="83"/>
        <v>0</v>
      </c>
      <c r="K329" s="25">
        <f>SUM(K330)</f>
        <v>68580</v>
      </c>
      <c r="L329" s="25">
        <f>SUM(L330)</f>
        <v>68580</v>
      </c>
      <c r="M329" s="25">
        <f t="shared" si="84"/>
        <v>0</v>
      </c>
      <c r="N329" s="25">
        <f>SUM(N330)</f>
        <v>0</v>
      </c>
      <c r="O329" s="25">
        <f>SUM(O330)</f>
        <v>0</v>
      </c>
      <c r="P329" s="25">
        <f t="shared" si="85"/>
        <v>0</v>
      </c>
      <c r="Q329" s="25">
        <f>SUM(Q330)</f>
        <v>0</v>
      </c>
      <c r="R329" s="25">
        <f>SUM(R330)</f>
        <v>0</v>
      </c>
      <c r="S329" s="25">
        <f t="shared" si="86"/>
        <v>0</v>
      </c>
      <c r="T329" s="25">
        <f>SUM(T330)</f>
        <v>0</v>
      </c>
      <c r="U329" s="25">
        <f>SUM(U330)</f>
        <v>0</v>
      </c>
      <c r="V329" s="25">
        <f t="shared" si="87"/>
        <v>0</v>
      </c>
      <c r="W329" s="25">
        <f>SUM(W330)</f>
        <v>0</v>
      </c>
      <c r="X329" s="25">
        <f>SUM(X330)</f>
        <v>0</v>
      </c>
      <c r="Y329" s="25">
        <f t="shared" si="88"/>
        <v>0</v>
      </c>
      <c r="Z329" s="25">
        <f>SUM(Z330)</f>
        <v>0</v>
      </c>
      <c r="AA329" s="25">
        <f>SUM(AA330)</f>
        <v>0</v>
      </c>
      <c r="AB329" s="25">
        <f t="shared" si="89"/>
        <v>0</v>
      </c>
    </row>
    <row r="330" spans="1:187" s="6" customFormat="1" ht="31.5" x14ac:dyDescent="0.25">
      <c r="A330" s="24" t="s">
        <v>288</v>
      </c>
      <c r="B330" s="25">
        <f t="shared" si="67"/>
        <v>68580</v>
      </c>
      <c r="C330" s="25">
        <f t="shared" si="67"/>
        <v>68580</v>
      </c>
      <c r="D330" s="25">
        <f t="shared" si="67"/>
        <v>0</v>
      </c>
      <c r="E330" s="25">
        <f>SUM(E331:E333)</f>
        <v>0</v>
      </c>
      <c r="F330" s="25">
        <f>SUM(F331:F333)</f>
        <v>0</v>
      </c>
      <c r="G330" s="25">
        <f t="shared" si="82"/>
        <v>0</v>
      </c>
      <c r="H330" s="25">
        <f>SUM(H331:H333)</f>
        <v>0</v>
      </c>
      <c r="I330" s="25">
        <f>SUM(I331:I333)</f>
        <v>0</v>
      </c>
      <c r="J330" s="25">
        <f t="shared" si="83"/>
        <v>0</v>
      </c>
      <c r="K330" s="25">
        <f>SUM(K331:K333)</f>
        <v>68580</v>
      </c>
      <c r="L330" s="25">
        <f>SUM(L331:L333)</f>
        <v>68580</v>
      </c>
      <c r="M330" s="25">
        <f t="shared" si="84"/>
        <v>0</v>
      </c>
      <c r="N330" s="25">
        <f>SUM(N331:N333)</f>
        <v>0</v>
      </c>
      <c r="O330" s="25">
        <f>SUM(O331:O333)</f>
        <v>0</v>
      </c>
      <c r="P330" s="25">
        <f t="shared" si="85"/>
        <v>0</v>
      </c>
      <c r="Q330" s="25">
        <f>SUM(Q331:Q333)</f>
        <v>0</v>
      </c>
      <c r="R330" s="25">
        <f>SUM(R331:R333)</f>
        <v>0</v>
      </c>
      <c r="S330" s="25">
        <f t="shared" si="86"/>
        <v>0</v>
      </c>
      <c r="T330" s="25">
        <f>SUM(T331:T333)</f>
        <v>0</v>
      </c>
      <c r="U330" s="25">
        <f>SUM(U331:U333)</f>
        <v>0</v>
      </c>
      <c r="V330" s="25">
        <f t="shared" si="87"/>
        <v>0</v>
      </c>
      <c r="W330" s="25">
        <f>SUM(W331:W333)</f>
        <v>0</v>
      </c>
      <c r="X330" s="25">
        <f>SUM(X331:X333)</f>
        <v>0</v>
      </c>
      <c r="Y330" s="25">
        <f t="shared" si="88"/>
        <v>0</v>
      </c>
      <c r="Z330" s="25">
        <f>SUM(Z331:Z333)</f>
        <v>0</v>
      </c>
      <c r="AA330" s="25">
        <f>SUM(AA331:AA333)</f>
        <v>0</v>
      </c>
      <c r="AB330" s="25">
        <f t="shared" si="89"/>
        <v>0</v>
      </c>
    </row>
    <row r="331" spans="1:187" s="6" customFormat="1" ht="31.5" x14ac:dyDescent="0.25">
      <c r="A331" s="37" t="s">
        <v>289</v>
      </c>
      <c r="B331" s="28">
        <f t="shared" si="67"/>
        <v>19020</v>
      </c>
      <c r="C331" s="28">
        <f t="shared" si="67"/>
        <v>19020</v>
      </c>
      <c r="D331" s="28">
        <f t="shared" si="67"/>
        <v>0</v>
      </c>
      <c r="E331" s="28"/>
      <c r="F331" s="28"/>
      <c r="G331" s="28">
        <f t="shared" si="82"/>
        <v>0</v>
      </c>
      <c r="H331" s="28"/>
      <c r="I331" s="28"/>
      <c r="J331" s="28">
        <f t="shared" si="83"/>
        <v>0</v>
      </c>
      <c r="K331" s="28">
        <v>19020</v>
      </c>
      <c r="L331" s="28">
        <v>19020</v>
      </c>
      <c r="M331" s="28">
        <f t="shared" si="84"/>
        <v>0</v>
      </c>
      <c r="N331" s="28"/>
      <c r="O331" s="28"/>
      <c r="P331" s="28">
        <f t="shared" si="85"/>
        <v>0</v>
      </c>
      <c r="Q331" s="28"/>
      <c r="R331" s="28"/>
      <c r="S331" s="28">
        <f t="shared" si="86"/>
        <v>0</v>
      </c>
      <c r="T331" s="28"/>
      <c r="U331" s="28"/>
      <c r="V331" s="28">
        <f t="shared" si="87"/>
        <v>0</v>
      </c>
      <c r="W331" s="28"/>
      <c r="X331" s="28"/>
      <c r="Y331" s="28">
        <f t="shared" si="88"/>
        <v>0</v>
      </c>
      <c r="Z331" s="28">
        <v>0</v>
      </c>
      <c r="AA331" s="28">
        <v>0</v>
      </c>
      <c r="AB331" s="28">
        <f t="shared" si="89"/>
        <v>0</v>
      </c>
    </row>
    <row r="332" spans="1:187" s="6" customFormat="1" x14ac:dyDescent="0.25">
      <c r="A332" s="37" t="s">
        <v>290</v>
      </c>
      <c r="B332" s="28">
        <f t="shared" si="67"/>
        <v>1560</v>
      </c>
      <c r="C332" s="28">
        <f t="shared" si="67"/>
        <v>1560</v>
      </c>
      <c r="D332" s="28">
        <f t="shared" si="67"/>
        <v>0</v>
      </c>
      <c r="E332" s="28"/>
      <c r="F332" s="28"/>
      <c r="G332" s="28">
        <f t="shared" si="82"/>
        <v>0</v>
      </c>
      <c r="H332" s="28"/>
      <c r="I332" s="28"/>
      <c r="J332" s="28">
        <f t="shared" si="83"/>
        <v>0</v>
      </c>
      <c r="K332" s="28">
        <v>1560</v>
      </c>
      <c r="L332" s="28">
        <v>1560</v>
      </c>
      <c r="M332" s="28">
        <f t="shared" si="84"/>
        <v>0</v>
      </c>
      <c r="N332" s="28"/>
      <c r="O332" s="28"/>
      <c r="P332" s="28">
        <f t="shared" si="85"/>
        <v>0</v>
      </c>
      <c r="Q332" s="28"/>
      <c r="R332" s="28"/>
      <c r="S332" s="28">
        <f t="shared" si="86"/>
        <v>0</v>
      </c>
      <c r="T332" s="28"/>
      <c r="U332" s="28"/>
      <c r="V332" s="28">
        <f t="shared" si="87"/>
        <v>0</v>
      </c>
      <c r="W332" s="28"/>
      <c r="X332" s="28"/>
      <c r="Y332" s="28">
        <f t="shared" si="88"/>
        <v>0</v>
      </c>
      <c r="Z332" s="28">
        <v>0</v>
      </c>
      <c r="AA332" s="28">
        <v>0</v>
      </c>
      <c r="AB332" s="28">
        <f t="shared" si="89"/>
        <v>0</v>
      </c>
    </row>
    <row r="333" spans="1:187" s="6" customFormat="1" ht="31.5" x14ac:dyDescent="0.25">
      <c r="A333" s="37" t="s">
        <v>291</v>
      </c>
      <c r="B333" s="28">
        <f t="shared" si="67"/>
        <v>48000</v>
      </c>
      <c r="C333" s="28">
        <f t="shared" si="67"/>
        <v>48000</v>
      </c>
      <c r="D333" s="28">
        <f t="shared" si="67"/>
        <v>0</v>
      </c>
      <c r="E333" s="28"/>
      <c r="F333" s="28"/>
      <c r="G333" s="28">
        <f t="shared" si="82"/>
        <v>0</v>
      </c>
      <c r="H333" s="28"/>
      <c r="I333" s="28"/>
      <c r="J333" s="28">
        <f t="shared" si="83"/>
        <v>0</v>
      </c>
      <c r="K333" s="28">
        <v>48000</v>
      </c>
      <c r="L333" s="28">
        <v>48000</v>
      </c>
      <c r="M333" s="28">
        <f t="shared" si="84"/>
        <v>0</v>
      </c>
      <c r="N333" s="28"/>
      <c r="O333" s="28"/>
      <c r="P333" s="28">
        <f t="shared" si="85"/>
        <v>0</v>
      </c>
      <c r="Q333" s="28"/>
      <c r="R333" s="28"/>
      <c r="S333" s="28">
        <f t="shared" si="86"/>
        <v>0</v>
      </c>
      <c r="T333" s="28"/>
      <c r="U333" s="28"/>
      <c r="V333" s="28">
        <f t="shared" si="87"/>
        <v>0</v>
      </c>
      <c r="W333" s="28"/>
      <c r="X333" s="28"/>
      <c r="Y333" s="28">
        <f t="shared" si="88"/>
        <v>0</v>
      </c>
      <c r="Z333" s="28">
        <v>0</v>
      </c>
      <c r="AA333" s="28">
        <v>0</v>
      </c>
      <c r="AB333" s="28">
        <f t="shared" si="89"/>
        <v>0</v>
      </c>
    </row>
    <row r="334" spans="1:187" s="6" customFormat="1" ht="31.5" x14ac:dyDescent="0.25">
      <c r="A334" s="24" t="s">
        <v>76</v>
      </c>
      <c r="B334" s="25">
        <f t="shared" si="67"/>
        <v>2470</v>
      </c>
      <c r="C334" s="25">
        <f t="shared" si="67"/>
        <v>2470</v>
      </c>
      <c r="D334" s="25">
        <f t="shared" si="67"/>
        <v>0</v>
      </c>
      <c r="E334" s="25">
        <f>SUM(E335)</f>
        <v>0</v>
      </c>
      <c r="F334" s="25">
        <f>SUM(F335)</f>
        <v>0</v>
      </c>
      <c r="G334" s="25">
        <f t="shared" si="82"/>
        <v>0</v>
      </c>
      <c r="H334" s="25">
        <f>SUM(H335)</f>
        <v>0</v>
      </c>
      <c r="I334" s="25">
        <f>SUM(I335)</f>
        <v>0</v>
      </c>
      <c r="J334" s="25">
        <f t="shared" si="83"/>
        <v>0</v>
      </c>
      <c r="K334" s="25">
        <v>0</v>
      </c>
      <c r="L334" s="25">
        <v>0</v>
      </c>
      <c r="M334" s="25">
        <f t="shared" si="84"/>
        <v>0</v>
      </c>
      <c r="N334" s="25">
        <f>SUM(N335)</f>
        <v>0</v>
      </c>
      <c r="O334" s="25">
        <f>SUM(O335)</f>
        <v>0</v>
      </c>
      <c r="P334" s="25">
        <f t="shared" si="85"/>
        <v>0</v>
      </c>
      <c r="Q334" s="25">
        <f>SUM(Q335)</f>
        <v>2470</v>
      </c>
      <c r="R334" s="25">
        <f>SUM(R335)</f>
        <v>2470</v>
      </c>
      <c r="S334" s="25">
        <f t="shared" si="86"/>
        <v>0</v>
      </c>
      <c r="T334" s="25">
        <f>SUM(T335)</f>
        <v>0</v>
      </c>
      <c r="U334" s="25">
        <f>SUM(U335)</f>
        <v>0</v>
      </c>
      <c r="V334" s="25">
        <f t="shared" si="87"/>
        <v>0</v>
      </c>
      <c r="W334" s="25">
        <f>SUM(W335)</f>
        <v>0</v>
      </c>
      <c r="X334" s="25">
        <f>SUM(X335)</f>
        <v>0</v>
      </c>
      <c r="Y334" s="25">
        <f t="shared" si="88"/>
        <v>0</v>
      </c>
      <c r="Z334" s="25">
        <f>SUM(Z335)</f>
        <v>0</v>
      </c>
      <c r="AA334" s="25">
        <f>SUM(AA335)</f>
        <v>0</v>
      </c>
      <c r="AB334" s="25">
        <f t="shared" si="89"/>
        <v>0</v>
      </c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  <c r="DG334" s="23"/>
      <c r="DH334" s="23"/>
      <c r="DI334" s="23"/>
      <c r="DJ334" s="23"/>
      <c r="DK334" s="23"/>
      <c r="DL334" s="23"/>
      <c r="DM334" s="23"/>
      <c r="DN334" s="23"/>
      <c r="DO334" s="23"/>
      <c r="DP334" s="23"/>
      <c r="DQ334" s="23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3"/>
      <c r="EC334" s="23"/>
      <c r="ED334" s="23"/>
      <c r="EE334" s="23"/>
      <c r="EF334" s="23"/>
      <c r="EG334" s="23"/>
      <c r="EH334" s="23"/>
      <c r="EI334" s="23"/>
      <c r="EJ334" s="23"/>
      <c r="EK334" s="23"/>
      <c r="EL334" s="23"/>
      <c r="EM334" s="23"/>
      <c r="EN334" s="23"/>
      <c r="EO334" s="23"/>
      <c r="EP334" s="23"/>
      <c r="EQ334" s="23"/>
      <c r="ER334" s="23"/>
      <c r="ES334" s="23"/>
      <c r="ET334" s="23"/>
      <c r="EU334" s="23"/>
      <c r="EV334" s="23"/>
      <c r="EW334" s="23"/>
      <c r="EX334" s="23"/>
      <c r="EY334" s="23"/>
      <c r="EZ334" s="23"/>
      <c r="FA334" s="23"/>
      <c r="FB334" s="23"/>
      <c r="FC334" s="23"/>
      <c r="FD334" s="23"/>
      <c r="FE334" s="23"/>
      <c r="FF334" s="23"/>
      <c r="FG334" s="23"/>
      <c r="FH334" s="23"/>
      <c r="FI334" s="23"/>
      <c r="FJ334" s="23"/>
      <c r="FK334" s="23"/>
      <c r="FL334" s="23"/>
      <c r="FM334" s="23"/>
      <c r="FN334" s="23"/>
      <c r="FO334" s="23"/>
      <c r="FP334" s="23"/>
      <c r="FQ334" s="23"/>
      <c r="FR334" s="23"/>
      <c r="FS334" s="23"/>
      <c r="FT334" s="23"/>
      <c r="FU334" s="23"/>
      <c r="FV334" s="23"/>
      <c r="FW334" s="23"/>
      <c r="FX334" s="23"/>
      <c r="FY334" s="23"/>
      <c r="FZ334" s="23"/>
      <c r="GA334" s="23"/>
      <c r="GB334" s="23"/>
      <c r="GC334" s="23"/>
      <c r="GD334" s="23"/>
      <c r="GE334" s="23"/>
    </row>
    <row r="335" spans="1:187" s="6" customFormat="1" ht="31.5" x14ac:dyDescent="0.25">
      <c r="A335" s="24" t="s">
        <v>288</v>
      </c>
      <c r="B335" s="25">
        <f t="shared" si="67"/>
        <v>2470</v>
      </c>
      <c r="C335" s="25">
        <f t="shared" si="67"/>
        <v>2470</v>
      </c>
      <c r="D335" s="25">
        <f t="shared" si="67"/>
        <v>0</v>
      </c>
      <c r="E335" s="25">
        <f>SUM(E336:E336)</f>
        <v>0</v>
      </c>
      <c r="F335" s="25">
        <f>SUM(F336:F336)</f>
        <v>0</v>
      </c>
      <c r="G335" s="25">
        <f t="shared" si="82"/>
        <v>0</v>
      </c>
      <c r="H335" s="25">
        <f>SUM(H336:H336)</f>
        <v>0</v>
      </c>
      <c r="I335" s="25">
        <f>SUM(I336:I336)</f>
        <v>0</v>
      </c>
      <c r="J335" s="25">
        <f t="shared" si="83"/>
        <v>0</v>
      </c>
      <c r="K335" s="25">
        <f>SUM(K336:K336)</f>
        <v>0</v>
      </c>
      <c r="L335" s="25">
        <f>SUM(L336:L336)</f>
        <v>0</v>
      </c>
      <c r="M335" s="25">
        <f t="shared" si="84"/>
        <v>0</v>
      </c>
      <c r="N335" s="25">
        <f>SUM(N336:N336)</f>
        <v>0</v>
      </c>
      <c r="O335" s="25">
        <f>SUM(O336:O336)</f>
        <v>0</v>
      </c>
      <c r="P335" s="25">
        <f t="shared" si="85"/>
        <v>0</v>
      </c>
      <c r="Q335" s="25">
        <f>SUM(Q336:Q336)</f>
        <v>2470</v>
      </c>
      <c r="R335" s="25">
        <f>SUM(R336:R336)</f>
        <v>2470</v>
      </c>
      <c r="S335" s="25">
        <f t="shared" si="86"/>
        <v>0</v>
      </c>
      <c r="T335" s="25">
        <f>SUM(T336:T336)</f>
        <v>0</v>
      </c>
      <c r="U335" s="25">
        <f>SUM(U336:U336)</f>
        <v>0</v>
      </c>
      <c r="V335" s="25">
        <f t="shared" si="87"/>
        <v>0</v>
      </c>
      <c r="W335" s="25">
        <f>SUM(W336:W336)</f>
        <v>0</v>
      </c>
      <c r="X335" s="25">
        <f>SUM(X336:X336)</f>
        <v>0</v>
      </c>
      <c r="Y335" s="25">
        <f t="shared" si="88"/>
        <v>0</v>
      </c>
      <c r="Z335" s="25">
        <f>SUM(Z336:Z336)</f>
        <v>0</v>
      </c>
      <c r="AA335" s="25">
        <f>SUM(AA336:AA336)</f>
        <v>0</v>
      </c>
      <c r="AB335" s="25">
        <f t="shared" si="89"/>
        <v>0</v>
      </c>
    </row>
    <row r="336" spans="1:187" s="6" customFormat="1" ht="31.5" x14ac:dyDescent="0.25">
      <c r="A336" s="27" t="s">
        <v>292</v>
      </c>
      <c r="B336" s="31">
        <f t="shared" si="67"/>
        <v>2470</v>
      </c>
      <c r="C336" s="31">
        <f t="shared" si="67"/>
        <v>2470</v>
      </c>
      <c r="D336" s="31">
        <f t="shared" si="67"/>
        <v>0</v>
      </c>
      <c r="E336" s="31"/>
      <c r="F336" s="31"/>
      <c r="G336" s="31">
        <f t="shared" si="82"/>
        <v>0</v>
      </c>
      <c r="H336" s="31"/>
      <c r="I336" s="31"/>
      <c r="J336" s="31">
        <f t="shared" si="83"/>
        <v>0</v>
      </c>
      <c r="K336" s="31"/>
      <c r="L336" s="31"/>
      <c r="M336" s="31">
        <f t="shared" si="84"/>
        <v>0</v>
      </c>
      <c r="N336" s="31"/>
      <c r="O336" s="31"/>
      <c r="P336" s="31">
        <f t="shared" si="85"/>
        <v>0</v>
      </c>
      <c r="Q336" s="31">
        <v>2470</v>
      </c>
      <c r="R336" s="31">
        <v>2470</v>
      </c>
      <c r="S336" s="31">
        <f t="shared" si="86"/>
        <v>0</v>
      </c>
      <c r="T336" s="31"/>
      <c r="U336" s="31"/>
      <c r="V336" s="31">
        <f t="shared" si="87"/>
        <v>0</v>
      </c>
      <c r="W336" s="31"/>
      <c r="X336" s="31"/>
      <c r="Y336" s="31">
        <f t="shared" si="88"/>
        <v>0</v>
      </c>
      <c r="Z336" s="31"/>
      <c r="AA336" s="31"/>
      <c r="AB336" s="31">
        <f t="shared" si="89"/>
        <v>0</v>
      </c>
    </row>
    <row r="337" spans="1:187" s="6" customFormat="1" x14ac:dyDescent="0.25">
      <c r="A337" s="24" t="s">
        <v>86</v>
      </c>
      <c r="B337" s="25">
        <f t="shared" si="67"/>
        <v>436151</v>
      </c>
      <c r="C337" s="25">
        <f t="shared" si="67"/>
        <v>436151</v>
      </c>
      <c r="D337" s="25">
        <f t="shared" si="67"/>
        <v>0</v>
      </c>
      <c r="E337" s="25">
        <f>SUM(E338)</f>
        <v>0</v>
      </c>
      <c r="F337" s="25">
        <f>SUM(F338)</f>
        <v>0</v>
      </c>
      <c r="G337" s="25">
        <f t="shared" si="82"/>
        <v>0</v>
      </c>
      <c r="H337" s="25">
        <f>SUM(H338)</f>
        <v>0</v>
      </c>
      <c r="I337" s="25">
        <f>SUM(I338)</f>
        <v>0</v>
      </c>
      <c r="J337" s="25">
        <f t="shared" si="83"/>
        <v>0</v>
      </c>
      <c r="K337" s="25">
        <f>SUM(K338)</f>
        <v>24000</v>
      </c>
      <c r="L337" s="25">
        <f>SUM(L338)</f>
        <v>24000</v>
      </c>
      <c r="M337" s="25">
        <f t="shared" si="84"/>
        <v>0</v>
      </c>
      <c r="N337" s="25">
        <f>SUM(N338)</f>
        <v>412151</v>
      </c>
      <c r="O337" s="25">
        <f>SUM(O338)</f>
        <v>412151</v>
      </c>
      <c r="P337" s="25">
        <f t="shared" si="85"/>
        <v>0</v>
      </c>
      <c r="Q337" s="25">
        <f>SUM(Q338)</f>
        <v>0</v>
      </c>
      <c r="R337" s="25">
        <f>SUM(R338)</f>
        <v>0</v>
      </c>
      <c r="S337" s="25">
        <f t="shared" si="86"/>
        <v>0</v>
      </c>
      <c r="T337" s="25">
        <f>SUM(T338)</f>
        <v>0</v>
      </c>
      <c r="U337" s="25">
        <f>SUM(U338)</f>
        <v>0</v>
      </c>
      <c r="V337" s="25">
        <f t="shared" si="87"/>
        <v>0</v>
      </c>
      <c r="W337" s="25">
        <f>SUM(W338)</f>
        <v>0</v>
      </c>
      <c r="X337" s="25">
        <f>SUM(X338)</f>
        <v>0</v>
      </c>
      <c r="Y337" s="25">
        <f t="shared" si="88"/>
        <v>0</v>
      </c>
      <c r="Z337" s="25">
        <f>SUM(Z338)</f>
        <v>0</v>
      </c>
      <c r="AA337" s="25">
        <f>SUM(AA338)</f>
        <v>0</v>
      </c>
      <c r="AB337" s="25">
        <f t="shared" si="89"/>
        <v>0</v>
      </c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  <c r="DG337" s="23"/>
      <c r="DH337" s="23"/>
      <c r="DI337" s="23"/>
      <c r="DJ337" s="23"/>
      <c r="DK337" s="23"/>
      <c r="DL337" s="23"/>
      <c r="DM337" s="23"/>
      <c r="DN337" s="23"/>
      <c r="DO337" s="23"/>
      <c r="DP337" s="23"/>
      <c r="DQ337" s="23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3"/>
      <c r="EC337" s="23"/>
      <c r="ED337" s="23"/>
      <c r="EE337" s="23"/>
      <c r="EF337" s="23"/>
      <c r="EG337" s="23"/>
      <c r="EH337" s="23"/>
      <c r="EI337" s="23"/>
      <c r="EJ337" s="23"/>
      <c r="EK337" s="23"/>
      <c r="EL337" s="23"/>
      <c r="EM337" s="23"/>
      <c r="EN337" s="23"/>
      <c r="EO337" s="23"/>
      <c r="EP337" s="23"/>
      <c r="EQ337" s="23"/>
      <c r="ER337" s="23"/>
      <c r="ES337" s="23"/>
      <c r="ET337" s="23"/>
      <c r="EU337" s="23"/>
      <c r="EV337" s="23"/>
      <c r="EW337" s="23"/>
      <c r="EX337" s="23"/>
      <c r="EY337" s="23"/>
      <c r="EZ337" s="23"/>
      <c r="FA337" s="23"/>
      <c r="FB337" s="23"/>
      <c r="FC337" s="23"/>
      <c r="FD337" s="23"/>
      <c r="FE337" s="23"/>
      <c r="FF337" s="23"/>
      <c r="FG337" s="23"/>
      <c r="FH337" s="23"/>
      <c r="FI337" s="23"/>
      <c r="FJ337" s="23"/>
      <c r="FK337" s="23"/>
      <c r="FL337" s="23"/>
      <c r="FM337" s="23"/>
      <c r="FN337" s="23"/>
      <c r="FO337" s="23"/>
      <c r="FP337" s="23"/>
      <c r="FQ337" s="23"/>
      <c r="FR337" s="23"/>
      <c r="FS337" s="23"/>
      <c r="FT337" s="23"/>
      <c r="FU337" s="23"/>
      <c r="FV337" s="23"/>
      <c r="FW337" s="23"/>
      <c r="FX337" s="23"/>
      <c r="FY337" s="23"/>
      <c r="FZ337" s="23"/>
      <c r="GA337" s="23"/>
      <c r="GB337" s="23"/>
      <c r="GC337" s="23"/>
      <c r="GD337" s="23"/>
      <c r="GE337" s="23"/>
    </row>
    <row r="338" spans="1:187" s="6" customFormat="1" ht="31.5" x14ac:dyDescent="0.25">
      <c r="A338" s="24" t="s">
        <v>288</v>
      </c>
      <c r="B338" s="25">
        <f t="shared" si="67"/>
        <v>436151</v>
      </c>
      <c r="C338" s="25">
        <f t="shared" si="67"/>
        <v>436151</v>
      </c>
      <c r="D338" s="25">
        <f t="shared" si="67"/>
        <v>0</v>
      </c>
      <c r="E338" s="25">
        <f>SUM(E339:E340)</f>
        <v>0</v>
      </c>
      <c r="F338" s="25">
        <f>SUM(F339:F340)</f>
        <v>0</v>
      </c>
      <c r="G338" s="25">
        <f t="shared" si="82"/>
        <v>0</v>
      </c>
      <c r="H338" s="25">
        <f>SUM(H339:H340)</f>
        <v>0</v>
      </c>
      <c r="I338" s="25">
        <f>SUM(I339:I340)</f>
        <v>0</v>
      </c>
      <c r="J338" s="25">
        <f t="shared" si="83"/>
        <v>0</v>
      </c>
      <c r="K338" s="25">
        <f>SUM(K339:K340)</f>
        <v>24000</v>
      </c>
      <c r="L338" s="25">
        <f>SUM(L339:L340)</f>
        <v>24000</v>
      </c>
      <c r="M338" s="25">
        <f t="shared" si="84"/>
        <v>0</v>
      </c>
      <c r="N338" s="25">
        <f>SUM(N339:N340)</f>
        <v>412151</v>
      </c>
      <c r="O338" s="25">
        <f>SUM(O339:O340)</f>
        <v>412151</v>
      </c>
      <c r="P338" s="25">
        <f t="shared" si="85"/>
        <v>0</v>
      </c>
      <c r="Q338" s="25">
        <f>SUM(Q339:Q340)</f>
        <v>0</v>
      </c>
      <c r="R338" s="25">
        <f>SUM(R339:R340)</f>
        <v>0</v>
      </c>
      <c r="S338" s="25">
        <f t="shared" si="86"/>
        <v>0</v>
      </c>
      <c r="T338" s="25">
        <f>SUM(T339:T340)</f>
        <v>0</v>
      </c>
      <c r="U338" s="25">
        <f>SUM(U339:U340)</f>
        <v>0</v>
      </c>
      <c r="V338" s="25">
        <f t="shared" si="87"/>
        <v>0</v>
      </c>
      <c r="W338" s="25">
        <f>SUM(W339:W340)</f>
        <v>0</v>
      </c>
      <c r="X338" s="25">
        <f>SUM(X339:X340)</f>
        <v>0</v>
      </c>
      <c r="Y338" s="25">
        <f t="shared" si="88"/>
        <v>0</v>
      </c>
      <c r="Z338" s="25">
        <f>SUM(Z339:Z340)</f>
        <v>0</v>
      </c>
      <c r="AA338" s="25">
        <f>SUM(AA339:AA340)</f>
        <v>0</v>
      </c>
      <c r="AB338" s="25">
        <f t="shared" si="89"/>
        <v>0</v>
      </c>
    </row>
    <row r="339" spans="1:187" s="6" customFormat="1" ht="78.75" x14ac:dyDescent="0.25">
      <c r="A339" s="30" t="s">
        <v>293</v>
      </c>
      <c r="B339" s="31">
        <f t="shared" si="67"/>
        <v>412151</v>
      </c>
      <c r="C339" s="31">
        <f t="shared" si="67"/>
        <v>412151</v>
      </c>
      <c r="D339" s="31">
        <f t="shared" si="67"/>
        <v>0</v>
      </c>
      <c r="E339" s="31"/>
      <c r="F339" s="31"/>
      <c r="G339" s="31">
        <f t="shared" si="82"/>
        <v>0</v>
      </c>
      <c r="H339" s="31"/>
      <c r="I339" s="31"/>
      <c r="J339" s="31">
        <f t="shared" si="83"/>
        <v>0</v>
      </c>
      <c r="K339" s="31"/>
      <c r="L339" s="31"/>
      <c r="M339" s="31">
        <f t="shared" si="84"/>
        <v>0</v>
      </c>
      <c r="N339" s="31">
        <v>412151</v>
      </c>
      <c r="O339" s="31">
        <v>412151</v>
      </c>
      <c r="P339" s="31">
        <f t="shared" si="85"/>
        <v>0</v>
      </c>
      <c r="Q339" s="31"/>
      <c r="R339" s="31"/>
      <c r="S339" s="31">
        <f t="shared" si="86"/>
        <v>0</v>
      </c>
      <c r="T339" s="31"/>
      <c r="U339" s="31"/>
      <c r="V339" s="31">
        <f t="shared" si="87"/>
        <v>0</v>
      </c>
      <c r="W339" s="31"/>
      <c r="X339" s="31"/>
      <c r="Y339" s="31">
        <f t="shared" si="88"/>
        <v>0</v>
      </c>
      <c r="Z339" s="31"/>
      <c r="AA339" s="31"/>
      <c r="AB339" s="31">
        <f t="shared" si="89"/>
        <v>0</v>
      </c>
      <c r="FL339" s="23"/>
      <c r="FM339" s="23"/>
      <c r="FN339" s="23"/>
      <c r="FO339" s="23"/>
      <c r="FP339" s="23"/>
      <c r="FQ339" s="23"/>
      <c r="FR339" s="23"/>
      <c r="FS339" s="23"/>
      <c r="FT339" s="23"/>
      <c r="FU339" s="23"/>
      <c r="FV339" s="23"/>
      <c r="FW339" s="23"/>
      <c r="FX339" s="23"/>
      <c r="FY339" s="23"/>
      <c r="FZ339" s="23"/>
      <c r="GA339" s="23"/>
      <c r="GB339" s="23"/>
      <c r="GC339" s="23"/>
      <c r="GD339" s="23"/>
      <c r="GE339" s="23"/>
    </row>
    <row r="340" spans="1:187" s="6" customFormat="1" ht="31.5" x14ac:dyDescent="0.25">
      <c r="A340" s="37" t="s">
        <v>294</v>
      </c>
      <c r="B340" s="31">
        <f t="shared" si="67"/>
        <v>24000</v>
      </c>
      <c r="C340" s="31">
        <f t="shared" si="67"/>
        <v>24000</v>
      </c>
      <c r="D340" s="31">
        <f t="shared" si="67"/>
        <v>0</v>
      </c>
      <c r="E340" s="31"/>
      <c r="F340" s="31"/>
      <c r="G340" s="31">
        <f t="shared" si="82"/>
        <v>0</v>
      </c>
      <c r="H340" s="31"/>
      <c r="I340" s="31"/>
      <c r="J340" s="31">
        <f t="shared" si="83"/>
        <v>0</v>
      </c>
      <c r="K340" s="31">
        <v>24000</v>
      </c>
      <c r="L340" s="31">
        <v>24000</v>
      </c>
      <c r="M340" s="31">
        <f t="shared" si="84"/>
        <v>0</v>
      </c>
      <c r="N340" s="31"/>
      <c r="O340" s="31"/>
      <c r="P340" s="31">
        <f t="shared" si="85"/>
        <v>0</v>
      </c>
      <c r="Q340" s="31"/>
      <c r="R340" s="31"/>
      <c r="S340" s="31">
        <f t="shared" si="86"/>
        <v>0</v>
      </c>
      <c r="T340" s="31"/>
      <c r="U340" s="31"/>
      <c r="V340" s="31">
        <f t="shared" si="87"/>
        <v>0</v>
      </c>
      <c r="W340" s="31"/>
      <c r="X340" s="31"/>
      <c r="Y340" s="31">
        <f t="shared" si="88"/>
        <v>0</v>
      </c>
      <c r="Z340" s="31"/>
      <c r="AA340" s="31"/>
      <c r="AB340" s="31">
        <f t="shared" si="89"/>
        <v>0</v>
      </c>
    </row>
    <row r="341" spans="1:187" s="6" customFormat="1" x14ac:dyDescent="0.25">
      <c r="A341" s="39" t="s">
        <v>295</v>
      </c>
      <c r="B341" s="25">
        <f t="shared" si="67"/>
        <v>117149</v>
      </c>
      <c r="C341" s="25">
        <f t="shared" si="67"/>
        <v>117149</v>
      </c>
      <c r="D341" s="25">
        <f t="shared" si="67"/>
        <v>0</v>
      </c>
      <c r="E341" s="25">
        <f>SUM(E342)</f>
        <v>0</v>
      </c>
      <c r="F341" s="25">
        <f>SUM(F342)</f>
        <v>0</v>
      </c>
      <c r="G341" s="25">
        <f t="shared" si="82"/>
        <v>0</v>
      </c>
      <c r="H341" s="25">
        <f>SUM(H342)</f>
        <v>0</v>
      </c>
      <c r="I341" s="25">
        <f>SUM(I342)</f>
        <v>0</v>
      </c>
      <c r="J341" s="25">
        <f t="shared" si="83"/>
        <v>0</v>
      </c>
      <c r="K341" s="25">
        <f>SUM(K342)</f>
        <v>117149</v>
      </c>
      <c r="L341" s="25">
        <f>SUM(L342)</f>
        <v>117149</v>
      </c>
      <c r="M341" s="25">
        <f t="shared" si="84"/>
        <v>0</v>
      </c>
      <c r="N341" s="25">
        <f>SUM(N342)</f>
        <v>0</v>
      </c>
      <c r="O341" s="25">
        <f>SUM(O342)</f>
        <v>0</v>
      </c>
      <c r="P341" s="25">
        <f t="shared" si="85"/>
        <v>0</v>
      </c>
      <c r="Q341" s="25">
        <f>SUM(Q342)</f>
        <v>0</v>
      </c>
      <c r="R341" s="25">
        <f>SUM(R342)</f>
        <v>0</v>
      </c>
      <c r="S341" s="25">
        <f t="shared" si="86"/>
        <v>0</v>
      </c>
      <c r="T341" s="25">
        <f>SUM(T342)</f>
        <v>0</v>
      </c>
      <c r="U341" s="25">
        <f>SUM(U342)</f>
        <v>0</v>
      </c>
      <c r="V341" s="25">
        <f t="shared" si="87"/>
        <v>0</v>
      </c>
      <c r="W341" s="25">
        <f>SUM(W342)</f>
        <v>0</v>
      </c>
      <c r="X341" s="25">
        <f>SUM(X342)</f>
        <v>0</v>
      </c>
      <c r="Y341" s="25">
        <f t="shared" si="88"/>
        <v>0</v>
      </c>
      <c r="Z341" s="25">
        <f>SUM(Z342)</f>
        <v>0</v>
      </c>
      <c r="AA341" s="25">
        <f>SUM(AA342)</f>
        <v>0</v>
      </c>
      <c r="AB341" s="25">
        <f t="shared" si="89"/>
        <v>0</v>
      </c>
    </row>
    <row r="342" spans="1:187" s="6" customFormat="1" ht="31.5" x14ac:dyDescent="0.25">
      <c r="A342" s="24" t="s">
        <v>62</v>
      </c>
      <c r="B342" s="25">
        <f t="shared" si="67"/>
        <v>117149</v>
      </c>
      <c r="C342" s="25">
        <f t="shared" si="67"/>
        <v>117149</v>
      </c>
      <c r="D342" s="25">
        <f t="shared" si="67"/>
        <v>0</v>
      </c>
      <c r="E342" s="25">
        <f>SUM(E343:E344)</f>
        <v>0</v>
      </c>
      <c r="F342" s="25">
        <f>SUM(F343:F344)</f>
        <v>0</v>
      </c>
      <c r="G342" s="25">
        <f t="shared" si="82"/>
        <v>0</v>
      </c>
      <c r="H342" s="25">
        <f>SUM(H343:H344)</f>
        <v>0</v>
      </c>
      <c r="I342" s="25">
        <f>SUM(I343:I344)</f>
        <v>0</v>
      </c>
      <c r="J342" s="25">
        <f t="shared" si="83"/>
        <v>0</v>
      </c>
      <c r="K342" s="25">
        <f>SUM(K343:K344)</f>
        <v>117149</v>
      </c>
      <c r="L342" s="25">
        <f>SUM(L343:L344)</f>
        <v>117149</v>
      </c>
      <c r="M342" s="25">
        <f t="shared" si="84"/>
        <v>0</v>
      </c>
      <c r="N342" s="25">
        <f>SUM(N343:N344)</f>
        <v>0</v>
      </c>
      <c r="O342" s="25">
        <f>SUM(O343:O344)</f>
        <v>0</v>
      </c>
      <c r="P342" s="25">
        <f t="shared" si="85"/>
        <v>0</v>
      </c>
      <c r="Q342" s="25">
        <f>SUM(Q343:Q344)</f>
        <v>0</v>
      </c>
      <c r="R342" s="25">
        <f>SUM(R343:R344)</f>
        <v>0</v>
      </c>
      <c r="S342" s="25">
        <f t="shared" si="86"/>
        <v>0</v>
      </c>
      <c r="T342" s="25">
        <f>SUM(T343:T344)</f>
        <v>0</v>
      </c>
      <c r="U342" s="25">
        <f>SUM(U343:U344)</f>
        <v>0</v>
      </c>
      <c r="V342" s="25">
        <f t="shared" si="87"/>
        <v>0</v>
      </c>
      <c r="W342" s="25">
        <f>SUM(W343:W344)</f>
        <v>0</v>
      </c>
      <c r="X342" s="25">
        <f>SUM(X343:X344)</f>
        <v>0</v>
      </c>
      <c r="Y342" s="25">
        <f t="shared" si="88"/>
        <v>0</v>
      </c>
      <c r="Z342" s="25">
        <f>SUM(Z343:Z344)</f>
        <v>0</v>
      </c>
      <c r="AA342" s="25">
        <f>SUM(AA343:AA344)</f>
        <v>0</v>
      </c>
      <c r="AB342" s="25">
        <f t="shared" si="89"/>
        <v>0</v>
      </c>
    </row>
    <row r="343" spans="1:187" s="6" customFormat="1" ht="47.25" x14ac:dyDescent="0.25">
      <c r="A343" s="35" t="s">
        <v>296</v>
      </c>
      <c r="B343" s="31">
        <f t="shared" si="67"/>
        <v>100000</v>
      </c>
      <c r="C343" s="31">
        <f t="shared" si="67"/>
        <v>100000</v>
      </c>
      <c r="D343" s="31">
        <f t="shared" si="67"/>
        <v>0</v>
      </c>
      <c r="E343" s="31"/>
      <c r="F343" s="31"/>
      <c r="G343" s="31">
        <f t="shared" si="82"/>
        <v>0</v>
      </c>
      <c r="H343" s="31"/>
      <c r="I343" s="31"/>
      <c r="J343" s="31">
        <f t="shared" si="83"/>
        <v>0</v>
      </c>
      <c r="K343" s="31">
        <v>100000</v>
      </c>
      <c r="L343" s="31">
        <v>100000</v>
      </c>
      <c r="M343" s="31">
        <f t="shared" si="84"/>
        <v>0</v>
      </c>
      <c r="N343" s="31"/>
      <c r="O343" s="31"/>
      <c r="P343" s="31">
        <f t="shared" si="85"/>
        <v>0</v>
      </c>
      <c r="Q343" s="31"/>
      <c r="R343" s="31"/>
      <c r="S343" s="31">
        <f t="shared" si="86"/>
        <v>0</v>
      </c>
      <c r="T343" s="31"/>
      <c r="U343" s="31"/>
      <c r="V343" s="31">
        <f t="shared" si="87"/>
        <v>0</v>
      </c>
      <c r="W343" s="31"/>
      <c r="X343" s="31"/>
      <c r="Y343" s="31">
        <f t="shared" si="88"/>
        <v>0</v>
      </c>
      <c r="Z343" s="38"/>
      <c r="AA343" s="38"/>
      <c r="AB343" s="31">
        <f t="shared" si="89"/>
        <v>0</v>
      </c>
      <c r="FL343" s="23"/>
      <c r="FM343" s="23"/>
      <c r="FN343" s="23"/>
      <c r="FO343" s="23"/>
      <c r="FP343" s="23"/>
      <c r="FQ343" s="23"/>
      <c r="FR343" s="23"/>
      <c r="FS343" s="23"/>
      <c r="FT343" s="23"/>
      <c r="FU343" s="23"/>
      <c r="FV343" s="23"/>
      <c r="FW343" s="23"/>
      <c r="FX343" s="23"/>
      <c r="FY343" s="23"/>
      <c r="FZ343" s="23"/>
      <c r="GA343" s="23"/>
      <c r="GB343" s="23"/>
      <c r="GC343" s="23"/>
      <c r="GD343" s="23"/>
      <c r="GE343" s="23"/>
    </row>
    <row r="344" spans="1:187" s="6" customFormat="1" ht="31.5" x14ac:dyDescent="0.25">
      <c r="A344" s="35" t="s">
        <v>297</v>
      </c>
      <c r="B344" s="31">
        <f t="shared" si="67"/>
        <v>17149</v>
      </c>
      <c r="C344" s="31">
        <f t="shared" si="67"/>
        <v>17149</v>
      </c>
      <c r="D344" s="31">
        <f t="shared" si="67"/>
        <v>0</v>
      </c>
      <c r="E344" s="31"/>
      <c r="F344" s="31"/>
      <c r="G344" s="31">
        <f t="shared" si="82"/>
        <v>0</v>
      </c>
      <c r="H344" s="31"/>
      <c r="I344" s="31"/>
      <c r="J344" s="31">
        <f t="shared" si="83"/>
        <v>0</v>
      </c>
      <c r="K344" s="31">
        <f>4500+5852+6797</f>
        <v>17149</v>
      </c>
      <c r="L344" s="31">
        <f>4500+5852+6797</f>
        <v>17149</v>
      </c>
      <c r="M344" s="31">
        <f t="shared" si="84"/>
        <v>0</v>
      </c>
      <c r="N344" s="31"/>
      <c r="O344" s="31"/>
      <c r="P344" s="31">
        <f t="shared" si="85"/>
        <v>0</v>
      </c>
      <c r="Q344" s="31"/>
      <c r="R344" s="31"/>
      <c r="S344" s="31">
        <f t="shared" si="86"/>
        <v>0</v>
      </c>
      <c r="T344" s="31"/>
      <c r="U344" s="31"/>
      <c r="V344" s="31">
        <f t="shared" si="87"/>
        <v>0</v>
      </c>
      <c r="W344" s="31"/>
      <c r="X344" s="31"/>
      <c r="Y344" s="31">
        <f t="shared" si="88"/>
        <v>0</v>
      </c>
      <c r="Z344" s="38"/>
      <c r="AA344" s="38"/>
      <c r="AB344" s="31">
        <f t="shared" si="89"/>
        <v>0</v>
      </c>
      <c r="FL344" s="23"/>
      <c r="FM344" s="23"/>
      <c r="FN344" s="23"/>
      <c r="FO344" s="23"/>
      <c r="FP344" s="23"/>
      <c r="FQ344" s="23"/>
      <c r="FR344" s="23"/>
      <c r="FS344" s="23"/>
      <c r="FT344" s="23"/>
      <c r="FU344" s="23"/>
      <c r="FV344" s="23"/>
      <c r="FW344" s="23"/>
      <c r="FX344" s="23"/>
      <c r="FY344" s="23"/>
      <c r="FZ344" s="23"/>
      <c r="GA344" s="23"/>
      <c r="GB344" s="23"/>
      <c r="GC344" s="23"/>
      <c r="GD344" s="23"/>
      <c r="GE344" s="23"/>
    </row>
    <row r="346" spans="1:187" x14ac:dyDescent="0.25">
      <c r="E346" s="40"/>
    </row>
    <row r="348" spans="1:187" s="41" customFormat="1" x14ac:dyDescent="0.25">
      <c r="A348" s="41" t="s">
        <v>308</v>
      </c>
      <c r="E348" s="42"/>
    </row>
    <row r="349" spans="1:187" s="43" customFormat="1" x14ac:dyDescent="0.25">
      <c r="A349" s="43" t="s">
        <v>309</v>
      </c>
      <c r="E349" s="44"/>
    </row>
    <row r="350" spans="1:187" s="46" customFormat="1" x14ac:dyDescent="0.25">
      <c r="A350" s="4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</row>
    <row r="351" spans="1:187" x14ac:dyDescent="0.25">
      <c r="A351" s="46" t="s">
        <v>298</v>
      </c>
    </row>
    <row r="352" spans="1:187" x14ac:dyDescent="0.25">
      <c r="A352" s="47" t="s">
        <v>299</v>
      </c>
    </row>
    <row r="353" spans="1:187" x14ac:dyDescent="0.25">
      <c r="A353" s="48" t="s">
        <v>300</v>
      </c>
    </row>
    <row r="354" spans="1:187" s="3" customFormat="1" x14ac:dyDescent="0.25">
      <c r="A354" s="4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</row>
    <row r="355" spans="1:187" s="3" customFormat="1" x14ac:dyDescent="0.25">
      <c r="A355" s="49" t="s">
        <v>301</v>
      </c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</row>
    <row r="356" spans="1:187" s="3" customFormat="1" x14ac:dyDescent="0.25">
      <c r="A356" s="50" t="s">
        <v>302</v>
      </c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</row>
    <row r="357" spans="1:187" s="3" customFormat="1" x14ac:dyDescent="0.25">
      <c r="A357" s="2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</row>
    <row r="358" spans="1:187" s="3" customFormat="1" x14ac:dyDescent="0.25">
      <c r="A358" s="46" t="s">
        <v>303</v>
      </c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</row>
    <row r="359" spans="1:187" s="3" customFormat="1" x14ac:dyDescent="0.25">
      <c r="A359" s="46" t="s">
        <v>304</v>
      </c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</row>
    <row r="360" spans="1:187" s="3" customFormat="1" x14ac:dyDescent="0.25">
      <c r="A360" s="46" t="s">
        <v>305</v>
      </c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</row>
  </sheetData>
  <autoFilter ref="A1:XBT360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ИП промяна ноември 2022</vt:lpstr>
      <vt:lpstr>'ИП промяна ноември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2022-12-09T12:14:35Z</cp:lastPrinted>
  <dcterms:created xsi:type="dcterms:W3CDTF">2022-12-09T11:29:02Z</dcterms:created>
  <dcterms:modified xsi:type="dcterms:W3CDTF">2022-12-09T12:38:52Z</dcterms:modified>
</cp:coreProperties>
</file>