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50"/>
  </bookViews>
  <sheets>
    <sheet name="ИП промяна август 2022 " sheetId="16" r:id="rId1"/>
    <sheet name="01092022" sheetId="18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xlfn_SUMIFS">NA()</definedName>
    <definedName name="__xlfn_SUMIFS">NA()</definedName>
    <definedName name="_xlnm._FilterDatabase" localSheetId="0" hidden="1">'ИП промяна август 2022 '!$A$1:$XBT$313</definedName>
    <definedName name="GRO">[1]list!$A$281:$A$304</definedName>
    <definedName name="GROUPS" localSheetId="0">[2]Groups!$A$1:$A$27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>[1]Groups!$A$1:$B$27</definedName>
    <definedName name="ll">[3]list!$A$421:$B$709</definedName>
    <definedName name="mm">[3]Groups!$A$1:$B$27</definedName>
    <definedName name="oo">[3]list!$A$281:$B$304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ss">[3]list!$A$281:$B$304</definedName>
    <definedName name="аа">[1]list!$A$281:$B$304</definedName>
    <definedName name="в">[4]list!$A$281:$A$304</definedName>
    <definedName name="з">[5]list!$A$281:$A$304</definedName>
    <definedName name="_xlnm.Print_Area" localSheetId="1">'01092022'!$A$1:$F$90</definedName>
    <definedName name="_xlnm.Print_Titles" localSheetId="0">'ИП промяна август 2022 '!$6:$7</definedName>
  </definedNames>
  <calcPr calcId="152511"/>
</workbook>
</file>

<file path=xl/calcChain.xml><?xml version="1.0" encoding="utf-8"?>
<calcChain xmlns="http://schemas.openxmlformats.org/spreadsheetml/2006/main">
  <c r="D8" i="16" l="1"/>
  <c r="B87" i="16" l="1"/>
  <c r="F87" i="16"/>
  <c r="G87" i="16" s="1"/>
  <c r="D87" i="16" s="1"/>
  <c r="J87" i="16"/>
  <c r="M87" i="16"/>
  <c r="P87" i="16"/>
  <c r="S87" i="16"/>
  <c r="V87" i="16"/>
  <c r="Y87" i="16"/>
  <c r="AB87" i="16"/>
  <c r="C87" i="16" l="1"/>
  <c r="D63" i="18"/>
  <c r="F63" i="18" s="1"/>
  <c r="D59" i="18"/>
  <c r="F59" i="18" s="1"/>
  <c r="F42" i="18"/>
  <c r="D42" i="18"/>
  <c r="F40" i="18"/>
  <c r="E40" i="18"/>
  <c r="D40" i="18"/>
  <c r="C40" i="18"/>
  <c r="E37" i="18"/>
  <c r="F36" i="18"/>
  <c r="F34" i="18"/>
  <c r="F30" i="18"/>
  <c r="F28" i="18"/>
  <c r="E28" i="18"/>
  <c r="D28" i="18"/>
  <c r="C28" i="18"/>
  <c r="F25" i="18"/>
  <c r="F24" i="18"/>
  <c r="AA88" i="16" l="1"/>
  <c r="O88" i="16"/>
  <c r="L249" i="16" l="1"/>
  <c r="L250" i="16"/>
  <c r="L244" i="16"/>
  <c r="AB131" i="16"/>
  <c r="Y131" i="16"/>
  <c r="V131" i="16"/>
  <c r="S131" i="16"/>
  <c r="P131" i="16"/>
  <c r="M131" i="16"/>
  <c r="J131" i="16"/>
  <c r="G131" i="16"/>
  <c r="C131" i="16"/>
  <c r="B131" i="16"/>
  <c r="D131" i="16" l="1"/>
  <c r="O183" i="16"/>
  <c r="H285" i="16" l="1"/>
  <c r="I285" i="16"/>
  <c r="K285" i="16"/>
  <c r="L285" i="16"/>
  <c r="N285" i="16"/>
  <c r="O285" i="16"/>
  <c r="Q285" i="16"/>
  <c r="R285" i="16"/>
  <c r="T285" i="16"/>
  <c r="U285" i="16"/>
  <c r="W285" i="16"/>
  <c r="X285" i="16"/>
  <c r="Z285" i="16"/>
  <c r="AA285" i="16"/>
  <c r="F285" i="16"/>
  <c r="E285" i="16"/>
  <c r="AB286" i="16"/>
  <c r="Y286" i="16"/>
  <c r="V286" i="16"/>
  <c r="S286" i="16"/>
  <c r="P286" i="16"/>
  <c r="M286" i="16"/>
  <c r="J286" i="16"/>
  <c r="G286" i="16"/>
  <c r="C286" i="16"/>
  <c r="B286" i="16"/>
  <c r="H265" i="16"/>
  <c r="I265" i="16"/>
  <c r="K265" i="16"/>
  <c r="L265" i="16"/>
  <c r="N265" i="16"/>
  <c r="O265" i="16"/>
  <c r="Q265" i="16"/>
  <c r="R265" i="16"/>
  <c r="T265" i="16"/>
  <c r="U265" i="16"/>
  <c r="W265" i="16"/>
  <c r="X265" i="16"/>
  <c r="Z265" i="16"/>
  <c r="AA265" i="16"/>
  <c r="F265" i="16"/>
  <c r="E265" i="16"/>
  <c r="AB266" i="16"/>
  <c r="Y266" i="16"/>
  <c r="V266" i="16"/>
  <c r="S266" i="16"/>
  <c r="C266" i="16"/>
  <c r="M266" i="16"/>
  <c r="J266" i="16"/>
  <c r="G266" i="16"/>
  <c r="B266" i="16"/>
  <c r="O270" i="16"/>
  <c r="O268" i="16"/>
  <c r="F271" i="16"/>
  <c r="P265" i="16" l="1"/>
  <c r="S285" i="16"/>
  <c r="M265" i="16"/>
  <c r="S265" i="16"/>
  <c r="AB265" i="16"/>
  <c r="V265" i="16"/>
  <c r="AB285" i="16"/>
  <c r="V285" i="16"/>
  <c r="J285" i="16"/>
  <c r="D286" i="16"/>
  <c r="Y285" i="16"/>
  <c r="Y265" i="16"/>
  <c r="M285" i="16"/>
  <c r="J265" i="16"/>
  <c r="P285" i="16"/>
  <c r="B265" i="16"/>
  <c r="G265" i="16"/>
  <c r="C265" i="16"/>
  <c r="P266" i="16"/>
  <c r="D266" i="16" s="1"/>
  <c r="AB260" i="16"/>
  <c r="Y260" i="16"/>
  <c r="V260" i="16"/>
  <c r="S260" i="16"/>
  <c r="P260" i="16"/>
  <c r="C260" i="16"/>
  <c r="J260" i="16"/>
  <c r="G260" i="16"/>
  <c r="B260" i="16"/>
  <c r="D265" i="16" l="1"/>
  <c r="M260" i="16"/>
  <c r="D260" i="16" s="1"/>
  <c r="H86" i="16"/>
  <c r="I86" i="16"/>
  <c r="K86" i="16"/>
  <c r="L86" i="16"/>
  <c r="N86" i="16"/>
  <c r="O86" i="16"/>
  <c r="Q86" i="16"/>
  <c r="R86" i="16"/>
  <c r="T86" i="16"/>
  <c r="U86" i="16"/>
  <c r="W86" i="16"/>
  <c r="X86" i="16"/>
  <c r="Z86" i="16"/>
  <c r="AA86" i="16"/>
  <c r="E86" i="16"/>
  <c r="F19" i="16"/>
  <c r="V86" i="16" l="1"/>
  <c r="J86" i="16"/>
  <c r="P86" i="16"/>
  <c r="S86" i="16"/>
  <c r="M86" i="16"/>
  <c r="Y86" i="16"/>
  <c r="AB86" i="16"/>
  <c r="AB101" i="16"/>
  <c r="Y101" i="16"/>
  <c r="V101" i="16"/>
  <c r="S101" i="16"/>
  <c r="P101" i="16"/>
  <c r="M101" i="16"/>
  <c r="J101" i="16"/>
  <c r="G101" i="16"/>
  <c r="C101" i="16"/>
  <c r="B101" i="16"/>
  <c r="AA100" i="16"/>
  <c r="Z100" i="16"/>
  <c r="X100" i="16"/>
  <c r="W100" i="16"/>
  <c r="U100" i="16"/>
  <c r="T100" i="16"/>
  <c r="R100" i="16"/>
  <c r="Q100" i="16"/>
  <c r="L100" i="16"/>
  <c r="K100" i="16"/>
  <c r="I100" i="16"/>
  <c r="H100" i="16"/>
  <c r="F100" i="16"/>
  <c r="E100" i="16"/>
  <c r="AB253" i="16"/>
  <c r="Y253" i="16"/>
  <c r="V253" i="16"/>
  <c r="S253" i="16"/>
  <c r="P253" i="16"/>
  <c r="M253" i="16"/>
  <c r="J253" i="16"/>
  <c r="G253" i="16"/>
  <c r="C253" i="16"/>
  <c r="B253" i="16"/>
  <c r="D253" i="16" l="1"/>
  <c r="Y100" i="16"/>
  <c r="M100" i="16"/>
  <c r="V100" i="16"/>
  <c r="AB100" i="16"/>
  <c r="S100" i="16"/>
  <c r="D101" i="16"/>
  <c r="J100" i="16"/>
  <c r="G100" i="16"/>
  <c r="N100" i="16"/>
  <c r="B100" i="16" s="1"/>
  <c r="O100" i="16"/>
  <c r="C100" i="16" s="1"/>
  <c r="AA38" i="16"/>
  <c r="X38" i="16"/>
  <c r="F82" i="16"/>
  <c r="F86" i="16"/>
  <c r="F294" i="16"/>
  <c r="P100" i="16" l="1"/>
  <c r="D100" i="16" s="1"/>
  <c r="AB41" i="16"/>
  <c r="Y41" i="16"/>
  <c r="V41" i="16"/>
  <c r="S41" i="16"/>
  <c r="P41" i="16"/>
  <c r="M41" i="16"/>
  <c r="J41" i="16"/>
  <c r="G41" i="16"/>
  <c r="C41" i="16"/>
  <c r="B41" i="16"/>
  <c r="AB148" i="16"/>
  <c r="Y148" i="16"/>
  <c r="V148" i="16"/>
  <c r="S148" i="16"/>
  <c r="P148" i="16"/>
  <c r="M148" i="16"/>
  <c r="J148" i="16"/>
  <c r="G148" i="16"/>
  <c r="C148" i="16"/>
  <c r="B148" i="16"/>
  <c r="D41" i="16" l="1"/>
  <c r="D148" i="16"/>
  <c r="AB149" i="16"/>
  <c r="Y149" i="16"/>
  <c r="V149" i="16"/>
  <c r="S149" i="16"/>
  <c r="P149" i="16"/>
  <c r="M149" i="16"/>
  <c r="J149" i="16"/>
  <c r="G149" i="16"/>
  <c r="C149" i="16"/>
  <c r="B149" i="16"/>
  <c r="D149" i="16" l="1"/>
  <c r="AB208" i="16"/>
  <c r="Y208" i="16"/>
  <c r="V208" i="16"/>
  <c r="S208" i="16"/>
  <c r="P208" i="16"/>
  <c r="M208" i="16"/>
  <c r="J208" i="16"/>
  <c r="G208" i="16"/>
  <c r="C208" i="16"/>
  <c r="B208" i="16"/>
  <c r="AB184" i="16"/>
  <c r="Y184" i="16"/>
  <c r="V184" i="16"/>
  <c r="S184" i="16"/>
  <c r="P184" i="16"/>
  <c r="M184" i="16"/>
  <c r="J184" i="16"/>
  <c r="G184" i="16"/>
  <c r="C184" i="16"/>
  <c r="B184" i="16"/>
  <c r="AB178" i="16"/>
  <c r="Y178" i="16"/>
  <c r="V178" i="16"/>
  <c r="S178" i="16"/>
  <c r="P178" i="16"/>
  <c r="M178" i="16"/>
  <c r="J178" i="16"/>
  <c r="G178" i="16"/>
  <c r="C178" i="16"/>
  <c r="B178" i="16"/>
  <c r="D178" i="16" l="1"/>
  <c r="D208" i="16"/>
  <c r="D184" i="16"/>
  <c r="AA24" i="16"/>
  <c r="Z296" i="16"/>
  <c r="Z295" i="16" s="1"/>
  <c r="Z293" i="16"/>
  <c r="Z292" i="16" s="1"/>
  <c r="Z289" i="16"/>
  <c r="Z288" i="16" s="1"/>
  <c r="Z284" i="16"/>
  <c r="Z282" i="16"/>
  <c r="Z281" i="16" s="1"/>
  <c r="Z278" i="16"/>
  <c r="Z277" i="16" s="1"/>
  <c r="Z273" i="16"/>
  <c r="Z269" i="16"/>
  <c r="Z267" i="16"/>
  <c r="Z262" i="16"/>
  <c r="Z258" i="16"/>
  <c r="Z255" i="16"/>
  <c r="Z246" i="16"/>
  <c r="Z241" i="16"/>
  <c r="Z237" i="16"/>
  <c r="Z226" i="16" s="1"/>
  <c r="Z222" i="16"/>
  <c r="Z218" i="16"/>
  <c r="Z214" i="16"/>
  <c r="Z211" i="16"/>
  <c r="Z203" i="16"/>
  <c r="Z198" i="16"/>
  <c r="Z180" i="16"/>
  <c r="Z168" i="16"/>
  <c r="Z160" i="16"/>
  <c r="Z156" i="16"/>
  <c r="Z152" i="16"/>
  <c r="Z143" i="16"/>
  <c r="Z129" i="16"/>
  <c r="Z126" i="16"/>
  <c r="Z115" i="16"/>
  <c r="Z110" i="16"/>
  <c r="Z105" i="16"/>
  <c r="Z103" i="16"/>
  <c r="Z97" i="16"/>
  <c r="Z95" i="16"/>
  <c r="Z91" i="16"/>
  <c r="Z85" i="16"/>
  <c r="Z73" i="16"/>
  <c r="Z72" i="16" s="1"/>
  <c r="Z57" i="16"/>
  <c r="Z56" i="16" s="1"/>
  <c r="Z49" i="16"/>
  <c r="Z48" i="16" s="1"/>
  <c r="Z44" i="16"/>
  <c r="Z43" i="16" s="1"/>
  <c r="Z38" i="16"/>
  <c r="Z37" i="16" s="1"/>
  <c r="Z36" i="16" s="1"/>
  <c r="Z35" i="16"/>
  <c r="Z23" i="16" s="1"/>
  <c r="Z22" i="16" s="1"/>
  <c r="Z11" i="16"/>
  <c r="Z10" i="16" s="1"/>
  <c r="W296" i="16"/>
  <c r="W295" i="16" s="1"/>
  <c r="W293" i="16"/>
  <c r="W292" i="16" s="1"/>
  <c r="W289" i="16"/>
  <c r="W288" i="16" s="1"/>
  <c r="W284" i="16"/>
  <c r="W282" i="16"/>
  <c r="W281" i="16" s="1"/>
  <c r="W278" i="16"/>
  <c r="W277" i="16" s="1"/>
  <c r="W273" i="16"/>
  <c r="W269" i="16"/>
  <c r="W267" i="16"/>
  <c r="W262" i="16"/>
  <c r="W258" i="16"/>
  <c r="W255" i="16"/>
  <c r="W246" i="16"/>
  <c r="W241" i="16"/>
  <c r="W229" i="16"/>
  <c r="W226" i="16" s="1"/>
  <c r="W222" i="16"/>
  <c r="W218" i="16"/>
  <c r="W214" i="16"/>
  <c r="W211" i="16"/>
  <c r="W203" i="16"/>
  <c r="W198" i="16"/>
  <c r="W180" i="16"/>
  <c r="W168" i="16"/>
  <c r="W160" i="16"/>
  <c r="W156" i="16"/>
  <c r="W152" i="16"/>
  <c r="W143" i="16"/>
  <c r="W129" i="16"/>
  <c r="W126" i="16"/>
  <c r="W115" i="16"/>
  <c r="W110" i="16"/>
  <c r="W105" i="16"/>
  <c r="W103" i="16"/>
  <c r="W97" i="16"/>
  <c r="W95" i="16"/>
  <c r="W91" i="16"/>
  <c r="W85" i="16"/>
  <c r="W73" i="16"/>
  <c r="W72" i="16" s="1"/>
  <c r="W57" i="16"/>
  <c r="W56" i="16" s="1"/>
  <c r="W49" i="16"/>
  <c r="W48" i="16" s="1"/>
  <c r="W44" i="16"/>
  <c r="W43" i="16" s="1"/>
  <c r="W38" i="16"/>
  <c r="W37" i="16" s="1"/>
  <c r="W36" i="16" s="1"/>
  <c r="W35" i="16"/>
  <c r="W23" i="16" s="1"/>
  <c r="W22" i="16" s="1"/>
  <c r="W11" i="16"/>
  <c r="W10" i="16" s="1"/>
  <c r="T296" i="16"/>
  <c r="T295" i="16" s="1"/>
  <c r="T293" i="16"/>
  <c r="T292" i="16" s="1"/>
  <c r="T289" i="16"/>
  <c r="T288" i="16" s="1"/>
  <c r="T284" i="16"/>
  <c r="T282" i="16"/>
  <c r="T281" i="16" s="1"/>
  <c r="T278" i="16"/>
  <c r="T277" i="16" s="1"/>
  <c r="T273" i="16"/>
  <c r="T269" i="16"/>
  <c r="T267" i="16"/>
  <c r="T262" i="16"/>
  <c r="T261" i="16"/>
  <c r="T258" i="16" s="1"/>
  <c r="T255" i="16"/>
  <c r="T246" i="16"/>
  <c r="T241" i="16"/>
  <c r="T235" i="16"/>
  <c r="B235" i="16" s="1"/>
  <c r="T231" i="16"/>
  <c r="T229" i="16"/>
  <c r="T222" i="16"/>
  <c r="T218" i="16"/>
  <c r="T214" i="16"/>
  <c r="T211" i="16"/>
  <c r="T203" i="16"/>
  <c r="T198" i="16"/>
  <c r="T180" i="16"/>
  <c r="T168" i="16"/>
  <c r="T160" i="16"/>
  <c r="T156" i="16"/>
  <c r="T152" i="16"/>
  <c r="T143" i="16"/>
  <c r="T129" i="16"/>
  <c r="T126" i="16"/>
  <c r="T115" i="16"/>
  <c r="T113" i="16"/>
  <c r="T110" i="16" s="1"/>
  <c r="T105" i="16"/>
  <c r="T103" i="16"/>
  <c r="T97" i="16"/>
  <c r="T95" i="16"/>
  <c r="T91" i="16"/>
  <c r="T85" i="16"/>
  <c r="T73" i="16"/>
  <c r="T72" i="16" s="1"/>
  <c r="T68" i="16"/>
  <c r="T65" i="16"/>
  <c r="B65" i="16" s="1"/>
  <c r="T64" i="16"/>
  <c r="T49" i="16"/>
  <c r="T48" i="16" s="1"/>
  <c r="T44" i="16"/>
  <c r="T43" i="16" s="1"/>
  <c r="T40" i="16"/>
  <c r="T37" i="16" s="1"/>
  <c r="T36" i="16" s="1"/>
  <c r="T35" i="16"/>
  <c r="T34" i="16"/>
  <c r="T33" i="16"/>
  <c r="T11" i="16"/>
  <c r="T10" i="16" s="1"/>
  <c r="Q296" i="16"/>
  <c r="Q295" i="16" s="1"/>
  <c r="Q293" i="16"/>
  <c r="Q292" i="16" s="1"/>
  <c r="Q289" i="16"/>
  <c r="Q288" i="16" s="1"/>
  <c r="Q284" i="16"/>
  <c r="Q282" i="16"/>
  <c r="Q281" i="16" s="1"/>
  <c r="Q278" i="16"/>
  <c r="Q277" i="16" s="1"/>
  <c r="Q273" i="16"/>
  <c r="Q269" i="16"/>
  <c r="Q267" i="16"/>
  <c r="Q262" i="16"/>
  <c r="Q258" i="16"/>
  <c r="Q255" i="16"/>
  <c r="Q246" i="16"/>
  <c r="Q241" i="16"/>
  <c r="Q226" i="16"/>
  <c r="Q222" i="16"/>
  <c r="Q218" i="16"/>
  <c r="Q214" i="16"/>
  <c r="Q211" i="16"/>
  <c r="Q204" i="16"/>
  <c r="Q203" i="16" s="1"/>
  <c r="Q198" i="16"/>
  <c r="Q197" i="16"/>
  <c r="Q196" i="16"/>
  <c r="B196" i="16" s="1"/>
  <c r="Q194" i="16"/>
  <c r="B194" i="16" s="1"/>
  <c r="Q187" i="16"/>
  <c r="Q173" i="16"/>
  <c r="Q168" i="16" s="1"/>
  <c r="Q161" i="16"/>
  <c r="Q159" i="16"/>
  <c r="B159" i="16" s="1"/>
  <c r="Q157" i="16"/>
  <c r="Q152" i="16"/>
  <c r="Q143" i="16"/>
  <c r="Q136" i="16"/>
  <c r="Q129" i="16" s="1"/>
  <c r="Q126" i="16"/>
  <c r="Q115" i="16"/>
  <c r="Q110" i="16"/>
  <c r="Q106" i="16"/>
  <c r="Q105" i="16" s="1"/>
  <c r="Q103" i="16"/>
  <c r="Q97" i="16"/>
  <c r="Q95" i="16"/>
  <c r="Q91" i="16"/>
  <c r="Q85" i="16"/>
  <c r="Q73" i="16"/>
  <c r="Q72" i="16" s="1"/>
  <c r="Q57" i="16"/>
  <c r="Q56" i="16" s="1"/>
  <c r="Q49" i="16"/>
  <c r="Q48" i="16" s="1"/>
  <c r="Q45" i="16"/>
  <c r="Q44" i="16" s="1"/>
  <c r="Q43" i="16" s="1"/>
  <c r="Q37" i="16"/>
  <c r="Q23" i="16"/>
  <c r="Q22" i="16" s="1"/>
  <c r="Q11" i="16"/>
  <c r="Q10" i="16" s="1"/>
  <c r="P13" i="16"/>
  <c r="N296" i="16"/>
  <c r="N295" i="16" s="1"/>
  <c r="N293" i="16"/>
  <c r="N292" i="16" s="1"/>
  <c r="N289" i="16"/>
  <c r="N288" i="16" s="1"/>
  <c r="N284" i="16"/>
  <c r="N282" i="16"/>
  <c r="N281" i="16" s="1"/>
  <c r="N278" i="16"/>
  <c r="N277" i="16" s="1"/>
  <c r="N273" i="16"/>
  <c r="N269" i="16"/>
  <c r="N267" i="16"/>
  <c r="N262" i="16"/>
  <c r="N258" i="16"/>
  <c r="N255" i="16"/>
  <c r="N246" i="16"/>
  <c r="N241" i="16"/>
  <c r="N226" i="16"/>
  <c r="N222" i="16"/>
  <c r="N218" i="16"/>
  <c r="N214" i="16"/>
  <c r="N211" i="16"/>
  <c r="N203" i="16"/>
  <c r="N201" i="16"/>
  <c r="N198" i="16" s="1"/>
  <c r="N180" i="16"/>
  <c r="N168" i="16"/>
  <c r="N160" i="16"/>
  <c r="N156" i="16"/>
  <c r="N152" i="16"/>
  <c r="N143" i="16"/>
  <c r="N129" i="16"/>
  <c r="N126" i="16"/>
  <c r="N115" i="16"/>
  <c r="N110" i="16"/>
  <c r="N105" i="16"/>
  <c r="N103" i="16"/>
  <c r="N97" i="16"/>
  <c r="N95" i="16"/>
  <c r="N91" i="16"/>
  <c r="N85" i="16"/>
  <c r="N73" i="16"/>
  <c r="N72" i="16" s="1"/>
  <c r="N57" i="16"/>
  <c r="N56" i="16" s="1"/>
  <c r="N49" i="16"/>
  <c r="N48" i="16" s="1"/>
  <c r="N44" i="16"/>
  <c r="N43" i="16" s="1"/>
  <c r="N37" i="16"/>
  <c r="N36" i="16" s="1"/>
  <c r="N23" i="16"/>
  <c r="N22" i="16" s="1"/>
  <c r="N11" i="16"/>
  <c r="N10" i="16" s="1"/>
  <c r="I21" i="16"/>
  <c r="C21" i="16" s="1"/>
  <c r="H296" i="16"/>
  <c r="H295" i="16" s="1"/>
  <c r="H293" i="16"/>
  <c r="H292" i="16" s="1"/>
  <c r="H289" i="16"/>
  <c r="H288" i="16" s="1"/>
  <c r="H284" i="16"/>
  <c r="H282" i="16"/>
  <c r="H281" i="16" s="1"/>
  <c r="H278" i="16"/>
  <c r="H277" i="16" s="1"/>
  <c r="H273" i="16"/>
  <c r="H269" i="16"/>
  <c r="H267" i="16"/>
  <c r="H262" i="16"/>
  <c r="H258" i="16"/>
  <c r="H255" i="16"/>
  <c r="H246" i="16"/>
  <c r="H241" i="16"/>
  <c r="H233" i="16"/>
  <c r="H226" i="16" s="1"/>
  <c r="H222" i="16"/>
  <c r="H218" i="16"/>
  <c r="H214" i="16"/>
  <c r="H211" i="16"/>
  <c r="H203" i="16"/>
  <c r="H198" i="16"/>
  <c r="H180" i="16"/>
  <c r="H168" i="16"/>
  <c r="H160" i="16"/>
  <c r="H156" i="16"/>
  <c r="H152" i="16"/>
  <c r="H143" i="16"/>
  <c r="H129" i="16"/>
  <c r="H126" i="16"/>
  <c r="H115" i="16"/>
  <c r="H110" i="16"/>
  <c r="H105" i="16"/>
  <c r="H103" i="16"/>
  <c r="H98" i="16"/>
  <c r="H97" i="16" s="1"/>
  <c r="H95" i="16"/>
  <c r="H91" i="16"/>
  <c r="H85" i="16"/>
  <c r="H77" i="16"/>
  <c r="H73" i="16" s="1"/>
  <c r="H70" i="16"/>
  <c r="H58" i="16"/>
  <c r="H49" i="16"/>
  <c r="H48" i="16" s="1"/>
  <c r="H44" i="16"/>
  <c r="H43" i="16" s="1"/>
  <c r="H37" i="16"/>
  <c r="H36" i="16" s="1"/>
  <c r="H23" i="16"/>
  <c r="H22" i="16" s="1"/>
  <c r="H21" i="16"/>
  <c r="H11" i="16" s="1"/>
  <c r="H10" i="16" s="1"/>
  <c r="G13" i="16"/>
  <c r="E297" i="16"/>
  <c r="E296" i="16" s="1"/>
  <c r="E295" i="16" s="1"/>
  <c r="E293" i="16"/>
  <c r="E292" i="16" s="1"/>
  <c r="E289" i="16"/>
  <c r="E288" i="16" s="1"/>
  <c r="E284" i="16"/>
  <c r="E282" i="16"/>
  <c r="E281" i="16" s="1"/>
  <c r="E278" i="16"/>
  <c r="E277" i="16" s="1"/>
  <c r="E273" i="16"/>
  <c r="E271" i="16"/>
  <c r="E269" i="16" s="1"/>
  <c r="E267" i="16"/>
  <c r="E262" i="16"/>
  <c r="E261" i="16"/>
  <c r="E258" i="16" s="1"/>
  <c r="E255" i="16"/>
  <c r="E246" i="16"/>
  <c r="E241" i="16"/>
  <c r="E238" i="16"/>
  <c r="B238" i="16" s="1"/>
  <c r="E231" i="16"/>
  <c r="E222" i="16"/>
  <c r="E218" i="16"/>
  <c r="E214" i="16"/>
  <c r="E211" i="16"/>
  <c r="E203" i="16"/>
  <c r="E198" i="16"/>
  <c r="E180" i="16"/>
  <c r="E168" i="16"/>
  <c r="E160" i="16"/>
  <c r="E156" i="16"/>
  <c r="E152" i="16"/>
  <c r="E143" i="16"/>
  <c r="E126" i="16"/>
  <c r="E115" i="16"/>
  <c r="E110" i="16"/>
  <c r="E105" i="16"/>
  <c r="E103" i="16"/>
  <c r="E97" i="16"/>
  <c r="E95" i="16"/>
  <c r="E91" i="16"/>
  <c r="E85" i="16"/>
  <c r="E73" i="16"/>
  <c r="E72" i="16" s="1"/>
  <c r="E71" i="16"/>
  <c r="E68" i="16"/>
  <c r="E64" i="16"/>
  <c r="E49" i="16"/>
  <c r="E48" i="16" s="1"/>
  <c r="E44" i="16"/>
  <c r="E43" i="16" s="1"/>
  <c r="E40" i="16"/>
  <c r="E37" i="16" s="1"/>
  <c r="E36" i="16" s="1"/>
  <c r="E34" i="16"/>
  <c r="E23" i="16" s="1"/>
  <c r="E22" i="16" s="1"/>
  <c r="E19" i="16"/>
  <c r="E11" i="16" s="1"/>
  <c r="E10" i="16" s="1"/>
  <c r="K296" i="16"/>
  <c r="K295" i="16" s="1"/>
  <c r="K293" i="16"/>
  <c r="K292" i="16" s="1"/>
  <c r="K291" i="16"/>
  <c r="K289" i="16" s="1"/>
  <c r="K288" i="16" s="1"/>
  <c r="K284" i="16"/>
  <c r="K282" i="16"/>
  <c r="K278" i="16"/>
  <c r="K277" i="16" s="1"/>
  <c r="K273" i="16"/>
  <c r="K269" i="16"/>
  <c r="K267" i="16"/>
  <c r="K262" i="16"/>
  <c r="K259" i="16"/>
  <c r="K255" i="16"/>
  <c r="K246" i="16"/>
  <c r="K241" i="16"/>
  <c r="K233" i="16"/>
  <c r="K226" i="16" s="1"/>
  <c r="K222" i="16"/>
  <c r="K218" i="16"/>
  <c r="K214" i="16"/>
  <c r="K211" i="16"/>
  <c r="K203" i="16"/>
  <c r="K198" i="16"/>
  <c r="K180" i="16"/>
  <c r="K168" i="16"/>
  <c r="K160" i="16"/>
  <c r="K156" i="16"/>
  <c r="K152" i="16"/>
  <c r="K143" i="16"/>
  <c r="K132" i="16"/>
  <c r="K129" i="16" s="1"/>
  <c r="K126" i="16"/>
  <c r="K123" i="16"/>
  <c r="K115" i="16" s="1"/>
  <c r="K110" i="16"/>
  <c r="K108" i="16"/>
  <c r="K105" i="16" s="1"/>
  <c r="K104" i="16"/>
  <c r="K103" i="16" s="1"/>
  <c r="K97" i="16"/>
  <c r="K95" i="16"/>
  <c r="K91" i="16"/>
  <c r="K75" i="16"/>
  <c r="K73" i="16" s="1"/>
  <c r="K72" i="16" s="1"/>
  <c r="K71" i="16"/>
  <c r="K70" i="16"/>
  <c r="K61" i="16"/>
  <c r="K60" i="16"/>
  <c r="B60" i="16" s="1"/>
  <c r="K59" i="16"/>
  <c r="K58" i="16"/>
  <c r="M58" i="16" s="1"/>
  <c r="K49" i="16"/>
  <c r="K48" i="16" s="1"/>
  <c r="K44" i="16"/>
  <c r="K43" i="16" s="1"/>
  <c r="K37" i="16"/>
  <c r="K36" i="16" s="1"/>
  <c r="K23" i="16"/>
  <c r="K22" i="16" s="1"/>
  <c r="K17" i="16"/>
  <c r="K11" i="16" s="1"/>
  <c r="K10" i="16" s="1"/>
  <c r="AB297" i="16"/>
  <c r="Y297" i="16"/>
  <c r="V297" i="16"/>
  <c r="S297" i="16"/>
  <c r="P297" i="16"/>
  <c r="M297" i="16"/>
  <c r="J297" i="16"/>
  <c r="F297" i="16"/>
  <c r="AA296" i="16"/>
  <c r="X296" i="16"/>
  <c r="X295" i="16" s="1"/>
  <c r="U296" i="16"/>
  <c r="R296" i="16"/>
  <c r="O296" i="16"/>
  <c r="L296" i="16"/>
  <c r="L295" i="16" s="1"/>
  <c r="I296" i="16"/>
  <c r="I295" i="16" s="1"/>
  <c r="AB294" i="16"/>
  <c r="Y294" i="16"/>
  <c r="V294" i="16"/>
  <c r="S294" i="16"/>
  <c r="P294" i="16"/>
  <c r="M294" i="16"/>
  <c r="J294" i="16"/>
  <c r="G294" i="16"/>
  <c r="C294" i="16"/>
  <c r="B294" i="16"/>
  <c r="AA293" i="16"/>
  <c r="X293" i="16"/>
  <c r="U293" i="16"/>
  <c r="R293" i="16"/>
  <c r="R292" i="16" s="1"/>
  <c r="O293" i="16"/>
  <c r="L293" i="16"/>
  <c r="I293" i="16"/>
  <c r="F293" i="16"/>
  <c r="AB291" i="16"/>
  <c r="Y291" i="16"/>
  <c r="V291" i="16"/>
  <c r="S291" i="16"/>
  <c r="P291" i="16"/>
  <c r="L291" i="16"/>
  <c r="C291" i="16" s="1"/>
  <c r="J291" i="16"/>
  <c r="G291" i="16"/>
  <c r="AB290" i="16"/>
  <c r="Y290" i="16"/>
  <c r="V290" i="16"/>
  <c r="S290" i="16"/>
  <c r="P290" i="16"/>
  <c r="M290" i="16"/>
  <c r="J290" i="16"/>
  <c r="G290" i="16"/>
  <c r="C290" i="16"/>
  <c r="B290" i="16"/>
  <c r="AA289" i="16"/>
  <c r="X289" i="16"/>
  <c r="X288" i="16" s="1"/>
  <c r="U289" i="16"/>
  <c r="R289" i="16"/>
  <c r="O289" i="16"/>
  <c r="O288" i="16" s="1"/>
  <c r="I289" i="16"/>
  <c r="F289" i="16"/>
  <c r="F288" i="16" s="1"/>
  <c r="AB287" i="16"/>
  <c r="Y287" i="16"/>
  <c r="V287" i="16"/>
  <c r="S287" i="16"/>
  <c r="P287" i="16"/>
  <c r="M287" i="16"/>
  <c r="J287" i="16"/>
  <c r="G287" i="16"/>
  <c r="C287" i="16"/>
  <c r="B287" i="16"/>
  <c r="AA284" i="16"/>
  <c r="X284" i="16"/>
  <c r="I284" i="16"/>
  <c r="O284" i="16"/>
  <c r="L284" i="16"/>
  <c r="AB283" i="16"/>
  <c r="Y283" i="16"/>
  <c r="V283" i="16"/>
  <c r="S283" i="16"/>
  <c r="P283" i="16"/>
  <c r="M283" i="16"/>
  <c r="J283" i="16"/>
  <c r="G283" i="16"/>
  <c r="C283" i="16"/>
  <c r="B283" i="16"/>
  <c r="AA282" i="16"/>
  <c r="X282" i="16"/>
  <c r="X281" i="16" s="1"/>
  <c r="U282" i="16"/>
  <c r="R282" i="16"/>
  <c r="R281" i="16" s="1"/>
  <c r="O282" i="16"/>
  <c r="L282" i="16"/>
  <c r="I282" i="16"/>
  <c r="I281" i="16" s="1"/>
  <c r="F282" i="16"/>
  <c r="F281" i="16" s="1"/>
  <c r="M281" i="16"/>
  <c r="AB280" i="16"/>
  <c r="Y280" i="16"/>
  <c r="V280" i="16"/>
  <c r="S280" i="16"/>
  <c r="P280" i="16"/>
  <c r="M280" i="16"/>
  <c r="J280" i="16"/>
  <c r="G280" i="16"/>
  <c r="C280" i="16"/>
  <c r="B280" i="16"/>
  <c r="AB279" i="16"/>
  <c r="Y279" i="16"/>
  <c r="V279" i="16"/>
  <c r="S279" i="16"/>
  <c r="P279" i="16"/>
  <c r="M279" i="16"/>
  <c r="J279" i="16"/>
  <c r="G279" i="16"/>
  <c r="C279" i="16"/>
  <c r="B279" i="16"/>
  <c r="AA278" i="16"/>
  <c r="X278" i="16"/>
  <c r="X277" i="16" s="1"/>
  <c r="U278" i="16"/>
  <c r="R278" i="16"/>
  <c r="R277" i="16" s="1"/>
  <c r="O278" i="16"/>
  <c r="O277" i="16" s="1"/>
  <c r="L278" i="16"/>
  <c r="I278" i="16"/>
  <c r="F278" i="16"/>
  <c r="F277" i="16" s="1"/>
  <c r="AB275" i="16"/>
  <c r="Y275" i="16"/>
  <c r="V275" i="16"/>
  <c r="S275" i="16"/>
  <c r="P275" i="16"/>
  <c r="M275" i="16"/>
  <c r="J275" i="16"/>
  <c r="G275" i="16"/>
  <c r="C275" i="16"/>
  <c r="B275" i="16"/>
  <c r="AB274" i="16"/>
  <c r="Y274" i="16"/>
  <c r="V274" i="16"/>
  <c r="S274" i="16"/>
  <c r="P274" i="16"/>
  <c r="M274" i="16"/>
  <c r="J274" i="16"/>
  <c r="G274" i="16"/>
  <c r="C274" i="16"/>
  <c r="B274" i="16"/>
  <c r="AA273" i="16"/>
  <c r="X273" i="16"/>
  <c r="U273" i="16"/>
  <c r="R273" i="16"/>
  <c r="O273" i="16"/>
  <c r="L273" i="16"/>
  <c r="I273" i="16"/>
  <c r="F273" i="16"/>
  <c r="AB272" i="16"/>
  <c r="Y272" i="16"/>
  <c r="V272" i="16"/>
  <c r="S272" i="16"/>
  <c r="P272" i="16"/>
  <c r="M272" i="16"/>
  <c r="J272" i="16"/>
  <c r="G272" i="16"/>
  <c r="C272" i="16"/>
  <c r="B272" i="16"/>
  <c r="AB271" i="16"/>
  <c r="Y271" i="16"/>
  <c r="V271" i="16"/>
  <c r="S271" i="16"/>
  <c r="P271" i="16"/>
  <c r="M271" i="16"/>
  <c r="J271" i="16"/>
  <c r="AB270" i="16"/>
  <c r="Y270" i="16"/>
  <c r="V270" i="16"/>
  <c r="S270" i="16"/>
  <c r="P270" i="16"/>
  <c r="M270" i="16"/>
  <c r="J270" i="16"/>
  <c r="G270" i="16"/>
  <c r="C270" i="16"/>
  <c r="B270" i="16"/>
  <c r="AA269" i="16"/>
  <c r="X269" i="16"/>
  <c r="U269" i="16"/>
  <c r="R269" i="16"/>
  <c r="O269" i="16"/>
  <c r="L269" i="16"/>
  <c r="I269" i="16"/>
  <c r="F269" i="16"/>
  <c r="AB268" i="16"/>
  <c r="Y268" i="16"/>
  <c r="V268" i="16"/>
  <c r="S268" i="16"/>
  <c r="P268" i="16"/>
  <c r="M268" i="16"/>
  <c r="J268" i="16"/>
  <c r="G268" i="16"/>
  <c r="C268" i="16"/>
  <c r="B268" i="16"/>
  <c r="AA267" i="16"/>
  <c r="X267" i="16"/>
  <c r="U267" i="16"/>
  <c r="R267" i="16"/>
  <c r="O267" i="16"/>
  <c r="L267" i="16"/>
  <c r="I267" i="16"/>
  <c r="F267" i="16"/>
  <c r="AB263" i="16"/>
  <c r="Y263" i="16"/>
  <c r="V263" i="16"/>
  <c r="S263" i="16"/>
  <c r="P263" i="16"/>
  <c r="M263" i="16"/>
  <c r="J263" i="16"/>
  <c r="G263" i="16"/>
  <c r="C263" i="16"/>
  <c r="B263" i="16"/>
  <c r="AA262" i="16"/>
  <c r="X262" i="16"/>
  <c r="U262" i="16"/>
  <c r="R262" i="16"/>
  <c r="O262" i="16"/>
  <c r="L262" i="16"/>
  <c r="I262" i="16"/>
  <c r="F262" i="16"/>
  <c r="AB261" i="16"/>
  <c r="Y261" i="16"/>
  <c r="U261" i="16"/>
  <c r="S261" i="16"/>
  <c r="P261" i="16"/>
  <c r="M261" i="16"/>
  <c r="J261" i="16"/>
  <c r="F261" i="16"/>
  <c r="F258" i="16" s="1"/>
  <c r="AB259" i="16"/>
  <c r="Y259" i="16"/>
  <c r="V259" i="16"/>
  <c r="S259" i="16"/>
  <c r="P259" i="16"/>
  <c r="L259" i="16"/>
  <c r="J259" i="16"/>
  <c r="G259" i="16"/>
  <c r="AA258" i="16"/>
  <c r="X258" i="16"/>
  <c r="R258" i="16"/>
  <c r="O258" i="16"/>
  <c r="I258" i="16"/>
  <c r="AB257" i="16"/>
  <c r="Y257" i="16"/>
  <c r="V257" i="16"/>
  <c r="S257" i="16"/>
  <c r="P257" i="16"/>
  <c r="M257" i="16"/>
  <c r="J257" i="16"/>
  <c r="G257" i="16"/>
  <c r="C257" i="16"/>
  <c r="B257" i="16"/>
  <c r="AB256" i="16"/>
  <c r="Y256" i="16"/>
  <c r="V256" i="16"/>
  <c r="S256" i="16"/>
  <c r="P256" i="16"/>
  <c r="M256" i="16"/>
  <c r="J256" i="16"/>
  <c r="G256" i="16"/>
  <c r="C256" i="16"/>
  <c r="B256" i="16"/>
  <c r="AA255" i="16"/>
  <c r="X255" i="16"/>
  <c r="U255" i="16"/>
  <c r="R255" i="16"/>
  <c r="O255" i="16"/>
  <c r="L255" i="16"/>
  <c r="I255" i="16"/>
  <c r="F255" i="16"/>
  <c r="AB254" i="16"/>
  <c r="Y254" i="16"/>
  <c r="V254" i="16"/>
  <c r="S254" i="16"/>
  <c r="P254" i="16"/>
  <c r="M254" i="16"/>
  <c r="J254" i="16"/>
  <c r="G254" i="16"/>
  <c r="C254" i="16"/>
  <c r="B254" i="16"/>
  <c r="AB252" i="16"/>
  <c r="Y252" i="16"/>
  <c r="V252" i="16"/>
  <c r="S252" i="16"/>
  <c r="P252" i="16"/>
  <c r="M252" i="16"/>
  <c r="J252" i="16"/>
  <c r="G252" i="16"/>
  <c r="C252" i="16"/>
  <c r="B252" i="16"/>
  <c r="AB251" i="16"/>
  <c r="Y251" i="16"/>
  <c r="V251" i="16"/>
  <c r="S251" i="16"/>
  <c r="P251" i="16"/>
  <c r="M251" i="16"/>
  <c r="J251" i="16"/>
  <c r="G251" i="16"/>
  <c r="C251" i="16"/>
  <c r="B251" i="16"/>
  <c r="AB250" i="16"/>
  <c r="Y250" i="16"/>
  <c r="V250" i="16"/>
  <c r="S250" i="16"/>
  <c r="P250" i="16"/>
  <c r="M250" i="16"/>
  <c r="J250" i="16"/>
  <c r="G250" i="16"/>
  <c r="C250" i="16"/>
  <c r="B250" i="16"/>
  <c r="AB249" i="16"/>
  <c r="Y249" i="16"/>
  <c r="V249" i="16"/>
  <c r="S249" i="16"/>
  <c r="P249" i="16"/>
  <c r="M249" i="16"/>
  <c r="J249" i="16"/>
  <c r="G249" i="16"/>
  <c r="C249" i="16"/>
  <c r="B249" i="16"/>
  <c r="AB248" i="16"/>
  <c r="Y248" i="16"/>
  <c r="V248" i="16"/>
  <c r="S248" i="16"/>
  <c r="P248" i="16"/>
  <c r="M248" i="16"/>
  <c r="J248" i="16"/>
  <c r="G248" i="16"/>
  <c r="C248" i="16"/>
  <c r="B248" i="16"/>
  <c r="AB247" i="16"/>
  <c r="Y247" i="16"/>
  <c r="V247" i="16"/>
  <c r="S247" i="16"/>
  <c r="P247" i="16"/>
  <c r="M247" i="16"/>
  <c r="J247" i="16"/>
  <c r="G247" i="16"/>
  <c r="C247" i="16"/>
  <c r="B247" i="16"/>
  <c r="AA246" i="16"/>
  <c r="X246" i="16"/>
  <c r="U246" i="16"/>
  <c r="R246" i="16"/>
  <c r="O246" i="16"/>
  <c r="L246" i="16"/>
  <c r="I246" i="16"/>
  <c r="F246" i="16"/>
  <c r="AB245" i="16"/>
  <c r="Y245" i="16"/>
  <c r="V245" i="16"/>
  <c r="S245" i="16"/>
  <c r="P245" i="16"/>
  <c r="M245" i="16"/>
  <c r="J245" i="16"/>
  <c r="G245" i="16"/>
  <c r="C245" i="16"/>
  <c r="B245" i="16"/>
  <c r="AB244" i="16"/>
  <c r="Y244" i="16"/>
  <c r="V244" i="16"/>
  <c r="S244" i="16"/>
  <c r="P244" i="16"/>
  <c r="M244" i="16"/>
  <c r="J244" i="16"/>
  <c r="G244" i="16"/>
  <c r="C244" i="16"/>
  <c r="B244" i="16"/>
  <c r="AB243" i="16"/>
  <c r="Y243" i="16"/>
  <c r="V243" i="16"/>
  <c r="S243" i="16"/>
  <c r="P243" i="16"/>
  <c r="M243" i="16"/>
  <c r="J243" i="16"/>
  <c r="G243" i="16"/>
  <c r="C243" i="16"/>
  <c r="B243" i="16"/>
  <c r="AB242" i="16"/>
  <c r="Y242" i="16"/>
  <c r="V242" i="16"/>
  <c r="S242" i="16"/>
  <c r="P242" i="16"/>
  <c r="M242" i="16"/>
  <c r="J242" i="16"/>
  <c r="G242" i="16"/>
  <c r="C242" i="16"/>
  <c r="B242" i="16"/>
  <c r="AA241" i="16"/>
  <c r="X241" i="16"/>
  <c r="U241" i="16"/>
  <c r="R241" i="16"/>
  <c r="O241" i="16"/>
  <c r="L241" i="16"/>
  <c r="I241" i="16"/>
  <c r="F241" i="16"/>
  <c r="AB239" i="16"/>
  <c r="Y239" i="16"/>
  <c r="V239" i="16"/>
  <c r="S239" i="16"/>
  <c r="P239" i="16"/>
  <c r="M239" i="16"/>
  <c r="J239" i="16"/>
  <c r="G239" i="16"/>
  <c r="C239" i="16"/>
  <c r="B239" i="16"/>
  <c r="AB238" i="16"/>
  <c r="Y238" i="16"/>
  <c r="V238" i="16"/>
  <c r="S238" i="16"/>
  <c r="P238" i="16"/>
  <c r="M238" i="16"/>
  <c r="J238" i="16"/>
  <c r="F238" i="16"/>
  <c r="AA237" i="16"/>
  <c r="Y237" i="16"/>
  <c r="V237" i="16"/>
  <c r="S237" i="16"/>
  <c r="P237" i="16"/>
  <c r="M237" i="16"/>
  <c r="J237" i="16"/>
  <c r="G237" i="16"/>
  <c r="C237" i="16"/>
  <c r="AB236" i="16"/>
  <c r="Y236" i="16"/>
  <c r="V236" i="16"/>
  <c r="S236" i="16"/>
  <c r="P236" i="16"/>
  <c r="M236" i="16"/>
  <c r="J236" i="16"/>
  <c r="G236" i="16"/>
  <c r="C236" i="16"/>
  <c r="B236" i="16"/>
  <c r="AB235" i="16"/>
  <c r="Y235" i="16"/>
  <c r="U235" i="16"/>
  <c r="S235" i="16"/>
  <c r="P235" i="16"/>
  <c r="M235" i="16"/>
  <c r="J235" i="16"/>
  <c r="G235" i="16"/>
  <c r="AB234" i="16"/>
  <c r="Y234" i="16"/>
  <c r="V234" i="16"/>
  <c r="S234" i="16"/>
  <c r="P234" i="16"/>
  <c r="M234" i="16"/>
  <c r="J234" i="16"/>
  <c r="G234" i="16"/>
  <c r="C234" i="16"/>
  <c r="B234" i="16"/>
  <c r="AB233" i="16"/>
  <c r="Y233" i="16"/>
  <c r="V233" i="16"/>
  <c r="S233" i="16"/>
  <c r="P233" i="16"/>
  <c r="L233" i="16"/>
  <c r="I233" i="16"/>
  <c r="G233" i="16"/>
  <c r="AB232" i="16"/>
  <c r="Y232" i="16"/>
  <c r="V232" i="16"/>
  <c r="S232" i="16"/>
  <c r="P232" i="16"/>
  <c r="M232" i="16"/>
  <c r="J232" i="16"/>
  <c r="G232" i="16"/>
  <c r="C232" i="16"/>
  <c r="B232" i="16"/>
  <c r="AB231" i="16"/>
  <c r="Y231" i="16"/>
  <c r="U231" i="16"/>
  <c r="V231" i="16" s="1"/>
  <c r="S231" i="16"/>
  <c r="P231" i="16"/>
  <c r="M231" i="16"/>
  <c r="J231" i="16"/>
  <c r="F231" i="16"/>
  <c r="AB230" i="16"/>
  <c r="Y230" i="16"/>
  <c r="V230" i="16"/>
  <c r="S230" i="16"/>
  <c r="P230" i="16"/>
  <c r="M230" i="16"/>
  <c r="J230" i="16"/>
  <c r="G230" i="16"/>
  <c r="C230" i="16"/>
  <c r="B230" i="16"/>
  <c r="AB229" i="16"/>
  <c r="X229" i="16"/>
  <c r="Y229" i="16" s="1"/>
  <c r="U229" i="16"/>
  <c r="S229" i="16"/>
  <c r="P229" i="16"/>
  <c r="M229" i="16"/>
  <c r="J229" i="16"/>
  <c r="G229" i="16"/>
  <c r="AB228" i="16"/>
  <c r="Y228" i="16"/>
  <c r="V228" i="16"/>
  <c r="S228" i="16"/>
  <c r="P228" i="16"/>
  <c r="M228" i="16"/>
  <c r="J228" i="16"/>
  <c r="G228" i="16"/>
  <c r="C228" i="16"/>
  <c r="B228" i="16"/>
  <c r="AB227" i="16"/>
  <c r="Y227" i="16"/>
  <c r="V227" i="16"/>
  <c r="S227" i="16"/>
  <c r="P227" i="16"/>
  <c r="M227" i="16"/>
  <c r="J227" i="16"/>
  <c r="G227" i="16"/>
  <c r="C227" i="16"/>
  <c r="B227" i="16"/>
  <c r="R226" i="16"/>
  <c r="O226" i="16"/>
  <c r="AB225" i="16"/>
  <c r="Y225" i="16"/>
  <c r="V225" i="16"/>
  <c r="S225" i="16"/>
  <c r="P225" i="16"/>
  <c r="M225" i="16"/>
  <c r="J225" i="16"/>
  <c r="G225" i="16"/>
  <c r="C225" i="16"/>
  <c r="B225" i="16"/>
  <c r="AB224" i="16"/>
  <c r="Y224" i="16"/>
  <c r="V224" i="16"/>
  <c r="S224" i="16"/>
  <c r="P224" i="16"/>
  <c r="M224" i="16"/>
  <c r="J224" i="16"/>
  <c r="G224" i="16"/>
  <c r="C224" i="16"/>
  <c r="B224" i="16"/>
  <c r="AB223" i="16"/>
  <c r="Y223" i="16"/>
  <c r="V223" i="16"/>
  <c r="S223" i="16"/>
  <c r="P223" i="16"/>
  <c r="M223" i="16"/>
  <c r="J223" i="16"/>
  <c r="G223" i="16"/>
  <c r="C223" i="16"/>
  <c r="B223" i="16"/>
  <c r="AA222" i="16"/>
  <c r="X222" i="16"/>
  <c r="Y222" i="16" s="1"/>
  <c r="U222" i="16"/>
  <c r="R222" i="16"/>
  <c r="O222" i="16"/>
  <c r="L222" i="16"/>
  <c r="I222" i="16"/>
  <c r="F222" i="16"/>
  <c r="AB221" i="16"/>
  <c r="Y221" i="16"/>
  <c r="V221" i="16"/>
  <c r="S221" i="16"/>
  <c r="P221" i="16"/>
  <c r="M221" i="16"/>
  <c r="J221" i="16"/>
  <c r="G221" i="16"/>
  <c r="C221" i="16"/>
  <c r="B221" i="16"/>
  <c r="AB220" i="16"/>
  <c r="Y220" i="16"/>
  <c r="V220" i="16"/>
  <c r="S220" i="16"/>
  <c r="P220" i="16"/>
  <c r="M220" i="16"/>
  <c r="J220" i="16"/>
  <c r="G220" i="16"/>
  <c r="C220" i="16"/>
  <c r="B220" i="16"/>
  <c r="AB219" i="16"/>
  <c r="Y219" i="16"/>
  <c r="V219" i="16"/>
  <c r="S219" i="16"/>
  <c r="P219" i="16"/>
  <c r="M219" i="16"/>
  <c r="J219" i="16"/>
  <c r="G219" i="16"/>
  <c r="C219" i="16"/>
  <c r="B219" i="16"/>
  <c r="AA218" i="16"/>
  <c r="X218" i="16"/>
  <c r="U218" i="16"/>
  <c r="R218" i="16"/>
  <c r="O218" i="16"/>
  <c r="L218" i="16"/>
  <c r="I218" i="16"/>
  <c r="F218" i="16"/>
  <c r="AB217" i="16"/>
  <c r="Y217" i="16"/>
  <c r="V217" i="16"/>
  <c r="S217" i="16"/>
  <c r="P217" i="16"/>
  <c r="M217" i="16"/>
  <c r="J217" i="16"/>
  <c r="G217" i="16"/>
  <c r="C217" i="16"/>
  <c r="B217" i="16"/>
  <c r="AB216" i="16"/>
  <c r="Y216" i="16"/>
  <c r="V216" i="16"/>
  <c r="S216" i="16"/>
  <c r="P216" i="16"/>
  <c r="M216" i="16"/>
  <c r="J216" i="16"/>
  <c r="G216" i="16"/>
  <c r="C216" i="16"/>
  <c r="B216" i="16"/>
  <c r="AB215" i="16"/>
  <c r="Y215" i="16"/>
  <c r="V215" i="16"/>
  <c r="S215" i="16"/>
  <c r="P215" i="16"/>
  <c r="M215" i="16"/>
  <c r="J215" i="16"/>
  <c r="G215" i="16"/>
  <c r="C215" i="16"/>
  <c r="B215" i="16"/>
  <c r="AA214" i="16"/>
  <c r="X214" i="16"/>
  <c r="U214" i="16"/>
  <c r="R214" i="16"/>
  <c r="O214" i="16"/>
  <c r="L214" i="16"/>
  <c r="I214" i="16"/>
  <c r="F214" i="16"/>
  <c r="AB212" i="16"/>
  <c r="Y212" i="16"/>
  <c r="V212" i="16"/>
  <c r="S212" i="16"/>
  <c r="P212" i="16"/>
  <c r="M212" i="16"/>
  <c r="J212" i="16"/>
  <c r="G212" i="16"/>
  <c r="C212" i="16"/>
  <c r="B212" i="16"/>
  <c r="AA211" i="16"/>
  <c r="X211" i="16"/>
  <c r="U211" i="16"/>
  <c r="R211" i="16"/>
  <c r="O211" i="16"/>
  <c r="L211" i="16"/>
  <c r="I211" i="16"/>
  <c r="F211" i="16"/>
  <c r="AB210" i="16"/>
  <c r="Y210" i="16"/>
  <c r="V210" i="16"/>
  <c r="S210" i="16"/>
  <c r="P210" i="16"/>
  <c r="M210" i="16"/>
  <c r="J210" i="16"/>
  <c r="G210" i="16"/>
  <c r="C210" i="16"/>
  <c r="B210" i="16"/>
  <c r="AB209" i="16"/>
  <c r="Y209" i="16"/>
  <c r="V209" i="16"/>
  <c r="S209" i="16"/>
  <c r="P209" i="16"/>
  <c r="M209" i="16"/>
  <c r="J209" i="16"/>
  <c r="G209" i="16"/>
  <c r="C209" i="16"/>
  <c r="B209" i="16"/>
  <c r="AB207" i="16"/>
  <c r="Y207" i="16"/>
  <c r="V207" i="16"/>
  <c r="S207" i="16"/>
  <c r="P207" i="16"/>
  <c r="M207" i="16"/>
  <c r="J207" i="16"/>
  <c r="G207" i="16"/>
  <c r="C207" i="16"/>
  <c r="B207" i="16"/>
  <c r="AB206" i="16"/>
  <c r="Y206" i="16"/>
  <c r="V206" i="16"/>
  <c r="S206" i="16"/>
  <c r="P206" i="16"/>
  <c r="M206" i="16"/>
  <c r="J206" i="16"/>
  <c r="G206" i="16"/>
  <c r="C206" i="16"/>
  <c r="B206" i="16"/>
  <c r="AB205" i="16"/>
  <c r="Y205" i="16"/>
  <c r="V205" i="16"/>
  <c r="S205" i="16"/>
  <c r="P205" i="16"/>
  <c r="M205" i="16"/>
  <c r="J205" i="16"/>
  <c r="G205" i="16"/>
  <c r="C205" i="16"/>
  <c r="B205" i="16"/>
  <c r="AB204" i="16"/>
  <c r="Y204" i="16"/>
  <c r="V204" i="16"/>
  <c r="R204" i="16"/>
  <c r="C204" i="16" s="1"/>
  <c r="P204" i="16"/>
  <c r="M204" i="16"/>
  <c r="J204" i="16"/>
  <c r="G204" i="16"/>
  <c r="B204" i="16"/>
  <c r="AA203" i="16"/>
  <c r="X203" i="16"/>
  <c r="U203" i="16"/>
  <c r="O203" i="16"/>
  <c r="L203" i="16"/>
  <c r="I203" i="16"/>
  <c r="F203" i="16"/>
  <c r="AB202" i="16"/>
  <c r="Y202" i="16"/>
  <c r="V202" i="16"/>
  <c r="S202" i="16"/>
  <c r="P202" i="16"/>
  <c r="M202" i="16"/>
  <c r="J202" i="16"/>
  <c r="G202" i="16"/>
  <c r="C202" i="16"/>
  <c r="B202" i="16"/>
  <c r="AB201" i="16"/>
  <c r="Y201" i="16"/>
  <c r="V201" i="16"/>
  <c r="S201" i="16"/>
  <c r="O201" i="16"/>
  <c r="M201" i="16"/>
  <c r="J201" i="16"/>
  <c r="G201" i="16"/>
  <c r="AB200" i="16"/>
  <c r="Y200" i="16"/>
  <c r="V200" i="16"/>
  <c r="S200" i="16"/>
  <c r="P200" i="16"/>
  <c r="M200" i="16"/>
  <c r="J200" i="16"/>
  <c r="G200" i="16"/>
  <c r="C200" i="16"/>
  <c r="B200" i="16"/>
  <c r="AB199" i="16"/>
  <c r="Y199" i="16"/>
  <c r="V199" i="16"/>
  <c r="S199" i="16"/>
  <c r="P199" i="16"/>
  <c r="M199" i="16"/>
  <c r="J199" i="16"/>
  <c r="G199" i="16"/>
  <c r="C199" i="16"/>
  <c r="B199" i="16"/>
  <c r="AA198" i="16"/>
  <c r="X198" i="16"/>
  <c r="U198" i="16"/>
  <c r="R198" i="16"/>
  <c r="L198" i="16"/>
  <c r="I198" i="16"/>
  <c r="F198" i="16"/>
  <c r="AB197" i="16"/>
  <c r="Y197" i="16"/>
  <c r="V197" i="16"/>
  <c r="R197" i="16"/>
  <c r="S197" i="16" s="1"/>
  <c r="P197" i="16"/>
  <c r="M197" i="16"/>
  <c r="J197" i="16"/>
  <c r="G197" i="16"/>
  <c r="B197" i="16"/>
  <c r="AB196" i="16"/>
  <c r="Y196" i="16"/>
  <c r="V196" i="16"/>
  <c r="R196" i="16"/>
  <c r="P196" i="16"/>
  <c r="M196" i="16"/>
  <c r="J196" i="16"/>
  <c r="G196" i="16"/>
  <c r="AB195" i="16"/>
  <c r="Y195" i="16"/>
  <c r="V195" i="16"/>
  <c r="S195" i="16"/>
  <c r="P195" i="16"/>
  <c r="M195" i="16"/>
  <c r="J195" i="16"/>
  <c r="G195" i="16"/>
  <c r="C195" i="16"/>
  <c r="B195" i="16"/>
  <c r="AB194" i="16"/>
  <c r="Y194" i="16"/>
  <c r="V194" i="16"/>
  <c r="R194" i="16"/>
  <c r="P194" i="16"/>
  <c r="M194" i="16"/>
  <c r="J194" i="16"/>
  <c r="G194" i="16"/>
  <c r="AB193" i="16"/>
  <c r="Y193" i="16"/>
  <c r="V193" i="16"/>
  <c r="S193" i="16"/>
  <c r="P193" i="16"/>
  <c r="M193" i="16"/>
  <c r="J193" i="16"/>
  <c r="G193" i="16"/>
  <c r="C193" i="16"/>
  <c r="B193" i="16"/>
  <c r="AB192" i="16"/>
  <c r="Y192" i="16"/>
  <c r="V192" i="16"/>
  <c r="S192" i="16"/>
  <c r="P192" i="16"/>
  <c r="M192" i="16"/>
  <c r="J192" i="16"/>
  <c r="G192" i="16"/>
  <c r="C192" i="16"/>
  <c r="B192" i="16"/>
  <c r="AB191" i="16"/>
  <c r="Y191" i="16"/>
  <c r="V191" i="16"/>
  <c r="S191" i="16"/>
  <c r="P191" i="16"/>
  <c r="M191" i="16"/>
  <c r="J191" i="16"/>
  <c r="G191" i="16"/>
  <c r="C191" i="16"/>
  <c r="B191" i="16"/>
  <c r="AB190" i="16"/>
  <c r="Y190" i="16"/>
  <c r="V190" i="16"/>
  <c r="S190" i="16"/>
  <c r="P190" i="16"/>
  <c r="M190" i="16"/>
  <c r="J190" i="16"/>
  <c r="G190" i="16"/>
  <c r="C190" i="16"/>
  <c r="B190" i="16"/>
  <c r="AB189" i="16"/>
  <c r="Y189" i="16"/>
  <c r="V189" i="16"/>
  <c r="S189" i="16"/>
  <c r="P189" i="16"/>
  <c r="M189" i="16"/>
  <c r="J189" i="16"/>
  <c r="G189" i="16"/>
  <c r="C189" i="16"/>
  <c r="B189" i="16"/>
  <c r="AB188" i="16"/>
  <c r="Y188" i="16"/>
  <c r="V188" i="16"/>
  <c r="S188" i="16"/>
  <c r="P188" i="16"/>
  <c r="M188" i="16"/>
  <c r="J188" i="16"/>
  <c r="G188" i="16"/>
  <c r="C188" i="16"/>
  <c r="B188" i="16"/>
  <c r="AB187" i="16"/>
  <c r="Y187" i="16"/>
  <c r="V187" i="16"/>
  <c r="R187" i="16"/>
  <c r="C187" i="16" s="1"/>
  <c r="P187" i="16"/>
  <c r="M187" i="16"/>
  <c r="J187" i="16"/>
  <c r="G187" i="16"/>
  <c r="AB186" i="16"/>
  <c r="Y186" i="16"/>
  <c r="V186" i="16"/>
  <c r="S186" i="16"/>
  <c r="P186" i="16"/>
  <c r="M186" i="16"/>
  <c r="J186" i="16"/>
  <c r="G186" i="16"/>
  <c r="C186" i="16"/>
  <c r="B186" i="16"/>
  <c r="AB185" i="16"/>
  <c r="Y185" i="16"/>
  <c r="V185" i="16"/>
  <c r="S185" i="16"/>
  <c r="P185" i="16"/>
  <c r="M185" i="16"/>
  <c r="J185" i="16"/>
  <c r="G185" i="16"/>
  <c r="C185" i="16"/>
  <c r="B185" i="16"/>
  <c r="AB183" i="16"/>
  <c r="Y183" i="16"/>
  <c r="V183" i="16"/>
  <c r="S183" i="16"/>
  <c r="P183" i="16"/>
  <c r="M183" i="16"/>
  <c r="J183" i="16"/>
  <c r="G183" i="16"/>
  <c r="C183" i="16"/>
  <c r="B183" i="16"/>
  <c r="AB182" i="16"/>
  <c r="Y182" i="16"/>
  <c r="V182" i="16"/>
  <c r="S182" i="16"/>
  <c r="P182" i="16"/>
  <c r="M182" i="16"/>
  <c r="J182" i="16"/>
  <c r="G182" i="16"/>
  <c r="C182" i="16"/>
  <c r="B182" i="16"/>
  <c r="AB181" i="16"/>
  <c r="Y181" i="16"/>
  <c r="V181" i="16"/>
  <c r="S181" i="16"/>
  <c r="P181" i="16"/>
  <c r="M181" i="16"/>
  <c r="J181" i="16"/>
  <c r="G181" i="16"/>
  <c r="C181" i="16"/>
  <c r="B181" i="16"/>
  <c r="AA180" i="16"/>
  <c r="X180" i="16"/>
  <c r="U180" i="16"/>
  <c r="O180" i="16"/>
  <c r="L180" i="16"/>
  <c r="I180" i="16"/>
  <c r="F180" i="16"/>
  <c r="AB179" i="16"/>
  <c r="Y179" i="16"/>
  <c r="V179" i="16"/>
  <c r="S179" i="16"/>
  <c r="P179" i="16"/>
  <c r="M179" i="16"/>
  <c r="J179" i="16"/>
  <c r="G179" i="16"/>
  <c r="C179" i="16"/>
  <c r="B179" i="16"/>
  <c r="AB177" i="16"/>
  <c r="Y177" i="16"/>
  <c r="V177" i="16"/>
  <c r="S177" i="16"/>
  <c r="P177" i="16"/>
  <c r="M177" i="16"/>
  <c r="J177" i="16"/>
  <c r="G177" i="16"/>
  <c r="C177" i="16"/>
  <c r="B177" i="16"/>
  <c r="AB176" i="16"/>
  <c r="Y176" i="16"/>
  <c r="V176" i="16"/>
  <c r="S176" i="16"/>
  <c r="P176" i="16"/>
  <c r="M176" i="16"/>
  <c r="J176" i="16"/>
  <c r="G176" i="16"/>
  <c r="C176" i="16"/>
  <c r="B176" i="16"/>
  <c r="AB175" i="16"/>
  <c r="Y175" i="16"/>
  <c r="V175" i="16"/>
  <c r="S175" i="16"/>
  <c r="P175" i="16"/>
  <c r="M175" i="16"/>
  <c r="J175" i="16"/>
  <c r="G175" i="16"/>
  <c r="C175" i="16"/>
  <c r="B175" i="16"/>
  <c r="AB174" i="16"/>
  <c r="Y174" i="16"/>
  <c r="V174" i="16"/>
  <c r="S174" i="16"/>
  <c r="P174" i="16"/>
  <c r="M174" i="16"/>
  <c r="J174" i="16"/>
  <c r="G174" i="16"/>
  <c r="C174" i="16"/>
  <c r="B174" i="16"/>
  <c r="AB173" i="16"/>
  <c r="Y173" i="16"/>
  <c r="V173" i="16"/>
  <c r="R173" i="16"/>
  <c r="P173" i="16"/>
  <c r="M173" i="16"/>
  <c r="J173" i="16"/>
  <c r="G173" i="16"/>
  <c r="B173" i="16"/>
  <c r="AB172" i="16"/>
  <c r="Y172" i="16"/>
  <c r="V172" i="16"/>
  <c r="S172" i="16"/>
  <c r="P172" i="16"/>
  <c r="M172" i="16"/>
  <c r="J172" i="16"/>
  <c r="G172" i="16"/>
  <c r="C172" i="16"/>
  <c r="B172" i="16"/>
  <c r="AB171" i="16"/>
  <c r="Y171" i="16"/>
  <c r="V171" i="16"/>
  <c r="S171" i="16"/>
  <c r="P171" i="16"/>
  <c r="M171" i="16"/>
  <c r="J171" i="16"/>
  <c r="G171" i="16"/>
  <c r="C171" i="16"/>
  <c r="B171" i="16"/>
  <c r="AB170" i="16"/>
  <c r="Y170" i="16"/>
  <c r="V170" i="16"/>
  <c r="S170" i="16"/>
  <c r="P170" i="16"/>
  <c r="M170" i="16"/>
  <c r="J170" i="16"/>
  <c r="G170" i="16"/>
  <c r="C170" i="16"/>
  <c r="B170" i="16"/>
  <c r="AB169" i="16"/>
  <c r="Y169" i="16"/>
  <c r="V169" i="16"/>
  <c r="S169" i="16"/>
  <c r="P169" i="16"/>
  <c r="M169" i="16"/>
  <c r="J169" i="16"/>
  <c r="G169" i="16"/>
  <c r="C169" i="16"/>
  <c r="B169" i="16"/>
  <c r="AA168" i="16"/>
  <c r="X168" i="16"/>
  <c r="U168" i="16"/>
  <c r="O168" i="16"/>
  <c r="L168" i="16"/>
  <c r="I168" i="16"/>
  <c r="F168" i="16"/>
  <c r="AB166" i="16"/>
  <c r="Y166" i="16"/>
  <c r="V166" i="16"/>
  <c r="S166" i="16"/>
  <c r="P166" i="16"/>
  <c r="M166" i="16"/>
  <c r="J166" i="16"/>
  <c r="G166" i="16"/>
  <c r="C166" i="16"/>
  <c r="B166" i="16"/>
  <c r="AB165" i="16"/>
  <c r="Y165" i="16"/>
  <c r="V165" i="16"/>
  <c r="S165" i="16"/>
  <c r="P165" i="16"/>
  <c r="M165" i="16"/>
  <c r="J165" i="16"/>
  <c r="G165" i="16"/>
  <c r="C165" i="16"/>
  <c r="B165" i="16"/>
  <c r="AB164" i="16"/>
  <c r="Y164" i="16"/>
  <c r="V164" i="16"/>
  <c r="S164" i="16"/>
  <c r="P164" i="16"/>
  <c r="M164" i="16"/>
  <c r="J164" i="16"/>
  <c r="G164" i="16"/>
  <c r="C164" i="16"/>
  <c r="B164" i="16"/>
  <c r="AB163" i="16"/>
  <c r="Y163" i="16"/>
  <c r="V163" i="16"/>
  <c r="S163" i="16"/>
  <c r="P163" i="16"/>
  <c r="M163" i="16"/>
  <c r="J163" i="16"/>
  <c r="G163" i="16"/>
  <c r="C163" i="16"/>
  <c r="B163" i="16"/>
  <c r="AB162" i="16"/>
  <c r="Y162" i="16"/>
  <c r="V162" i="16"/>
  <c r="S162" i="16"/>
  <c r="P162" i="16"/>
  <c r="M162" i="16"/>
  <c r="J162" i="16"/>
  <c r="G162" i="16"/>
  <c r="C162" i="16"/>
  <c r="B162" i="16"/>
  <c r="AB161" i="16"/>
  <c r="Y161" i="16"/>
  <c r="V161" i="16"/>
  <c r="R161" i="16"/>
  <c r="C161" i="16" s="1"/>
  <c r="P161" i="16"/>
  <c r="M161" i="16"/>
  <c r="J161" i="16"/>
  <c r="G161" i="16"/>
  <c r="AA160" i="16"/>
  <c r="X160" i="16"/>
  <c r="U160" i="16"/>
  <c r="O160" i="16"/>
  <c r="L160" i="16"/>
  <c r="I160" i="16"/>
  <c r="F160" i="16"/>
  <c r="AB159" i="16"/>
  <c r="Y159" i="16"/>
  <c r="V159" i="16"/>
  <c r="R159" i="16"/>
  <c r="C159" i="16" s="1"/>
  <c r="P159" i="16"/>
  <c r="M159" i="16"/>
  <c r="J159" i="16"/>
  <c r="G159" i="16"/>
  <c r="AB158" i="16"/>
  <c r="Y158" i="16"/>
  <c r="V158" i="16"/>
  <c r="S158" i="16"/>
  <c r="P158" i="16"/>
  <c r="M158" i="16"/>
  <c r="J158" i="16"/>
  <c r="G158" i="16"/>
  <c r="C158" i="16"/>
  <c r="B158" i="16"/>
  <c r="AB157" i="16"/>
  <c r="Y157" i="16"/>
  <c r="V157" i="16"/>
  <c r="R157" i="16"/>
  <c r="P157" i="16"/>
  <c r="M157" i="16"/>
  <c r="J157" i="16"/>
  <c r="G157" i="16"/>
  <c r="AA156" i="16"/>
  <c r="X156" i="16"/>
  <c r="U156" i="16"/>
  <c r="O156" i="16"/>
  <c r="L156" i="16"/>
  <c r="I156" i="16"/>
  <c r="F156" i="16"/>
  <c r="AB155" i="16"/>
  <c r="Y155" i="16"/>
  <c r="V155" i="16"/>
  <c r="S155" i="16"/>
  <c r="P155" i="16"/>
  <c r="M155" i="16"/>
  <c r="J155" i="16"/>
  <c r="G155" i="16"/>
  <c r="C155" i="16"/>
  <c r="B155" i="16"/>
  <c r="AB154" i="16"/>
  <c r="Y154" i="16"/>
  <c r="V154" i="16"/>
  <c r="S154" i="16"/>
  <c r="P154" i="16"/>
  <c r="M154" i="16"/>
  <c r="J154" i="16"/>
  <c r="G154" i="16"/>
  <c r="C154" i="16"/>
  <c r="B154" i="16"/>
  <c r="AB153" i="16"/>
  <c r="Y153" i="16"/>
  <c r="V153" i="16"/>
  <c r="S153" i="16"/>
  <c r="P153" i="16"/>
  <c r="M153" i="16"/>
  <c r="J153" i="16"/>
  <c r="G153" i="16"/>
  <c r="C153" i="16"/>
  <c r="B153" i="16"/>
  <c r="AA152" i="16"/>
  <c r="X152" i="16"/>
  <c r="U152" i="16"/>
  <c r="R152" i="16"/>
  <c r="O152" i="16"/>
  <c r="L152" i="16"/>
  <c r="I152" i="16"/>
  <c r="F152" i="16"/>
  <c r="AB150" i="16"/>
  <c r="Y150" i="16"/>
  <c r="V150" i="16"/>
  <c r="S150" i="16"/>
  <c r="P150" i="16"/>
  <c r="M150" i="16"/>
  <c r="J150" i="16"/>
  <c r="G150" i="16"/>
  <c r="C150" i="16"/>
  <c r="B150" i="16"/>
  <c r="AB147" i="16"/>
  <c r="Y147" i="16"/>
  <c r="V147" i="16"/>
  <c r="S147" i="16"/>
  <c r="P147" i="16"/>
  <c r="M147" i="16"/>
  <c r="J147" i="16"/>
  <c r="G147" i="16"/>
  <c r="C147" i="16"/>
  <c r="B147" i="16"/>
  <c r="AB146" i="16"/>
  <c r="Y146" i="16"/>
  <c r="V146" i="16"/>
  <c r="S146" i="16"/>
  <c r="P146" i="16"/>
  <c r="M146" i="16"/>
  <c r="J146" i="16"/>
  <c r="G146" i="16"/>
  <c r="C146" i="16"/>
  <c r="B146" i="16"/>
  <c r="AB145" i="16"/>
  <c r="Y145" i="16"/>
  <c r="V145" i="16"/>
  <c r="S145" i="16"/>
  <c r="P145" i="16"/>
  <c r="M145" i="16"/>
  <c r="J145" i="16"/>
  <c r="G145" i="16"/>
  <c r="C145" i="16"/>
  <c r="B145" i="16"/>
  <c r="AB144" i="16"/>
  <c r="Y144" i="16"/>
  <c r="V144" i="16"/>
  <c r="S144" i="16"/>
  <c r="P144" i="16"/>
  <c r="M144" i="16"/>
  <c r="J144" i="16"/>
  <c r="G144" i="16"/>
  <c r="C144" i="16"/>
  <c r="B144" i="16"/>
  <c r="AA143" i="16"/>
  <c r="X143" i="16"/>
  <c r="U143" i="16"/>
  <c r="R143" i="16"/>
  <c r="O143" i="16"/>
  <c r="L143" i="16"/>
  <c r="I143" i="16"/>
  <c r="F143" i="16"/>
  <c r="AB142" i="16"/>
  <c r="Y142" i="16"/>
  <c r="V142" i="16"/>
  <c r="S142" i="16"/>
  <c r="P142" i="16"/>
  <c r="M142" i="16"/>
  <c r="J142" i="16"/>
  <c r="G142" i="16"/>
  <c r="C142" i="16"/>
  <c r="B142" i="16"/>
  <c r="AB141" i="16"/>
  <c r="Y141" i="16"/>
  <c r="V141" i="16"/>
  <c r="S141" i="16"/>
  <c r="M141" i="16"/>
  <c r="J141" i="16"/>
  <c r="G141" i="16"/>
  <c r="C141" i="16"/>
  <c r="B141" i="16"/>
  <c r="AB140" i="16"/>
  <c r="Y140" i="16"/>
  <c r="V140" i="16"/>
  <c r="S140" i="16"/>
  <c r="M140" i="16"/>
  <c r="J140" i="16"/>
  <c r="G140" i="16"/>
  <c r="C140" i="16"/>
  <c r="B140" i="16"/>
  <c r="AB139" i="16"/>
  <c r="Y139" i="16"/>
  <c r="V139" i="16"/>
  <c r="S139" i="16"/>
  <c r="P139" i="16"/>
  <c r="M139" i="16"/>
  <c r="J139" i="16"/>
  <c r="G139" i="16"/>
  <c r="C139" i="16"/>
  <c r="B139" i="16"/>
  <c r="AB138" i="16"/>
  <c r="Y138" i="16"/>
  <c r="V138" i="16"/>
  <c r="S138" i="16"/>
  <c r="P138" i="16"/>
  <c r="M138" i="16"/>
  <c r="J138" i="16"/>
  <c r="G138" i="16"/>
  <c r="C138" i="16"/>
  <c r="B138" i="16"/>
  <c r="AB137" i="16"/>
  <c r="Y137" i="16"/>
  <c r="V137" i="16"/>
  <c r="S137" i="16"/>
  <c r="P137" i="16"/>
  <c r="M137" i="16"/>
  <c r="J137" i="16"/>
  <c r="G137" i="16"/>
  <c r="C137" i="16"/>
  <c r="B137" i="16"/>
  <c r="AB136" i="16"/>
  <c r="Y136" i="16"/>
  <c r="V136" i="16"/>
  <c r="R136" i="16"/>
  <c r="C136" i="16" s="1"/>
  <c r="P136" i="16"/>
  <c r="M136" i="16"/>
  <c r="J136" i="16"/>
  <c r="G136" i="16"/>
  <c r="AB135" i="16"/>
  <c r="Y135" i="16"/>
  <c r="V135" i="16"/>
  <c r="S135" i="16"/>
  <c r="P135" i="16"/>
  <c r="M135" i="16"/>
  <c r="J135" i="16"/>
  <c r="G135" i="16"/>
  <c r="C135" i="16"/>
  <c r="B135" i="16"/>
  <c r="AB134" i="16"/>
  <c r="Y134" i="16"/>
  <c r="V134" i="16"/>
  <c r="S134" i="16"/>
  <c r="P134" i="16"/>
  <c r="M134" i="16"/>
  <c r="J134" i="16"/>
  <c r="G134" i="16"/>
  <c r="C134" i="16"/>
  <c r="B134" i="16"/>
  <c r="AB133" i="16"/>
  <c r="Y133" i="16"/>
  <c r="V133" i="16"/>
  <c r="S133" i="16"/>
  <c r="P133" i="16"/>
  <c r="M133" i="16"/>
  <c r="J133" i="16"/>
  <c r="G133" i="16"/>
  <c r="C133" i="16"/>
  <c r="B133" i="16"/>
  <c r="AB132" i="16"/>
  <c r="Y132" i="16"/>
  <c r="V132" i="16"/>
  <c r="S132" i="16"/>
  <c r="P132" i="16"/>
  <c r="L132" i="16"/>
  <c r="J132" i="16"/>
  <c r="G132" i="16"/>
  <c r="AB130" i="16"/>
  <c r="Y130" i="16"/>
  <c r="V130" i="16"/>
  <c r="S130" i="16"/>
  <c r="P130" i="16"/>
  <c r="M130" i="16"/>
  <c r="J130" i="16"/>
  <c r="G130" i="16"/>
  <c r="C130" i="16"/>
  <c r="B130" i="16"/>
  <c r="AA129" i="16"/>
  <c r="X129" i="16"/>
  <c r="U129" i="16"/>
  <c r="R129" i="16"/>
  <c r="O129" i="16"/>
  <c r="I129" i="16"/>
  <c r="G129" i="16"/>
  <c r="AB128" i="16"/>
  <c r="Y128" i="16"/>
  <c r="V128" i="16"/>
  <c r="S128" i="16"/>
  <c r="P128" i="16"/>
  <c r="M128" i="16"/>
  <c r="J128" i="16"/>
  <c r="G128" i="16"/>
  <c r="C128" i="16"/>
  <c r="B128" i="16"/>
  <c r="AB127" i="16"/>
  <c r="Y127" i="16"/>
  <c r="V127" i="16"/>
  <c r="S127" i="16"/>
  <c r="P127" i="16"/>
  <c r="M127" i="16"/>
  <c r="J127" i="16"/>
  <c r="G127" i="16"/>
  <c r="C127" i="16"/>
  <c r="B127" i="16"/>
  <c r="AA126" i="16"/>
  <c r="X126" i="16"/>
  <c r="U126" i="16"/>
  <c r="R126" i="16"/>
  <c r="O126" i="16"/>
  <c r="L126" i="16"/>
  <c r="I126" i="16"/>
  <c r="F126" i="16"/>
  <c r="AB125" i="16"/>
  <c r="Y125" i="16"/>
  <c r="V125" i="16"/>
  <c r="S125" i="16"/>
  <c r="P125" i="16"/>
  <c r="M125" i="16"/>
  <c r="J125" i="16"/>
  <c r="G125" i="16"/>
  <c r="C125" i="16"/>
  <c r="B125" i="16"/>
  <c r="AB124" i="16"/>
  <c r="Y124" i="16"/>
  <c r="V124" i="16"/>
  <c r="S124" i="16"/>
  <c r="P124" i="16"/>
  <c r="M124" i="16"/>
  <c r="J124" i="16"/>
  <c r="G124" i="16"/>
  <c r="C124" i="16"/>
  <c r="B124" i="16"/>
  <c r="AB123" i="16"/>
  <c r="Y123" i="16"/>
  <c r="V123" i="16"/>
  <c r="S123" i="16"/>
  <c r="P123" i="16"/>
  <c r="L123" i="16"/>
  <c r="L115" i="16" s="1"/>
  <c r="J123" i="16"/>
  <c r="G123" i="16"/>
  <c r="C123" i="16"/>
  <c r="AB122" i="16"/>
  <c r="Y122" i="16"/>
  <c r="V122" i="16"/>
  <c r="S122" i="16"/>
  <c r="P122" i="16"/>
  <c r="M122" i="16"/>
  <c r="J122" i="16"/>
  <c r="G122" i="16"/>
  <c r="C122" i="16"/>
  <c r="B122" i="16"/>
  <c r="AB121" i="16"/>
  <c r="Y121" i="16"/>
  <c r="V121" i="16"/>
  <c r="S121" i="16"/>
  <c r="P121" i="16"/>
  <c r="M121" i="16"/>
  <c r="J121" i="16"/>
  <c r="G121" i="16"/>
  <c r="C121" i="16"/>
  <c r="B121" i="16"/>
  <c r="AB120" i="16"/>
  <c r="Y120" i="16"/>
  <c r="V120" i="16"/>
  <c r="S120" i="16"/>
  <c r="P120" i="16"/>
  <c r="M120" i="16"/>
  <c r="J120" i="16"/>
  <c r="G120" i="16"/>
  <c r="C120" i="16"/>
  <c r="B120" i="16"/>
  <c r="AB119" i="16"/>
  <c r="Y119" i="16"/>
  <c r="V119" i="16"/>
  <c r="S119" i="16"/>
  <c r="P119" i="16"/>
  <c r="M119" i="16"/>
  <c r="J119" i="16"/>
  <c r="G119" i="16"/>
  <c r="C119" i="16"/>
  <c r="B119" i="16"/>
  <c r="AB118" i="16"/>
  <c r="Y118" i="16"/>
  <c r="V118" i="16"/>
  <c r="S118" i="16"/>
  <c r="P118" i="16"/>
  <c r="M118" i="16"/>
  <c r="J118" i="16"/>
  <c r="G118" i="16"/>
  <c r="C118" i="16"/>
  <c r="B118" i="16"/>
  <c r="AB117" i="16"/>
  <c r="Y117" i="16"/>
  <c r="V117" i="16"/>
  <c r="S117" i="16"/>
  <c r="P117" i="16"/>
  <c r="M117" i="16"/>
  <c r="J117" i="16"/>
  <c r="G117" i="16"/>
  <c r="C117" i="16"/>
  <c r="B117" i="16"/>
  <c r="AB116" i="16"/>
  <c r="Y116" i="16"/>
  <c r="V116" i="16"/>
  <c r="S116" i="16"/>
  <c r="P116" i="16"/>
  <c r="M116" i="16"/>
  <c r="J116" i="16"/>
  <c r="G116" i="16"/>
  <c r="C116" i="16"/>
  <c r="B116" i="16"/>
  <c r="AA115" i="16"/>
  <c r="X115" i="16"/>
  <c r="U115" i="16"/>
  <c r="R115" i="16"/>
  <c r="O115" i="16"/>
  <c r="I115" i="16"/>
  <c r="F115" i="16"/>
  <c r="AB113" i="16"/>
  <c r="Y113" i="16"/>
  <c r="U113" i="16"/>
  <c r="U110" i="16" s="1"/>
  <c r="S113" i="16"/>
  <c r="P113" i="16"/>
  <c r="M113" i="16"/>
  <c r="J113" i="16"/>
  <c r="G113" i="16"/>
  <c r="AB112" i="16"/>
  <c r="Y112" i="16"/>
  <c r="V112" i="16"/>
  <c r="S112" i="16"/>
  <c r="P112" i="16"/>
  <c r="M112" i="16"/>
  <c r="J112" i="16"/>
  <c r="G112" i="16"/>
  <c r="C112" i="16"/>
  <c r="B112" i="16"/>
  <c r="AB111" i="16"/>
  <c r="Y111" i="16"/>
  <c r="V111" i="16"/>
  <c r="S111" i="16"/>
  <c r="P111" i="16"/>
  <c r="M111" i="16"/>
  <c r="J111" i="16"/>
  <c r="G111" i="16"/>
  <c r="C111" i="16"/>
  <c r="B111" i="16"/>
  <c r="AA110" i="16"/>
  <c r="X110" i="16"/>
  <c r="R110" i="16"/>
  <c r="O110" i="16"/>
  <c r="L110" i="16"/>
  <c r="I110" i="16"/>
  <c r="F110" i="16"/>
  <c r="AB109" i="16"/>
  <c r="Y109" i="16"/>
  <c r="V109" i="16"/>
  <c r="S109" i="16"/>
  <c r="P109" i="16"/>
  <c r="M109" i="16"/>
  <c r="J109" i="16"/>
  <c r="G109" i="16"/>
  <c r="C109" i="16"/>
  <c r="B109" i="16"/>
  <c r="AB108" i="16"/>
  <c r="Y108" i="16"/>
  <c r="V108" i="16"/>
  <c r="S108" i="16"/>
  <c r="P108" i="16"/>
  <c r="L108" i="16"/>
  <c r="J108" i="16"/>
  <c r="G108" i="16"/>
  <c r="AB107" i="16"/>
  <c r="Y107" i="16"/>
  <c r="V107" i="16"/>
  <c r="S107" i="16"/>
  <c r="P107" i="16"/>
  <c r="M107" i="16"/>
  <c r="J107" i="16"/>
  <c r="G107" i="16"/>
  <c r="C107" i="16"/>
  <c r="B107" i="16"/>
  <c r="AB106" i="16"/>
  <c r="Y106" i="16"/>
  <c r="V106" i="16"/>
  <c r="R106" i="16"/>
  <c r="P106" i="16"/>
  <c r="M106" i="16"/>
  <c r="J106" i="16"/>
  <c r="G106" i="16"/>
  <c r="AA105" i="16"/>
  <c r="X105" i="16"/>
  <c r="U105" i="16"/>
  <c r="O105" i="16"/>
  <c r="I105" i="16"/>
  <c r="F105" i="16"/>
  <c r="AB104" i="16"/>
  <c r="Y104" i="16"/>
  <c r="V104" i="16"/>
  <c r="S104" i="16"/>
  <c r="P104" i="16"/>
  <c r="L104" i="16"/>
  <c r="J104" i="16"/>
  <c r="G104" i="16"/>
  <c r="AA103" i="16"/>
  <c r="X103" i="16"/>
  <c r="U103" i="16"/>
  <c r="R103" i="16"/>
  <c r="O103" i="16"/>
  <c r="I103" i="16"/>
  <c r="F103" i="16"/>
  <c r="AB99" i="16"/>
  <c r="Y99" i="16"/>
  <c r="V99" i="16"/>
  <c r="S99" i="16"/>
  <c r="P99" i="16"/>
  <c r="M99" i="16"/>
  <c r="J99" i="16"/>
  <c r="G99" i="16"/>
  <c r="C99" i="16"/>
  <c r="B99" i="16"/>
  <c r="AB98" i="16"/>
  <c r="Y98" i="16"/>
  <c r="V98" i="16"/>
  <c r="S98" i="16"/>
  <c r="P98" i="16"/>
  <c r="M98" i="16"/>
  <c r="I98" i="16"/>
  <c r="I97" i="16" s="1"/>
  <c r="G98" i="16"/>
  <c r="AA97" i="16"/>
  <c r="X97" i="16"/>
  <c r="U97" i="16"/>
  <c r="R97" i="16"/>
  <c r="O97" i="16"/>
  <c r="L97" i="16"/>
  <c r="F97" i="16"/>
  <c r="AB96" i="16"/>
  <c r="Y96" i="16"/>
  <c r="V96" i="16"/>
  <c r="S96" i="16"/>
  <c r="P96" i="16"/>
  <c r="M96" i="16"/>
  <c r="J96" i="16"/>
  <c r="G96" i="16"/>
  <c r="C96" i="16"/>
  <c r="B96" i="16"/>
  <c r="AA95" i="16"/>
  <c r="X95" i="16"/>
  <c r="U95" i="16"/>
  <c r="R95" i="16"/>
  <c r="O95" i="16"/>
  <c r="L95" i="16"/>
  <c r="I95" i="16"/>
  <c r="F95" i="16"/>
  <c r="AB94" i="16"/>
  <c r="Y94" i="16"/>
  <c r="V94" i="16"/>
  <c r="S94" i="16"/>
  <c r="P94" i="16"/>
  <c r="M94" i="16"/>
  <c r="J94" i="16"/>
  <c r="G94" i="16"/>
  <c r="C94" i="16"/>
  <c r="B94" i="16"/>
  <c r="AB93" i="16"/>
  <c r="Y93" i="16"/>
  <c r="V93" i="16"/>
  <c r="S93" i="16"/>
  <c r="P93" i="16"/>
  <c r="M93" i="16"/>
  <c r="J93" i="16"/>
  <c r="G93" i="16"/>
  <c r="C93" i="16"/>
  <c r="B93" i="16"/>
  <c r="AB92" i="16"/>
  <c r="Y92" i="16"/>
  <c r="V92" i="16"/>
  <c r="S92" i="16"/>
  <c r="P92" i="16"/>
  <c r="M92" i="16"/>
  <c r="J92" i="16"/>
  <c r="G92" i="16"/>
  <c r="C92" i="16"/>
  <c r="B92" i="16"/>
  <c r="AA91" i="16"/>
  <c r="X91" i="16"/>
  <c r="U91" i="16"/>
  <c r="R91" i="16"/>
  <c r="O91" i="16"/>
  <c r="L91" i="16"/>
  <c r="I91" i="16"/>
  <c r="F91" i="16"/>
  <c r="AB88" i="16"/>
  <c r="Y88" i="16"/>
  <c r="V88" i="16"/>
  <c r="S88" i="16"/>
  <c r="P88" i="16"/>
  <c r="M88" i="16"/>
  <c r="J88" i="16"/>
  <c r="G88" i="16"/>
  <c r="C88" i="16"/>
  <c r="B88" i="16"/>
  <c r="X85" i="16"/>
  <c r="L85" i="16"/>
  <c r="O85" i="16"/>
  <c r="AB84" i="16"/>
  <c r="Y84" i="16"/>
  <c r="V84" i="16"/>
  <c r="S84" i="16"/>
  <c r="P84" i="16"/>
  <c r="M84" i="16"/>
  <c r="J84" i="16"/>
  <c r="G84" i="16"/>
  <c r="C84" i="16"/>
  <c r="B84" i="16"/>
  <c r="AB83" i="16"/>
  <c r="Y83" i="16"/>
  <c r="V83" i="16"/>
  <c r="S83" i="16"/>
  <c r="P83" i="16"/>
  <c r="M83" i="16"/>
  <c r="J83" i="16"/>
  <c r="G83" i="16"/>
  <c r="C83" i="16"/>
  <c r="B83" i="16"/>
  <c r="AB82" i="16"/>
  <c r="Y82" i="16"/>
  <c r="V82" i="16"/>
  <c r="S82" i="16"/>
  <c r="P82" i="16"/>
  <c r="M82" i="16"/>
  <c r="J82" i="16"/>
  <c r="G82" i="16"/>
  <c r="C82" i="16"/>
  <c r="B82" i="16"/>
  <c r="AB81" i="16"/>
  <c r="Y81" i="16"/>
  <c r="V81" i="16"/>
  <c r="S81" i="16"/>
  <c r="P81" i="16"/>
  <c r="M81" i="16"/>
  <c r="J81" i="16"/>
  <c r="G81" i="16"/>
  <c r="C81" i="16"/>
  <c r="B81" i="16"/>
  <c r="AB80" i="16"/>
  <c r="Y80" i="16"/>
  <c r="V80" i="16"/>
  <c r="S80" i="16"/>
  <c r="P80" i="16"/>
  <c r="M80" i="16"/>
  <c r="J80" i="16"/>
  <c r="G80" i="16"/>
  <c r="C80" i="16"/>
  <c r="B80" i="16"/>
  <c r="AB79" i="16"/>
  <c r="Y79" i="16"/>
  <c r="V79" i="16"/>
  <c r="S79" i="16"/>
  <c r="P79" i="16"/>
  <c r="M79" i="16"/>
  <c r="J79" i="16"/>
  <c r="G79" i="16"/>
  <c r="C79" i="16"/>
  <c r="B79" i="16"/>
  <c r="AB78" i="16"/>
  <c r="Y78" i="16"/>
  <c r="V78" i="16"/>
  <c r="S78" i="16"/>
  <c r="P78" i="16"/>
  <c r="M78" i="16"/>
  <c r="J78" i="16"/>
  <c r="G78" i="16"/>
  <c r="C78" i="16"/>
  <c r="B78" i="16"/>
  <c r="AB77" i="16"/>
  <c r="Y77" i="16"/>
  <c r="V77" i="16"/>
  <c r="S77" i="16"/>
  <c r="P77" i="16"/>
  <c r="M77" i="16"/>
  <c r="I77" i="16"/>
  <c r="G77" i="16"/>
  <c r="AB76" i="16"/>
  <c r="Y76" i="16"/>
  <c r="V76" i="16"/>
  <c r="S76" i="16"/>
  <c r="P76" i="16"/>
  <c r="M76" i="16"/>
  <c r="J76" i="16"/>
  <c r="G76" i="16"/>
  <c r="C76" i="16"/>
  <c r="B76" i="16"/>
  <c r="AB75" i="16"/>
  <c r="Y75" i="16"/>
  <c r="V75" i="16"/>
  <c r="S75" i="16"/>
  <c r="P75" i="16"/>
  <c r="L75" i="16"/>
  <c r="L73" i="16" s="1"/>
  <c r="J75" i="16"/>
  <c r="G75" i="16"/>
  <c r="AB74" i="16"/>
  <c r="Y74" i="16"/>
  <c r="V74" i="16"/>
  <c r="S74" i="16"/>
  <c r="P74" i="16"/>
  <c r="M74" i="16"/>
  <c r="J74" i="16"/>
  <c r="G74" i="16"/>
  <c r="C74" i="16"/>
  <c r="B74" i="16"/>
  <c r="AA73" i="16"/>
  <c r="AA72" i="16" s="1"/>
  <c r="X73" i="16"/>
  <c r="U73" i="16"/>
  <c r="R73" i="16"/>
  <c r="R72" i="16" s="1"/>
  <c r="O73" i="16"/>
  <c r="O72" i="16" s="1"/>
  <c r="F73" i="16"/>
  <c r="F72" i="16" s="1"/>
  <c r="AB71" i="16"/>
  <c r="Y71" i="16"/>
  <c r="V71" i="16"/>
  <c r="S71" i="16"/>
  <c r="P71" i="16"/>
  <c r="L71" i="16"/>
  <c r="J71" i="16"/>
  <c r="F71" i="16"/>
  <c r="AB70" i="16"/>
  <c r="Y70" i="16"/>
  <c r="V70" i="16"/>
  <c r="S70" i="16"/>
  <c r="P70" i="16"/>
  <c r="L70" i="16"/>
  <c r="I70" i="16"/>
  <c r="G70" i="16"/>
  <c r="AB69" i="16"/>
  <c r="Y69" i="16"/>
  <c r="V69" i="16"/>
  <c r="S69" i="16"/>
  <c r="P69" i="16"/>
  <c r="M69" i="16"/>
  <c r="J69" i="16"/>
  <c r="G69" i="16"/>
  <c r="C69" i="16"/>
  <c r="B69" i="16"/>
  <c r="AB68" i="16"/>
  <c r="Y68" i="16"/>
  <c r="U68" i="16"/>
  <c r="V68" i="16" s="1"/>
  <c r="S68" i="16"/>
  <c r="P68" i="16"/>
  <c r="M68" i="16"/>
  <c r="J68" i="16"/>
  <c r="F68" i="16"/>
  <c r="AB67" i="16"/>
  <c r="Y67" i="16"/>
  <c r="V67" i="16"/>
  <c r="S67" i="16"/>
  <c r="P67" i="16"/>
  <c r="M67" i="16"/>
  <c r="J67" i="16"/>
  <c r="G67" i="16"/>
  <c r="C67" i="16"/>
  <c r="B67" i="16"/>
  <c r="AB66" i="16"/>
  <c r="Y66" i="16"/>
  <c r="V66" i="16"/>
  <c r="S66" i="16"/>
  <c r="P66" i="16"/>
  <c r="M66" i="16"/>
  <c r="J66" i="16"/>
  <c r="G66" i="16"/>
  <c r="C66" i="16"/>
  <c r="B66" i="16"/>
  <c r="AB65" i="16"/>
  <c r="Y65" i="16"/>
  <c r="U65" i="16"/>
  <c r="S65" i="16"/>
  <c r="P65" i="16"/>
  <c r="M65" i="16"/>
  <c r="J65" i="16"/>
  <c r="G65" i="16"/>
  <c r="AB64" i="16"/>
  <c r="Y64" i="16"/>
  <c r="U64" i="16"/>
  <c r="S64" i="16"/>
  <c r="P64" i="16"/>
  <c r="M64" i="16"/>
  <c r="J64" i="16"/>
  <c r="F64" i="16"/>
  <c r="AB63" i="16"/>
  <c r="Y63" i="16"/>
  <c r="V63" i="16"/>
  <c r="S63" i="16"/>
  <c r="P63" i="16"/>
  <c r="M63" i="16"/>
  <c r="J63" i="16"/>
  <c r="G63" i="16"/>
  <c r="C63" i="16"/>
  <c r="B63" i="16"/>
  <c r="AB62" i="16"/>
  <c r="Y62" i="16"/>
  <c r="V62" i="16"/>
  <c r="S62" i="16"/>
  <c r="P62" i="16"/>
  <c r="M62" i="16"/>
  <c r="J62" i="16"/>
  <c r="G62" i="16"/>
  <c r="C62" i="16"/>
  <c r="B62" i="16"/>
  <c r="AB61" i="16"/>
  <c r="Y61" i="16"/>
  <c r="V61" i="16"/>
  <c r="S61" i="16"/>
  <c r="P61" i="16"/>
  <c r="L61" i="16"/>
  <c r="B61" i="16"/>
  <c r="J61" i="16"/>
  <c r="G61" i="16"/>
  <c r="AB60" i="16"/>
  <c r="Y60" i="16"/>
  <c r="V60" i="16"/>
  <c r="S60" i="16"/>
  <c r="P60" i="16"/>
  <c r="L60" i="16"/>
  <c r="C60" i="16" s="1"/>
  <c r="J60" i="16"/>
  <c r="G60" i="16"/>
  <c r="AB59" i="16"/>
  <c r="Y59" i="16"/>
  <c r="V59" i="16"/>
  <c r="S59" i="16"/>
  <c r="P59" i="16"/>
  <c r="L59" i="16"/>
  <c r="C59" i="16" s="1"/>
  <c r="J59" i="16"/>
  <c r="G59" i="16"/>
  <c r="B59" i="16"/>
  <c r="AB58" i="16"/>
  <c r="Y58" i="16"/>
  <c r="V58" i="16"/>
  <c r="S58" i="16"/>
  <c r="P58" i="16"/>
  <c r="I58" i="16"/>
  <c r="G58" i="16"/>
  <c r="AA57" i="16"/>
  <c r="X57" i="16"/>
  <c r="R57" i="16"/>
  <c r="R56" i="16" s="1"/>
  <c r="O57" i="16"/>
  <c r="O56" i="16" s="1"/>
  <c r="AB55" i="16"/>
  <c r="Y55" i="16"/>
  <c r="V55" i="16"/>
  <c r="S55" i="16"/>
  <c r="P55" i="16"/>
  <c r="M55" i="16"/>
  <c r="J55" i="16"/>
  <c r="G55" i="16"/>
  <c r="C55" i="16"/>
  <c r="B55" i="16"/>
  <c r="AB54" i="16"/>
  <c r="Y54" i="16"/>
  <c r="V54" i="16"/>
  <c r="S54" i="16"/>
  <c r="P54" i="16"/>
  <c r="M54" i="16"/>
  <c r="J54" i="16"/>
  <c r="G54" i="16"/>
  <c r="C54" i="16"/>
  <c r="B54" i="16"/>
  <c r="AB53" i="16"/>
  <c r="Y53" i="16"/>
  <c r="V53" i="16"/>
  <c r="S53" i="16"/>
  <c r="P53" i="16"/>
  <c r="M53" i="16"/>
  <c r="J53" i="16"/>
  <c r="G53" i="16"/>
  <c r="C53" i="16"/>
  <c r="B53" i="16"/>
  <c r="AB52" i="16"/>
  <c r="Y52" i="16"/>
  <c r="V52" i="16"/>
  <c r="S52" i="16"/>
  <c r="P52" i="16"/>
  <c r="M52" i="16"/>
  <c r="J52" i="16"/>
  <c r="G52" i="16"/>
  <c r="C52" i="16"/>
  <c r="B52" i="16"/>
  <c r="AB51" i="16"/>
  <c r="Y51" i="16"/>
  <c r="V51" i="16"/>
  <c r="S51" i="16"/>
  <c r="P51" i="16"/>
  <c r="M51" i="16"/>
  <c r="J51" i="16"/>
  <c r="G51" i="16"/>
  <c r="C51" i="16"/>
  <c r="B51" i="16"/>
  <c r="AB50" i="16"/>
  <c r="Y50" i="16"/>
  <c r="V50" i="16"/>
  <c r="S50" i="16"/>
  <c r="P50" i="16"/>
  <c r="M50" i="16"/>
  <c r="J50" i="16"/>
  <c r="G50" i="16"/>
  <c r="C50" i="16"/>
  <c r="B50" i="16"/>
  <c r="AA49" i="16"/>
  <c r="AA48" i="16" s="1"/>
  <c r="X49" i="16"/>
  <c r="U49" i="16"/>
  <c r="R49" i="16"/>
  <c r="R48" i="16" s="1"/>
  <c r="O49" i="16"/>
  <c r="O48" i="16" s="1"/>
  <c r="L49" i="16"/>
  <c r="I49" i="16"/>
  <c r="F49" i="16"/>
  <c r="F48" i="16" s="1"/>
  <c r="AB47" i="16"/>
  <c r="Y47" i="16"/>
  <c r="V47" i="16"/>
  <c r="S47" i="16"/>
  <c r="P47" i="16"/>
  <c r="M47" i="16"/>
  <c r="J47" i="16"/>
  <c r="G47" i="16"/>
  <c r="C47" i="16"/>
  <c r="B47" i="16"/>
  <c r="AB46" i="16"/>
  <c r="Y46" i="16"/>
  <c r="V46" i="16"/>
  <c r="S46" i="16"/>
  <c r="P46" i="16"/>
  <c r="M46" i="16"/>
  <c r="J46" i="16"/>
  <c r="G46" i="16"/>
  <c r="C46" i="16"/>
  <c r="B46" i="16"/>
  <c r="AB45" i="16"/>
  <c r="Y45" i="16"/>
  <c r="V45" i="16"/>
  <c r="R45" i="16"/>
  <c r="P45" i="16"/>
  <c r="M45" i="16"/>
  <c r="J45" i="16"/>
  <c r="G45" i="16"/>
  <c r="AA44" i="16"/>
  <c r="AA43" i="16" s="1"/>
  <c r="X44" i="16"/>
  <c r="X43" i="16" s="1"/>
  <c r="U44" i="16"/>
  <c r="O44" i="16"/>
  <c r="P44" i="16" s="1"/>
  <c r="L44" i="16"/>
  <c r="I44" i="16"/>
  <c r="F44" i="16"/>
  <c r="AB42" i="16"/>
  <c r="Y42" i="16"/>
  <c r="V42" i="16"/>
  <c r="S42" i="16"/>
  <c r="P42" i="16"/>
  <c r="M42" i="16"/>
  <c r="J42" i="16"/>
  <c r="G42" i="16"/>
  <c r="C42" i="16"/>
  <c r="B42" i="16"/>
  <c r="AB40" i="16"/>
  <c r="Y40" i="16"/>
  <c r="U40" i="16"/>
  <c r="U37" i="16" s="1"/>
  <c r="U36" i="16" s="1"/>
  <c r="S40" i="16"/>
  <c r="P40" i="16"/>
  <c r="M40" i="16"/>
  <c r="J40" i="16"/>
  <c r="F40" i="16"/>
  <c r="AB39" i="16"/>
  <c r="Y39" i="16"/>
  <c r="V39" i="16"/>
  <c r="S39" i="16"/>
  <c r="P39" i="16"/>
  <c r="M39" i="16"/>
  <c r="J39" i="16"/>
  <c r="G39" i="16"/>
  <c r="C39" i="16"/>
  <c r="B39" i="16"/>
  <c r="AB38" i="16"/>
  <c r="V38" i="16"/>
  <c r="S38" i="16"/>
  <c r="P38" i="16"/>
  <c r="M38" i="16"/>
  <c r="J38" i="16"/>
  <c r="G38" i="16"/>
  <c r="C38" i="16"/>
  <c r="AA37" i="16"/>
  <c r="R37" i="16"/>
  <c r="R36" i="16" s="1"/>
  <c r="O37" i="16"/>
  <c r="L37" i="16"/>
  <c r="I37" i="16"/>
  <c r="I36" i="16" s="1"/>
  <c r="AA35" i="16"/>
  <c r="AB35" i="16" s="1"/>
  <c r="X35" i="16"/>
  <c r="X23" i="16" s="1"/>
  <c r="U35" i="16"/>
  <c r="S35" i="16"/>
  <c r="P35" i="16"/>
  <c r="M35" i="16"/>
  <c r="J35" i="16"/>
  <c r="G35" i="16"/>
  <c r="AB34" i="16"/>
  <c r="Y34" i="16"/>
  <c r="U34" i="16"/>
  <c r="V34" i="16" s="1"/>
  <c r="S34" i="16"/>
  <c r="P34" i="16"/>
  <c r="M34" i="16"/>
  <c r="J34" i="16"/>
  <c r="F34" i="16"/>
  <c r="F23" i="16" s="1"/>
  <c r="AB33" i="16"/>
  <c r="Y33" i="16"/>
  <c r="U33" i="16"/>
  <c r="V33" i="16" s="1"/>
  <c r="S33" i="16"/>
  <c r="P33" i="16"/>
  <c r="M33" i="16"/>
  <c r="J33" i="16"/>
  <c r="G33" i="16"/>
  <c r="AB32" i="16"/>
  <c r="Y32" i="16"/>
  <c r="V32" i="16"/>
  <c r="S32" i="16"/>
  <c r="P32" i="16"/>
  <c r="M32" i="16"/>
  <c r="J32" i="16"/>
  <c r="G32" i="16"/>
  <c r="C32" i="16"/>
  <c r="B32" i="16"/>
  <c r="AB31" i="16"/>
  <c r="Y31" i="16"/>
  <c r="V31" i="16"/>
  <c r="S31" i="16"/>
  <c r="P31" i="16"/>
  <c r="M31" i="16"/>
  <c r="J31" i="16"/>
  <c r="G31" i="16"/>
  <c r="C31" i="16"/>
  <c r="B31" i="16"/>
  <c r="AB30" i="16"/>
  <c r="Y30" i="16"/>
  <c r="V30" i="16"/>
  <c r="S30" i="16"/>
  <c r="P30" i="16"/>
  <c r="M30" i="16"/>
  <c r="J30" i="16"/>
  <c r="G30" i="16"/>
  <c r="C30" i="16"/>
  <c r="B30" i="16"/>
  <c r="AB29" i="16"/>
  <c r="Y29" i="16"/>
  <c r="V29" i="16"/>
  <c r="S29" i="16"/>
  <c r="P29" i="16"/>
  <c r="M29" i="16"/>
  <c r="J29" i="16"/>
  <c r="G29" i="16"/>
  <c r="C29" i="16"/>
  <c r="B29" i="16"/>
  <c r="AB28" i="16"/>
  <c r="Y28" i="16"/>
  <c r="V28" i="16"/>
  <c r="S28" i="16"/>
  <c r="P28" i="16"/>
  <c r="M28" i="16"/>
  <c r="J28" i="16"/>
  <c r="G28" i="16"/>
  <c r="C28" i="16"/>
  <c r="B28" i="16"/>
  <c r="AB27" i="16"/>
  <c r="Y27" i="16"/>
  <c r="V27" i="16"/>
  <c r="S27" i="16"/>
  <c r="P27" i="16"/>
  <c r="M27" i="16"/>
  <c r="J27" i="16"/>
  <c r="G27" i="16"/>
  <c r="C27" i="16"/>
  <c r="B27" i="16"/>
  <c r="AB26" i="16"/>
  <c r="Y26" i="16"/>
  <c r="V26" i="16"/>
  <c r="S26" i="16"/>
  <c r="P26" i="16"/>
  <c r="M26" i="16"/>
  <c r="J26" i="16"/>
  <c r="G26" i="16"/>
  <c r="C26" i="16"/>
  <c r="B26" i="16"/>
  <c r="AB25" i="16"/>
  <c r="Y25" i="16"/>
  <c r="V25" i="16"/>
  <c r="S25" i="16"/>
  <c r="P25" i="16"/>
  <c r="M25" i="16"/>
  <c r="J25" i="16"/>
  <c r="G25" i="16"/>
  <c r="C25" i="16"/>
  <c r="B25" i="16"/>
  <c r="Y24" i="16"/>
  <c r="V24" i="16"/>
  <c r="S24" i="16"/>
  <c r="P24" i="16"/>
  <c r="M24" i="16"/>
  <c r="J24" i="16"/>
  <c r="G24" i="16"/>
  <c r="B24" i="16"/>
  <c r="R23" i="16"/>
  <c r="O23" i="16"/>
  <c r="L23" i="16"/>
  <c r="I23" i="16"/>
  <c r="AB21" i="16"/>
  <c r="Y21" i="16"/>
  <c r="V21" i="16"/>
  <c r="S21" i="16"/>
  <c r="P21" i="16"/>
  <c r="M21" i="16"/>
  <c r="G21" i="16"/>
  <c r="AB20" i="16"/>
  <c r="Y20" i="16"/>
  <c r="V20" i="16"/>
  <c r="S20" i="16"/>
  <c r="P20" i="16"/>
  <c r="M20" i="16"/>
  <c r="J20" i="16"/>
  <c r="G20" i="16"/>
  <c r="C20" i="16"/>
  <c r="B20" i="16"/>
  <c r="AB19" i="16"/>
  <c r="Y19" i="16"/>
  <c r="V19" i="16"/>
  <c r="S19" i="16"/>
  <c r="P19" i="16"/>
  <c r="M19" i="16"/>
  <c r="J19" i="16"/>
  <c r="AB18" i="16"/>
  <c r="Y18" i="16"/>
  <c r="V18" i="16"/>
  <c r="S18" i="16"/>
  <c r="P18" i="16"/>
  <c r="M18" i="16"/>
  <c r="J18" i="16"/>
  <c r="G18" i="16"/>
  <c r="C18" i="16"/>
  <c r="B18" i="16"/>
  <c r="AB17" i="16"/>
  <c r="Y17" i="16"/>
  <c r="V17" i="16"/>
  <c r="S17" i="16"/>
  <c r="P17" i="16"/>
  <c r="L17" i="16"/>
  <c r="C17" i="16" s="1"/>
  <c r="J17" i="16"/>
  <c r="G17" i="16"/>
  <c r="AB16" i="16"/>
  <c r="Y16" i="16"/>
  <c r="V16" i="16"/>
  <c r="S16" i="16"/>
  <c r="P16" i="16"/>
  <c r="M16" i="16"/>
  <c r="J16" i="16"/>
  <c r="G16" i="16"/>
  <c r="C16" i="16"/>
  <c r="B16" i="16"/>
  <c r="AB15" i="16"/>
  <c r="Y15" i="16"/>
  <c r="V15" i="16"/>
  <c r="S15" i="16"/>
  <c r="P15" i="16"/>
  <c r="M15" i="16"/>
  <c r="J15" i="16"/>
  <c r="G15" i="16"/>
  <c r="C15" i="16"/>
  <c r="B15" i="16"/>
  <c r="AB14" i="16"/>
  <c r="Y14" i="16"/>
  <c r="V14" i="16"/>
  <c r="S14" i="16"/>
  <c r="P14" i="16"/>
  <c r="M14" i="16"/>
  <c r="J14" i="16"/>
  <c r="G14" i="16"/>
  <c r="C14" i="16"/>
  <c r="B14" i="16"/>
  <c r="AB13" i="16"/>
  <c r="Y13" i="16"/>
  <c r="V13" i="16"/>
  <c r="S13" i="16"/>
  <c r="M13" i="16"/>
  <c r="J13" i="16"/>
  <c r="C13" i="16"/>
  <c r="B13" i="16"/>
  <c r="AB12" i="16"/>
  <c r="Y12" i="16"/>
  <c r="V12" i="16"/>
  <c r="S12" i="16"/>
  <c r="P12" i="16"/>
  <c r="M12" i="16"/>
  <c r="J12" i="16"/>
  <c r="G12" i="16"/>
  <c r="C12" i="16"/>
  <c r="B12" i="16"/>
  <c r="AA11" i="16"/>
  <c r="X11" i="16"/>
  <c r="X10" i="16" s="1"/>
  <c r="U11" i="16"/>
  <c r="R11" i="16"/>
  <c r="O11" i="16"/>
  <c r="B297" i="16" l="1"/>
  <c r="B34" i="16"/>
  <c r="B77" i="16"/>
  <c r="G143" i="16"/>
  <c r="G297" i="16"/>
  <c r="B75" i="16"/>
  <c r="B271" i="16"/>
  <c r="AA23" i="16"/>
  <c r="AA22" i="16" s="1"/>
  <c r="AB22" i="16" s="1"/>
  <c r="L57" i="16"/>
  <c r="C197" i="16"/>
  <c r="C35" i="16"/>
  <c r="J77" i="16"/>
  <c r="D77" i="16" s="1"/>
  <c r="B106" i="16"/>
  <c r="T226" i="16"/>
  <c r="T213" i="16" s="1"/>
  <c r="V218" i="16"/>
  <c r="X226" i="16"/>
  <c r="L289" i="16"/>
  <c r="L288" i="16" s="1"/>
  <c r="B108" i="16"/>
  <c r="B40" i="16"/>
  <c r="B132" i="16"/>
  <c r="S136" i="16"/>
  <c r="B201" i="16"/>
  <c r="C24" i="16"/>
  <c r="AB24" i="16"/>
  <c r="J58" i="16"/>
  <c r="D58" i="16" s="1"/>
  <c r="G68" i="16"/>
  <c r="D68" i="16" s="1"/>
  <c r="C229" i="16"/>
  <c r="E57" i="16"/>
  <c r="E56" i="16" s="1"/>
  <c r="B35" i="16"/>
  <c r="Y115" i="16"/>
  <c r="Y152" i="16"/>
  <c r="G180" i="16"/>
  <c r="P105" i="16"/>
  <c r="S211" i="16"/>
  <c r="V293" i="16"/>
  <c r="V241" i="16"/>
  <c r="M160" i="16"/>
  <c r="G211" i="16"/>
  <c r="M222" i="16"/>
  <c r="AB289" i="16"/>
  <c r="T276" i="16"/>
  <c r="S115" i="16"/>
  <c r="V126" i="16"/>
  <c r="J269" i="16"/>
  <c r="Y95" i="16"/>
  <c r="AB95" i="16"/>
  <c r="Y97" i="16"/>
  <c r="S48" i="16"/>
  <c r="AA288" i="16"/>
  <c r="AB288" i="16" s="1"/>
  <c r="P23" i="16"/>
  <c r="O43" i="16"/>
  <c r="AB110" i="16"/>
  <c r="AB57" i="16"/>
  <c r="Y143" i="16"/>
  <c r="AB11" i="16"/>
  <c r="M44" i="16"/>
  <c r="V95" i="16"/>
  <c r="G198" i="16"/>
  <c r="S218" i="16"/>
  <c r="Y258" i="16"/>
  <c r="M262" i="16"/>
  <c r="Y269" i="16"/>
  <c r="Y273" i="16"/>
  <c r="M278" i="16"/>
  <c r="I151" i="16"/>
  <c r="V198" i="16"/>
  <c r="J246" i="16"/>
  <c r="O264" i="16"/>
  <c r="V269" i="16"/>
  <c r="V273" i="16"/>
  <c r="V296" i="16"/>
  <c r="E90" i="16"/>
  <c r="E264" i="16"/>
  <c r="O22" i="16"/>
  <c r="P22" i="16" s="1"/>
  <c r="Y211" i="16"/>
  <c r="S222" i="16"/>
  <c r="W90" i="16"/>
  <c r="W264" i="16"/>
  <c r="Z264" i="16"/>
  <c r="S11" i="16"/>
  <c r="S226" i="16"/>
  <c r="AB156" i="16"/>
  <c r="V11" i="16"/>
  <c r="X102" i="16"/>
  <c r="J156" i="16"/>
  <c r="U292" i="16"/>
  <c r="V292" i="16" s="1"/>
  <c r="N264" i="16"/>
  <c r="Q264" i="16"/>
  <c r="P211" i="16"/>
  <c r="S273" i="16"/>
  <c r="S289" i="16"/>
  <c r="G293" i="16"/>
  <c r="P115" i="16"/>
  <c r="L151" i="16"/>
  <c r="AB115" i="16"/>
  <c r="Y262" i="16"/>
  <c r="M269" i="16"/>
  <c r="J23" i="16"/>
  <c r="G91" i="16"/>
  <c r="V105" i="16"/>
  <c r="J129" i="16"/>
  <c r="Y156" i="16"/>
  <c r="V160" i="16"/>
  <c r="P241" i="16"/>
  <c r="AB241" i="16"/>
  <c r="P262" i="16"/>
  <c r="AB262" i="16"/>
  <c r="N90" i="16"/>
  <c r="T264" i="16"/>
  <c r="Z90" i="16"/>
  <c r="I90" i="16"/>
  <c r="U90" i="16"/>
  <c r="M97" i="16"/>
  <c r="G105" i="16"/>
  <c r="Y105" i="16"/>
  <c r="F114" i="16"/>
  <c r="Y126" i="16"/>
  <c r="AB129" i="16"/>
  <c r="J160" i="16"/>
  <c r="G168" i="16"/>
  <c r="J203" i="16"/>
  <c r="J222" i="16"/>
  <c r="V222" i="16"/>
  <c r="M255" i="16"/>
  <c r="Y255" i="16"/>
  <c r="L264" i="16"/>
  <c r="X264" i="16"/>
  <c r="P277" i="16"/>
  <c r="AB278" i="16"/>
  <c r="V282" i="16"/>
  <c r="K90" i="16"/>
  <c r="K264" i="16"/>
  <c r="M282" i="16"/>
  <c r="E151" i="16"/>
  <c r="B222" i="16"/>
  <c r="H264" i="16"/>
  <c r="AB267" i="16"/>
  <c r="AA264" i="16"/>
  <c r="G49" i="16"/>
  <c r="L90" i="16"/>
  <c r="X90" i="16"/>
  <c r="Y90" i="16" s="1"/>
  <c r="P126" i="16"/>
  <c r="AA151" i="16"/>
  <c r="V180" i="16"/>
  <c r="M246" i="16"/>
  <c r="F264" i="16"/>
  <c r="R264" i="16"/>
  <c r="J296" i="16"/>
  <c r="Z114" i="16"/>
  <c r="P11" i="16"/>
  <c r="P85" i="16"/>
  <c r="P91" i="16"/>
  <c r="O90" i="16"/>
  <c r="AB91" i="16"/>
  <c r="AA90" i="16"/>
  <c r="I264" i="16"/>
  <c r="J264" i="16" s="1"/>
  <c r="U264" i="16"/>
  <c r="V264" i="16" s="1"/>
  <c r="M293" i="16"/>
  <c r="H90" i="16"/>
  <c r="J90" i="16" s="1"/>
  <c r="N102" i="16"/>
  <c r="T90" i="16"/>
  <c r="Z102" i="16"/>
  <c r="R10" i="16"/>
  <c r="S10" i="16" s="1"/>
  <c r="S91" i="16"/>
  <c r="R90" i="16"/>
  <c r="F90" i="16"/>
  <c r="V97" i="16"/>
  <c r="AB103" i="16"/>
  <c r="J152" i="16"/>
  <c r="Y160" i="16"/>
  <c r="V214" i="16"/>
  <c r="P218" i="16"/>
  <c r="AB218" i="16"/>
  <c r="S246" i="16"/>
  <c r="K102" i="16"/>
  <c r="K114" i="16"/>
  <c r="B95" i="16"/>
  <c r="Q90" i="16"/>
  <c r="Q213" i="16"/>
  <c r="S262" i="16"/>
  <c r="W213" i="16"/>
  <c r="S258" i="16"/>
  <c r="P222" i="16"/>
  <c r="AB222" i="16"/>
  <c r="S282" i="16"/>
  <c r="F292" i="16"/>
  <c r="G292" i="16" s="1"/>
  <c r="M296" i="16"/>
  <c r="K57" i="16"/>
  <c r="K56" i="16" s="1"/>
  <c r="K213" i="16"/>
  <c r="Q114" i="16"/>
  <c r="AB273" i="16"/>
  <c r="S241" i="16"/>
  <c r="U23" i="16"/>
  <c r="U22" i="16" s="1"/>
  <c r="S49" i="16"/>
  <c r="P56" i="16"/>
  <c r="M75" i="16"/>
  <c r="D75" i="16" s="1"/>
  <c r="S129" i="16"/>
  <c r="Y198" i="16"/>
  <c r="AB203" i="16"/>
  <c r="S204" i="16"/>
  <c r="D204" i="16" s="1"/>
  <c r="J211" i="16"/>
  <c r="Y11" i="16"/>
  <c r="I73" i="16"/>
  <c r="C73" i="16" s="1"/>
  <c r="S73" i="16"/>
  <c r="C77" i="16"/>
  <c r="P95" i="16"/>
  <c r="C98" i="16"/>
  <c r="B113" i="16"/>
  <c r="M115" i="16"/>
  <c r="B136" i="16"/>
  <c r="X151" i="16"/>
  <c r="M152" i="16"/>
  <c r="R203" i="16"/>
  <c r="S203" i="16" s="1"/>
  <c r="M241" i="16"/>
  <c r="X240" i="16"/>
  <c r="J258" i="16"/>
  <c r="P273" i="16"/>
  <c r="G281" i="16"/>
  <c r="G289" i="16"/>
  <c r="F296" i="16"/>
  <c r="C296" i="16" s="1"/>
  <c r="H102" i="16"/>
  <c r="H151" i="16"/>
  <c r="N151" i="16"/>
  <c r="P288" i="16"/>
  <c r="V156" i="16"/>
  <c r="Q276" i="16"/>
  <c r="M23" i="16"/>
  <c r="C75" i="16"/>
  <c r="M95" i="16"/>
  <c r="B104" i="16"/>
  <c r="B123" i="16"/>
  <c r="U151" i="16"/>
  <c r="S161" i="16"/>
  <c r="D161" i="16" s="1"/>
  <c r="J21" i="16"/>
  <c r="D21" i="16" s="1"/>
  <c r="P43" i="16"/>
  <c r="AB43" i="16"/>
  <c r="P57" i="16"/>
  <c r="C68" i="16"/>
  <c r="V73" i="16"/>
  <c r="J95" i="16"/>
  <c r="Y103" i="16"/>
  <c r="J110" i="16"/>
  <c r="C113" i="16"/>
  <c r="M123" i="16"/>
  <c r="D123" i="16" s="1"/>
  <c r="AB160" i="16"/>
  <c r="U167" i="16"/>
  <c r="G267" i="16"/>
  <c r="L277" i="16"/>
  <c r="L276" i="16" s="1"/>
  <c r="G282" i="16"/>
  <c r="M291" i="16"/>
  <c r="D291" i="16" s="1"/>
  <c r="M110" i="16"/>
  <c r="M284" i="16"/>
  <c r="N213" i="16"/>
  <c r="Q102" i="16"/>
  <c r="Q156" i="16"/>
  <c r="B156" i="16" s="1"/>
  <c r="B68" i="16"/>
  <c r="Z151" i="16"/>
  <c r="Y246" i="16"/>
  <c r="V65" i="16"/>
  <c r="D65" i="16" s="1"/>
  <c r="C65" i="16"/>
  <c r="O102" i="16"/>
  <c r="P103" i="16"/>
  <c r="B70" i="16"/>
  <c r="J70" i="16"/>
  <c r="F11" i="16"/>
  <c r="G11" i="16" s="1"/>
  <c r="G19" i="16"/>
  <c r="D19" i="16" s="1"/>
  <c r="AB44" i="16"/>
  <c r="I57" i="16"/>
  <c r="I56" i="16" s="1"/>
  <c r="O151" i="16"/>
  <c r="J293" i="16"/>
  <c r="I292" i="16"/>
  <c r="U295" i="16"/>
  <c r="V295" i="16" s="1"/>
  <c r="M156" i="16"/>
  <c r="K151" i="16"/>
  <c r="Q160" i="16"/>
  <c r="B160" i="16" s="1"/>
  <c r="B161" i="16"/>
  <c r="Y91" i="16"/>
  <c r="Y129" i="16"/>
  <c r="L226" i="16"/>
  <c r="M226" i="16" s="1"/>
  <c r="M233" i="16"/>
  <c r="J262" i="16"/>
  <c r="C262" i="16"/>
  <c r="G103" i="16"/>
  <c r="C157" i="16"/>
  <c r="R156" i="16"/>
  <c r="C156" i="16" s="1"/>
  <c r="O213" i="16"/>
  <c r="B71" i="16"/>
  <c r="L129" i="16"/>
  <c r="C129" i="16" s="1"/>
  <c r="M132" i="16"/>
  <c r="D132" i="16" s="1"/>
  <c r="C132" i="16"/>
  <c r="C231" i="16"/>
  <c r="F226" i="16"/>
  <c r="F213" i="16" s="1"/>
  <c r="K258" i="16"/>
  <c r="K240" i="16" s="1"/>
  <c r="B259" i="16"/>
  <c r="I11" i="16"/>
  <c r="I10" i="16" s="1"/>
  <c r="G86" i="16"/>
  <c r="C108" i="16"/>
  <c r="L105" i="16"/>
  <c r="M105" i="16" s="1"/>
  <c r="P110" i="16"/>
  <c r="C196" i="16"/>
  <c r="S196" i="16"/>
  <c r="D196" i="16" s="1"/>
  <c r="K85" i="16"/>
  <c r="M85" i="16" s="1"/>
  <c r="M71" i="16"/>
  <c r="AB168" i="16"/>
  <c r="AA277" i="16"/>
  <c r="AB277" i="16" s="1"/>
  <c r="U284" i="16"/>
  <c r="V284" i="16" s="1"/>
  <c r="C297" i="16"/>
  <c r="M203" i="16"/>
  <c r="E114" i="16"/>
  <c r="E226" i="16"/>
  <c r="E213" i="16" s="1"/>
  <c r="N114" i="16"/>
  <c r="P180" i="16"/>
  <c r="P255" i="16"/>
  <c r="S37" i="16"/>
  <c r="S56" i="16"/>
  <c r="S293" i="16"/>
  <c r="V129" i="16"/>
  <c r="Y110" i="16"/>
  <c r="W240" i="16"/>
  <c r="Y241" i="16"/>
  <c r="B273" i="16"/>
  <c r="I22" i="16"/>
  <c r="J22" i="16" s="1"/>
  <c r="S23" i="16"/>
  <c r="Y35" i="16"/>
  <c r="Y44" i="16"/>
  <c r="C49" i="16"/>
  <c r="AA56" i="16"/>
  <c r="AB56" i="16" s="1"/>
  <c r="M60" i="16"/>
  <c r="D60" i="16" s="1"/>
  <c r="AA85" i="16"/>
  <c r="AB85" i="16" s="1"/>
  <c r="F102" i="16"/>
  <c r="S143" i="16"/>
  <c r="R160" i="16"/>
  <c r="P168" i="16"/>
  <c r="P203" i="16"/>
  <c r="Y218" i="16"/>
  <c r="V262" i="16"/>
  <c r="P278" i="16"/>
  <c r="C293" i="16"/>
  <c r="M295" i="16"/>
  <c r="G73" i="16"/>
  <c r="E102" i="16"/>
  <c r="P226" i="16"/>
  <c r="S72" i="16"/>
  <c r="Q240" i="16"/>
  <c r="T23" i="16"/>
  <c r="T22" i="16" s="1"/>
  <c r="B22" i="16" s="1"/>
  <c r="T57" i="16"/>
  <c r="T56" i="16" s="1"/>
  <c r="W151" i="16"/>
  <c r="Y295" i="16"/>
  <c r="AB198" i="16"/>
  <c r="AB246" i="16"/>
  <c r="J126" i="16"/>
  <c r="I167" i="16"/>
  <c r="G203" i="16"/>
  <c r="AB211" i="16"/>
  <c r="M273" i="16"/>
  <c r="U281" i="16"/>
  <c r="V281" i="16" s="1"/>
  <c r="R288" i="16"/>
  <c r="S288" i="16" s="1"/>
  <c r="M126" i="16"/>
  <c r="G97" i="16"/>
  <c r="H57" i="16"/>
  <c r="H56" i="16" s="1"/>
  <c r="P160" i="16"/>
  <c r="S97" i="16"/>
  <c r="S159" i="16"/>
  <c r="D159" i="16" s="1"/>
  <c r="Q180" i="16"/>
  <c r="B180" i="16" s="1"/>
  <c r="T151" i="16"/>
  <c r="W102" i="16"/>
  <c r="Y284" i="16"/>
  <c r="V255" i="16"/>
  <c r="T240" i="16"/>
  <c r="J255" i="16"/>
  <c r="E240" i="16"/>
  <c r="H240" i="16"/>
  <c r="N240" i="16"/>
  <c r="J36" i="16"/>
  <c r="N9" i="16"/>
  <c r="Q36" i="16"/>
  <c r="S36" i="16" s="1"/>
  <c r="V143" i="16"/>
  <c r="C143" i="16"/>
  <c r="T114" i="16"/>
  <c r="W114" i="16"/>
  <c r="J143" i="16"/>
  <c r="H114" i="16"/>
  <c r="R114" i="16"/>
  <c r="O114" i="16"/>
  <c r="D116" i="16"/>
  <c r="K167" i="16"/>
  <c r="T167" i="16"/>
  <c r="W167" i="16"/>
  <c r="Z167" i="16"/>
  <c r="V203" i="16"/>
  <c r="D224" i="16"/>
  <c r="F167" i="16"/>
  <c r="E167" i="16"/>
  <c r="D27" i="16"/>
  <c r="D244" i="16"/>
  <c r="H167" i="16"/>
  <c r="N167" i="16"/>
  <c r="Z9" i="16"/>
  <c r="Z213" i="16"/>
  <c r="Z276" i="16"/>
  <c r="B38" i="16"/>
  <c r="AB49" i="16"/>
  <c r="D81" i="16"/>
  <c r="AB214" i="16"/>
  <c r="D280" i="16"/>
  <c r="Z240" i="16"/>
  <c r="AB48" i="16"/>
  <c r="AB73" i="16"/>
  <c r="AB143" i="16"/>
  <c r="B237" i="16"/>
  <c r="AB72" i="16"/>
  <c r="D119" i="16"/>
  <c r="D144" i="16"/>
  <c r="W9" i="16"/>
  <c r="W276" i="16"/>
  <c r="D51" i="16"/>
  <c r="D53" i="16"/>
  <c r="D69" i="16"/>
  <c r="D78" i="16"/>
  <c r="Y278" i="16"/>
  <c r="Y289" i="16"/>
  <c r="Y43" i="16"/>
  <c r="D94" i="16"/>
  <c r="D164" i="16"/>
  <c r="Y288" i="16"/>
  <c r="Y85" i="16"/>
  <c r="Y180" i="16"/>
  <c r="D294" i="16"/>
  <c r="Y296" i="16"/>
  <c r="V110" i="16"/>
  <c r="T102" i="16"/>
  <c r="D13" i="16"/>
  <c r="V36" i="16"/>
  <c r="B33" i="16"/>
  <c r="V37" i="16"/>
  <c r="V113" i="16"/>
  <c r="D113" i="16" s="1"/>
  <c r="V152" i="16"/>
  <c r="D176" i="16"/>
  <c r="D205" i="16"/>
  <c r="V211" i="16"/>
  <c r="D287" i="16"/>
  <c r="D83" i="16"/>
  <c r="D107" i="16"/>
  <c r="D134" i="16"/>
  <c r="B187" i="16"/>
  <c r="D216" i="16"/>
  <c r="B45" i="16"/>
  <c r="S157" i="16"/>
  <c r="D157" i="16" s="1"/>
  <c r="S267" i="16"/>
  <c r="D228" i="16"/>
  <c r="D242" i="16"/>
  <c r="S255" i="16"/>
  <c r="S292" i="16"/>
  <c r="S57" i="16"/>
  <c r="B157" i="16"/>
  <c r="S187" i="16"/>
  <c r="D187" i="16" s="1"/>
  <c r="S198" i="16"/>
  <c r="N276" i="16"/>
  <c r="D32" i="16"/>
  <c r="D46" i="16"/>
  <c r="P72" i="16"/>
  <c r="P143" i="16"/>
  <c r="D186" i="16"/>
  <c r="D188" i="16"/>
  <c r="D192" i="16"/>
  <c r="P246" i="16"/>
  <c r="P296" i="16"/>
  <c r="P48" i="16"/>
  <c r="D15" i="16"/>
  <c r="D62" i="16"/>
  <c r="P73" i="16"/>
  <c r="D125" i="16"/>
  <c r="D146" i="16"/>
  <c r="D150" i="16"/>
  <c r="D248" i="16"/>
  <c r="P289" i="16"/>
  <c r="P49" i="16"/>
  <c r="D128" i="16"/>
  <c r="D207" i="16"/>
  <c r="P267" i="16"/>
  <c r="D283" i="16"/>
  <c r="B73" i="16"/>
  <c r="H72" i="16"/>
  <c r="H213" i="16"/>
  <c r="H276" i="16"/>
  <c r="D122" i="16"/>
  <c r="J37" i="16"/>
  <c r="J97" i="16"/>
  <c r="J214" i="16"/>
  <c r="J282" i="16"/>
  <c r="J284" i="16"/>
  <c r="D112" i="16"/>
  <c r="J295" i="16"/>
  <c r="D39" i="16"/>
  <c r="B98" i="16"/>
  <c r="J98" i="16"/>
  <c r="D98" i="16" s="1"/>
  <c r="D109" i="16"/>
  <c r="D120" i="16"/>
  <c r="D155" i="16"/>
  <c r="D163" i="16"/>
  <c r="D165" i="16"/>
  <c r="D169" i="16"/>
  <c r="D171" i="16"/>
  <c r="D209" i="16"/>
  <c r="D133" i="16"/>
  <c r="D138" i="16"/>
  <c r="D140" i="16"/>
  <c r="D202" i="16"/>
  <c r="D227" i="16"/>
  <c r="D274" i="16"/>
  <c r="E276" i="16"/>
  <c r="E9" i="16"/>
  <c r="G231" i="16"/>
  <c r="D231" i="16" s="1"/>
  <c r="D16" i="16"/>
  <c r="D124" i="16"/>
  <c r="D190" i="16"/>
  <c r="D220" i="16"/>
  <c r="D236" i="16"/>
  <c r="D257" i="16"/>
  <c r="D230" i="16"/>
  <c r="G271" i="16"/>
  <c r="D271" i="16" s="1"/>
  <c r="B19" i="16"/>
  <c r="D25" i="16"/>
  <c r="G44" i="16"/>
  <c r="D63" i="16"/>
  <c r="D130" i="16"/>
  <c r="D136" i="16"/>
  <c r="D141" i="16"/>
  <c r="D154" i="16"/>
  <c r="D182" i="16"/>
  <c r="D232" i="16"/>
  <c r="D234" i="16"/>
  <c r="D252" i="16"/>
  <c r="G273" i="16"/>
  <c r="K276" i="16"/>
  <c r="D12" i="16"/>
  <c r="M59" i="16"/>
  <c r="D59" i="16" s="1"/>
  <c r="D80" i="16"/>
  <c r="D82" i="16"/>
  <c r="D96" i="16"/>
  <c r="B110" i="16"/>
  <c r="B126" i="16"/>
  <c r="D139" i="16"/>
  <c r="D142" i="16"/>
  <c r="D175" i="16"/>
  <c r="D177" i="16"/>
  <c r="D181" i="16"/>
  <c r="D200" i="16"/>
  <c r="D219" i="16"/>
  <c r="D250" i="16"/>
  <c r="D263" i="16"/>
  <c r="D272" i="16"/>
  <c r="D290" i="16"/>
  <c r="D31" i="16"/>
  <c r="D50" i="16"/>
  <c r="D66" i="16"/>
  <c r="D74" i="16"/>
  <c r="D93" i="16"/>
  <c r="D145" i="16"/>
  <c r="D162" i="16"/>
  <c r="D172" i="16"/>
  <c r="D191" i="16"/>
  <c r="D193" i="16"/>
  <c r="D199" i="16"/>
  <c r="D212" i="16"/>
  <c r="D215" i="16"/>
  <c r="D217" i="16"/>
  <c r="M218" i="16"/>
  <c r="D249" i="16"/>
  <c r="D251" i="16"/>
  <c r="D268" i="16"/>
  <c r="D275" i="16"/>
  <c r="D14" i="16"/>
  <c r="B17" i="16"/>
  <c r="M17" i="16"/>
  <c r="D17" i="16" s="1"/>
  <c r="D18" i="16"/>
  <c r="D20" i="16"/>
  <c r="D24" i="16"/>
  <c r="D26" i="16"/>
  <c r="D29" i="16"/>
  <c r="D30" i="16"/>
  <c r="D54" i="16"/>
  <c r="D76" i="16"/>
  <c r="M91" i="16"/>
  <c r="D210" i="16"/>
  <c r="D279" i="16"/>
  <c r="B285" i="16"/>
  <c r="D297" i="16"/>
  <c r="Y23" i="16"/>
  <c r="X22" i="16"/>
  <c r="Y22" i="16" s="1"/>
  <c r="G23" i="16"/>
  <c r="F22" i="16"/>
  <c r="B21" i="16"/>
  <c r="Y73" i="16"/>
  <c r="X72" i="16"/>
  <c r="Y72" i="16" s="1"/>
  <c r="I85" i="16"/>
  <c r="J85" i="16" s="1"/>
  <c r="J91" i="16"/>
  <c r="AB97" i="16"/>
  <c r="S103" i="16"/>
  <c r="J218" i="16"/>
  <c r="B218" i="16"/>
  <c r="S296" i="16"/>
  <c r="R295" i="16"/>
  <c r="S295" i="16" s="1"/>
  <c r="O10" i="16"/>
  <c r="AA10" i="16"/>
  <c r="L11" i="16"/>
  <c r="C19" i="16"/>
  <c r="R22" i="16"/>
  <c r="S22" i="16" s="1"/>
  <c r="AB23" i="16"/>
  <c r="D33" i="16"/>
  <c r="V35" i="16"/>
  <c r="B37" i="16"/>
  <c r="M37" i="16"/>
  <c r="Y38" i="16"/>
  <c r="D38" i="16" s="1"/>
  <c r="X37" i="16"/>
  <c r="V40" i="16"/>
  <c r="B44" i="16"/>
  <c r="B43" i="16"/>
  <c r="V44" i="16"/>
  <c r="U43" i="16"/>
  <c r="V43" i="16" s="1"/>
  <c r="M49" i="16"/>
  <c r="L48" i="16"/>
  <c r="M48" i="16" s="1"/>
  <c r="V49" i="16"/>
  <c r="D55" i="16"/>
  <c r="C61" i="16"/>
  <c r="M61" i="16"/>
  <c r="D61" i="16" s="1"/>
  <c r="G64" i="16"/>
  <c r="D67" i="16"/>
  <c r="B86" i="16"/>
  <c r="B91" i="16"/>
  <c r="G95" i="16"/>
  <c r="D99" i="16"/>
  <c r="AA114" i="16"/>
  <c r="J115" i="16"/>
  <c r="I114" i="16"/>
  <c r="C115" i="16"/>
  <c r="G160" i="16"/>
  <c r="R168" i="16"/>
  <c r="C168" i="16" s="1"/>
  <c r="S173" i="16"/>
  <c r="D173" i="16" s="1"/>
  <c r="C173" i="16"/>
  <c r="G40" i="16"/>
  <c r="C40" i="16"/>
  <c r="S45" i="16"/>
  <c r="D45" i="16" s="1"/>
  <c r="C45" i="16"/>
  <c r="R44" i="16"/>
  <c r="C44" i="16" s="1"/>
  <c r="L56" i="16"/>
  <c r="M73" i="16"/>
  <c r="L72" i="16"/>
  <c r="M72" i="16" s="1"/>
  <c r="U85" i="16"/>
  <c r="V85" i="16" s="1"/>
  <c r="V91" i="16"/>
  <c r="C97" i="16"/>
  <c r="P97" i="16"/>
  <c r="C104" i="16"/>
  <c r="L103" i="16"/>
  <c r="M104" i="16"/>
  <c r="D104" i="16" s="1"/>
  <c r="AB105" i="16"/>
  <c r="AA102" i="16"/>
  <c r="B115" i="16"/>
  <c r="G115" i="16"/>
  <c r="P156" i="16"/>
  <c r="Y203" i="16"/>
  <c r="M211" i="16"/>
  <c r="B261" i="16"/>
  <c r="G261" i="16"/>
  <c r="J44" i="16"/>
  <c r="I43" i="16"/>
  <c r="J43" i="16" s="1"/>
  <c r="B64" i="16"/>
  <c r="U10" i="16"/>
  <c r="L22" i="16"/>
  <c r="M22" i="16" s="1"/>
  <c r="D28" i="16"/>
  <c r="C33" i="16"/>
  <c r="G34" i="16"/>
  <c r="D34" i="16" s="1"/>
  <c r="C34" i="16"/>
  <c r="F37" i="16"/>
  <c r="P37" i="16"/>
  <c r="O36" i="16"/>
  <c r="P36" i="16" s="1"/>
  <c r="AB37" i="16"/>
  <c r="AA36" i="16"/>
  <c r="AB36" i="16" s="1"/>
  <c r="D42" i="16"/>
  <c r="L43" i="16"/>
  <c r="M43" i="16" s="1"/>
  <c r="D47" i="16"/>
  <c r="B49" i="16"/>
  <c r="J49" i="16"/>
  <c r="Y49" i="16"/>
  <c r="X48" i="16"/>
  <c r="Y48" i="16" s="1"/>
  <c r="D52" i="16"/>
  <c r="Y57" i="16"/>
  <c r="X56" i="16"/>
  <c r="Y56" i="16" s="1"/>
  <c r="B58" i="16"/>
  <c r="V64" i="16"/>
  <c r="U57" i="16"/>
  <c r="M70" i="16"/>
  <c r="G71" i="16"/>
  <c r="C71" i="16"/>
  <c r="D79" i="16"/>
  <c r="D84" i="16"/>
  <c r="D88" i="16"/>
  <c r="D92" i="16"/>
  <c r="S95" i="16"/>
  <c r="B97" i="16"/>
  <c r="V103" i="16"/>
  <c r="U102" i="16"/>
  <c r="D118" i="16"/>
  <c r="AB126" i="16"/>
  <c r="P152" i="16"/>
  <c r="B152" i="16"/>
  <c r="M198" i="16"/>
  <c r="B241" i="16"/>
  <c r="G241" i="16"/>
  <c r="AB255" i="16"/>
  <c r="B103" i="16"/>
  <c r="J103" i="16"/>
  <c r="I102" i="16"/>
  <c r="B105" i="16"/>
  <c r="J105" i="16"/>
  <c r="S106" i="16"/>
  <c r="D106" i="16" s="1"/>
  <c r="C106" i="16"/>
  <c r="R105" i="16"/>
  <c r="S110" i="16"/>
  <c r="D111" i="16"/>
  <c r="S126" i="16"/>
  <c r="D127" i="16"/>
  <c r="P129" i="16"/>
  <c r="D137" i="16"/>
  <c r="G152" i="16"/>
  <c r="C152" i="16"/>
  <c r="F151" i="16"/>
  <c r="G156" i="16"/>
  <c r="B198" i="16"/>
  <c r="J198" i="16"/>
  <c r="P201" i="16"/>
  <c r="D201" i="16" s="1"/>
  <c r="O198" i="16"/>
  <c r="C198" i="16" s="1"/>
  <c r="C201" i="16"/>
  <c r="V235" i="16"/>
  <c r="D235" i="16" s="1"/>
  <c r="C235" i="16"/>
  <c r="G255" i="16"/>
  <c r="C255" i="16"/>
  <c r="F240" i="16"/>
  <c r="S269" i="16"/>
  <c r="L36" i="16"/>
  <c r="M36" i="16" s="1"/>
  <c r="F43" i="16"/>
  <c r="I48" i="16"/>
  <c r="U48" i="16"/>
  <c r="V48" i="16" s="1"/>
  <c r="F57" i="16"/>
  <c r="C58" i="16"/>
  <c r="C64" i="16"/>
  <c r="C70" i="16"/>
  <c r="U72" i="16"/>
  <c r="V72" i="16" s="1"/>
  <c r="F85" i="16"/>
  <c r="R85" i="16"/>
  <c r="S85" i="16" s="1"/>
  <c r="C86" i="16"/>
  <c r="C91" i="16"/>
  <c r="C95" i="16"/>
  <c r="M108" i="16"/>
  <c r="D108" i="16" s="1"/>
  <c r="G110" i="16"/>
  <c r="C110" i="16"/>
  <c r="X114" i="16"/>
  <c r="D121" i="16"/>
  <c r="G126" i="16"/>
  <c r="C126" i="16"/>
  <c r="B129" i="16"/>
  <c r="D135" i="16"/>
  <c r="D147" i="16"/>
  <c r="AB152" i="16"/>
  <c r="D153" i="16"/>
  <c r="D158" i="16"/>
  <c r="D166" i="16"/>
  <c r="AA167" i="16"/>
  <c r="M168" i="16"/>
  <c r="L167" i="16"/>
  <c r="Y168" i="16"/>
  <c r="X167" i="16"/>
  <c r="D170" i="16"/>
  <c r="M180" i="16"/>
  <c r="S194" i="16"/>
  <c r="D194" i="16" s="1"/>
  <c r="C194" i="16"/>
  <c r="D197" i="16"/>
  <c r="S214" i="16"/>
  <c r="R213" i="16"/>
  <c r="J233" i="16"/>
  <c r="I226" i="16"/>
  <c r="C233" i="16"/>
  <c r="V246" i="16"/>
  <c r="B246" i="16"/>
  <c r="AB282" i="16"/>
  <c r="AA281" i="16"/>
  <c r="C282" i="16"/>
  <c r="G285" i="16"/>
  <c r="C285" i="16"/>
  <c r="F284" i="16"/>
  <c r="V115" i="16"/>
  <c r="U114" i="16"/>
  <c r="D117" i="16"/>
  <c r="B143" i="16"/>
  <c r="M143" i="16"/>
  <c r="S152" i="16"/>
  <c r="J168" i="16"/>
  <c r="B168" i="16"/>
  <c r="V168" i="16"/>
  <c r="J180" i="16"/>
  <c r="AB180" i="16"/>
  <c r="D185" i="16"/>
  <c r="B214" i="16"/>
  <c r="P214" i="16"/>
  <c r="G222" i="16"/>
  <c r="C222" i="16"/>
  <c r="J241" i="16"/>
  <c r="C241" i="16"/>
  <c r="B255" i="16"/>
  <c r="V261" i="16"/>
  <c r="C261" i="16"/>
  <c r="U258" i="16"/>
  <c r="V258" i="16" s="1"/>
  <c r="S281" i="16"/>
  <c r="R180" i="16"/>
  <c r="D189" i="16"/>
  <c r="B203" i="16"/>
  <c r="Y214" i="16"/>
  <c r="X213" i="16"/>
  <c r="D221" i="16"/>
  <c r="D223" i="16"/>
  <c r="B233" i="16"/>
  <c r="D239" i="16"/>
  <c r="R240" i="16"/>
  <c r="D243" i="16"/>
  <c r="G246" i="16"/>
  <c r="C246" i="16"/>
  <c r="D254" i="16"/>
  <c r="D256" i="16"/>
  <c r="P258" i="16"/>
  <c r="O240" i="16"/>
  <c r="M259" i="16"/>
  <c r="D259" i="16" s="1"/>
  <c r="L258" i="16"/>
  <c r="C259" i="16"/>
  <c r="V267" i="16"/>
  <c r="J289" i="16"/>
  <c r="I288" i="16"/>
  <c r="J288" i="16" s="1"/>
  <c r="V289" i="16"/>
  <c r="U288" i="16"/>
  <c r="V288" i="16" s="1"/>
  <c r="D179" i="16"/>
  <c r="D206" i="16"/>
  <c r="C211" i="16"/>
  <c r="G214" i="16"/>
  <c r="C214" i="16"/>
  <c r="D225" i="16"/>
  <c r="V229" i="16"/>
  <c r="D229" i="16" s="1"/>
  <c r="U226" i="16"/>
  <c r="D245" i="16"/>
  <c r="D247" i="16"/>
  <c r="AB269" i="16"/>
  <c r="B269" i="16"/>
  <c r="D270" i="16"/>
  <c r="Y277" i="16"/>
  <c r="X276" i="16"/>
  <c r="G278" i="16"/>
  <c r="B278" i="16"/>
  <c r="V278" i="16"/>
  <c r="U277" i="16"/>
  <c r="R284" i="16"/>
  <c r="S284" i="16" s="1"/>
  <c r="D174" i="16"/>
  <c r="D183" i="16"/>
  <c r="D195" i="16"/>
  <c r="B211" i="16"/>
  <c r="M214" i="16"/>
  <c r="G218" i="16"/>
  <c r="C218" i="16"/>
  <c r="Y226" i="16"/>
  <c r="B229" i="16"/>
  <c r="B231" i="16"/>
  <c r="AA226" i="16"/>
  <c r="AB237" i="16"/>
  <c r="D237" i="16" s="1"/>
  <c r="G238" i="16"/>
  <c r="D238" i="16" s="1"/>
  <c r="C238" i="16"/>
  <c r="I240" i="16"/>
  <c r="AB258" i="16"/>
  <c r="AA240" i="16"/>
  <c r="M267" i="16"/>
  <c r="G262" i="16"/>
  <c r="B262" i="16"/>
  <c r="P269" i="16"/>
  <c r="S278" i="16"/>
  <c r="J281" i="16"/>
  <c r="B282" i="16"/>
  <c r="P282" i="16"/>
  <c r="O281" i="16"/>
  <c r="P284" i="16"/>
  <c r="B289" i="16"/>
  <c r="Y293" i="16"/>
  <c r="B296" i="16"/>
  <c r="P293" i="16"/>
  <c r="O292" i="16"/>
  <c r="P292" i="16" s="1"/>
  <c r="J267" i="16"/>
  <c r="B267" i="16"/>
  <c r="Y267" i="16"/>
  <c r="G269" i="16"/>
  <c r="C269" i="16"/>
  <c r="J273" i="16"/>
  <c r="C278" i="16"/>
  <c r="J278" i="16"/>
  <c r="I277" i="16"/>
  <c r="Y282" i="16"/>
  <c r="AB284" i="16"/>
  <c r="B291" i="16"/>
  <c r="AB293" i="16"/>
  <c r="AA292" i="16"/>
  <c r="AB292" i="16" s="1"/>
  <c r="B295" i="16"/>
  <c r="AB296" i="16"/>
  <c r="L292" i="16"/>
  <c r="M292" i="16" s="1"/>
  <c r="X292" i="16"/>
  <c r="Y292" i="16" s="1"/>
  <c r="O295" i="16"/>
  <c r="P295" i="16" s="1"/>
  <c r="AA295" i="16"/>
  <c r="AB295" i="16" s="1"/>
  <c r="C267" i="16"/>
  <c r="C271" i="16"/>
  <c r="C273" i="16"/>
  <c r="B293" i="16"/>
  <c r="C289" i="16" l="1"/>
  <c r="S114" i="16"/>
  <c r="G296" i="16"/>
  <c r="V102" i="16"/>
  <c r="V151" i="16"/>
  <c r="Y264" i="16"/>
  <c r="C23" i="16"/>
  <c r="M90" i="16"/>
  <c r="L213" i="16"/>
  <c r="M213" i="16" s="1"/>
  <c r="P114" i="16"/>
  <c r="J151" i="16"/>
  <c r="M277" i="16"/>
  <c r="P240" i="16"/>
  <c r="P264" i="16"/>
  <c r="Y102" i="16"/>
  <c r="P102" i="16"/>
  <c r="AB264" i="16"/>
  <c r="S264" i="16"/>
  <c r="J114" i="16"/>
  <c r="M264" i="16"/>
  <c r="G167" i="16"/>
  <c r="G114" i="16"/>
  <c r="M151" i="16"/>
  <c r="AB90" i="16"/>
  <c r="C277" i="16"/>
  <c r="AB151" i="16"/>
  <c r="Y213" i="16"/>
  <c r="C203" i="16"/>
  <c r="L114" i="16"/>
  <c r="M114" i="16" s="1"/>
  <c r="F10" i="16"/>
  <c r="G10" i="16" s="1"/>
  <c r="V23" i="16"/>
  <c r="D23" i="16" s="1"/>
  <c r="G102" i="16"/>
  <c r="P151" i="16"/>
  <c r="V90" i="16"/>
  <c r="P90" i="16"/>
  <c r="B85" i="16"/>
  <c r="S160" i="16"/>
  <c r="D160" i="16" s="1"/>
  <c r="Q151" i="16"/>
  <c r="B151" i="16" s="1"/>
  <c r="K89" i="16"/>
  <c r="S156" i="16"/>
  <c r="D156" i="16" s="1"/>
  <c r="S90" i="16"/>
  <c r="S213" i="16"/>
  <c r="Q167" i="16"/>
  <c r="D222" i="16"/>
  <c r="AB102" i="16"/>
  <c r="J57" i="16"/>
  <c r="K9" i="16"/>
  <c r="Y240" i="16"/>
  <c r="B264" i="16"/>
  <c r="F295" i="16"/>
  <c r="G295" i="16" s="1"/>
  <c r="D295" i="16" s="1"/>
  <c r="J240" i="16"/>
  <c r="Y114" i="16"/>
  <c r="I72" i="16"/>
  <c r="C72" i="16" s="1"/>
  <c r="J73" i="16"/>
  <c r="D73" i="16" s="1"/>
  <c r="H9" i="16"/>
  <c r="R151" i="16"/>
  <c r="C151" i="16" s="1"/>
  <c r="D273" i="16"/>
  <c r="S180" i="16"/>
  <c r="D180" i="16" s="1"/>
  <c r="V114" i="16"/>
  <c r="J56" i="16"/>
  <c r="N89" i="16"/>
  <c r="N8" i="16" s="1"/>
  <c r="Y151" i="16"/>
  <c r="D70" i="16"/>
  <c r="D35" i="16"/>
  <c r="S240" i="16"/>
  <c r="D293" i="16"/>
  <c r="W89" i="16"/>
  <c r="W8" i="16" s="1"/>
  <c r="C281" i="16"/>
  <c r="M276" i="16"/>
  <c r="AB167" i="16"/>
  <c r="M129" i="16"/>
  <c r="D129" i="16" s="1"/>
  <c r="C160" i="16"/>
  <c r="D233" i="16"/>
  <c r="D71" i="16"/>
  <c r="T9" i="16"/>
  <c r="D262" i="16"/>
  <c r="U240" i="16"/>
  <c r="V240" i="16" s="1"/>
  <c r="Z89" i="16"/>
  <c r="Z8" i="16" s="1"/>
  <c r="T89" i="16"/>
  <c r="Q9" i="16"/>
  <c r="B36" i="16"/>
  <c r="H89" i="16"/>
  <c r="D203" i="16"/>
  <c r="D97" i="16"/>
  <c r="E89" i="16"/>
  <c r="E8" i="16" s="1"/>
  <c r="D86" i="16"/>
  <c r="D110" i="16"/>
  <c r="D211" i="16"/>
  <c r="D218" i="16"/>
  <c r="D246" i="16"/>
  <c r="V167" i="16"/>
  <c r="D126" i="16"/>
  <c r="D143" i="16"/>
  <c r="Y276" i="16"/>
  <c r="Y167" i="16"/>
  <c r="D282" i="16"/>
  <c r="D40" i="16"/>
  <c r="D255" i="16"/>
  <c r="D296" i="16"/>
  <c r="D115" i="16"/>
  <c r="D91" i="16"/>
  <c r="D267" i="16"/>
  <c r="G90" i="16"/>
  <c r="C90" i="16"/>
  <c r="F89" i="16"/>
  <c r="G43" i="16"/>
  <c r="V10" i="16"/>
  <c r="B90" i="16"/>
  <c r="M11" i="16"/>
  <c r="L10" i="16"/>
  <c r="P10" i="16"/>
  <c r="O9" i="16"/>
  <c r="C288" i="16"/>
  <c r="J277" i="16"/>
  <c r="I276" i="16"/>
  <c r="J276" i="16" s="1"/>
  <c r="B281" i="16"/>
  <c r="S277" i="16"/>
  <c r="AA213" i="16"/>
  <c r="AB213" i="16" s="1"/>
  <c r="AB226" i="16"/>
  <c r="Y281" i="16"/>
  <c r="B284" i="16"/>
  <c r="J226" i="16"/>
  <c r="I213" i="16"/>
  <c r="J213" i="16" s="1"/>
  <c r="M167" i="16"/>
  <c r="J48" i="16"/>
  <c r="C48" i="16"/>
  <c r="B102" i="16"/>
  <c r="D241" i="16"/>
  <c r="C114" i="16"/>
  <c r="D49" i="16"/>
  <c r="J10" i="16"/>
  <c r="B258" i="16"/>
  <c r="G258" i="16"/>
  <c r="B114" i="16"/>
  <c r="M56" i="16"/>
  <c r="D64" i="16"/>
  <c r="Y10" i="16"/>
  <c r="B277" i="16"/>
  <c r="D214" i="16"/>
  <c r="G277" i="16"/>
  <c r="D285" i="16"/>
  <c r="G151" i="16"/>
  <c r="B57" i="16"/>
  <c r="B56" i="16"/>
  <c r="M288" i="16"/>
  <c r="M289" i="16"/>
  <c r="D289" i="16" s="1"/>
  <c r="D269" i="16"/>
  <c r="P281" i="16"/>
  <c r="O276" i="16"/>
  <c r="AB240" i="16"/>
  <c r="V277" i="16"/>
  <c r="U276" i="16"/>
  <c r="V276" i="16" s="1"/>
  <c r="D278" i="16"/>
  <c r="U213" i="16"/>
  <c r="V213" i="16" s="1"/>
  <c r="V226" i="16"/>
  <c r="G288" i="16"/>
  <c r="B240" i="16"/>
  <c r="C226" i="16"/>
  <c r="F276" i="16"/>
  <c r="G284" i="16"/>
  <c r="D284" i="16" s="1"/>
  <c r="C284" i="16"/>
  <c r="B72" i="16"/>
  <c r="G72" i="16"/>
  <c r="G57" i="16"/>
  <c r="C57" i="16"/>
  <c r="F56" i="16"/>
  <c r="B48" i="16"/>
  <c r="G48" i="16"/>
  <c r="C292" i="16"/>
  <c r="G240" i="16"/>
  <c r="P198" i="16"/>
  <c r="P167" i="16" s="1"/>
  <c r="O167" i="16"/>
  <c r="O89" i="16" s="1"/>
  <c r="D152" i="16"/>
  <c r="C105" i="16"/>
  <c r="R102" i="16"/>
  <c r="S102" i="16" s="1"/>
  <c r="S105" i="16"/>
  <c r="D105" i="16" s="1"/>
  <c r="X89" i="16"/>
  <c r="C37" i="16"/>
  <c r="F36" i="16"/>
  <c r="G37" i="16"/>
  <c r="B10" i="16"/>
  <c r="D261" i="16"/>
  <c r="M57" i="16"/>
  <c r="S168" i="16"/>
  <c r="R167" i="16"/>
  <c r="AB114" i="16"/>
  <c r="AA9" i="16"/>
  <c r="AB10" i="16"/>
  <c r="V22" i="16"/>
  <c r="J11" i="16"/>
  <c r="B11" i="16"/>
  <c r="B23" i="16"/>
  <c r="J292" i="16"/>
  <c r="D292" i="16" s="1"/>
  <c r="B292" i="16"/>
  <c r="G264" i="16"/>
  <c r="C264" i="16"/>
  <c r="B213" i="16"/>
  <c r="B226" i="16"/>
  <c r="M258" i="16"/>
  <c r="L240" i="16"/>
  <c r="M240" i="16" s="1"/>
  <c r="C258" i="16"/>
  <c r="R276" i="16"/>
  <c r="S276" i="16" s="1"/>
  <c r="G226" i="16"/>
  <c r="J167" i="16"/>
  <c r="AB281" i="16"/>
  <c r="AA276" i="16"/>
  <c r="AB276" i="16" s="1"/>
  <c r="C180" i="16"/>
  <c r="G85" i="16"/>
  <c r="D85" i="16" s="1"/>
  <c r="C85" i="16"/>
  <c r="P213" i="16"/>
  <c r="J102" i="16"/>
  <c r="V57" i="16"/>
  <c r="U56" i="16"/>
  <c r="V56" i="16" s="1"/>
  <c r="C103" i="16"/>
  <c r="L102" i="16"/>
  <c r="M103" i="16"/>
  <c r="D103" i="16" s="1"/>
  <c r="S44" i="16"/>
  <c r="D44" i="16" s="1"/>
  <c r="R43" i="16"/>
  <c r="S43" i="16" s="1"/>
  <c r="D95" i="16"/>
  <c r="Y37" i="16"/>
  <c r="X36" i="16"/>
  <c r="C11" i="16"/>
  <c r="G22" i="16"/>
  <c r="C22" i="16"/>
  <c r="K8" i="16" l="1"/>
  <c r="J72" i="16"/>
  <c r="F9" i="16"/>
  <c r="F8" i="16" s="1"/>
  <c r="G8" i="16" s="1"/>
  <c r="I9" i="16"/>
  <c r="J9" i="16" s="1"/>
  <c r="C295" i="16"/>
  <c r="S151" i="16"/>
  <c r="D151" i="16" s="1"/>
  <c r="Q89" i="16"/>
  <c r="B89" i="16" s="1"/>
  <c r="B167" i="16"/>
  <c r="P89" i="16"/>
  <c r="S167" i="16"/>
  <c r="D167" i="16" s="1"/>
  <c r="T8" i="16"/>
  <c r="Y89" i="16"/>
  <c r="D114" i="16"/>
  <c r="I89" i="16"/>
  <c r="J89" i="16" s="1"/>
  <c r="Q8" i="16"/>
  <c r="H8" i="16"/>
  <c r="D22" i="16"/>
  <c r="D264" i="16"/>
  <c r="U89" i="16"/>
  <c r="V89" i="16" s="1"/>
  <c r="R9" i="16"/>
  <c r="S9" i="16" s="1"/>
  <c r="D281" i="16"/>
  <c r="D226" i="16"/>
  <c r="D11" i="16"/>
  <c r="C167" i="16"/>
  <c r="D48" i="16"/>
  <c r="D43" i="16"/>
  <c r="D168" i="16"/>
  <c r="D57" i="16"/>
  <c r="D240" i="16"/>
  <c r="M102" i="16"/>
  <c r="D102" i="16" s="1"/>
  <c r="L89" i="16"/>
  <c r="M89" i="16" s="1"/>
  <c r="G56" i="16"/>
  <c r="D56" i="16" s="1"/>
  <c r="C56" i="16"/>
  <c r="G213" i="16"/>
  <c r="D213" i="16" s="1"/>
  <c r="P9" i="16"/>
  <c r="O8" i="16"/>
  <c r="P8" i="16" s="1"/>
  <c r="D90" i="16"/>
  <c r="R89" i="16"/>
  <c r="AA89" i="16"/>
  <c r="AB89" i="16" s="1"/>
  <c r="D37" i="16"/>
  <c r="C213" i="16"/>
  <c r="P276" i="16"/>
  <c r="B276" i="16"/>
  <c r="C43" i="16"/>
  <c r="Y36" i="16"/>
  <c r="X9" i="16"/>
  <c r="G36" i="16"/>
  <c r="C36" i="16"/>
  <c r="D258" i="16"/>
  <c r="M10" i="16"/>
  <c r="D10" i="16" s="1"/>
  <c r="L9" i="16"/>
  <c r="G89" i="16"/>
  <c r="D198" i="16"/>
  <c r="C102" i="16"/>
  <c r="C10" i="16"/>
  <c r="AB9" i="16"/>
  <c r="C240" i="16"/>
  <c r="D72" i="16"/>
  <c r="G276" i="16"/>
  <c r="C276" i="16"/>
  <c r="D288" i="16"/>
  <c r="B288" i="16"/>
  <c r="D277" i="16"/>
  <c r="U9" i="16"/>
  <c r="G9" i="16" l="1"/>
  <c r="S89" i="16"/>
  <c r="D89" i="16" s="1"/>
  <c r="I8" i="16"/>
  <c r="J8" i="16" s="1"/>
  <c r="C9" i="16"/>
  <c r="R8" i="16"/>
  <c r="S8" i="16" s="1"/>
  <c r="C89" i="16"/>
  <c r="AA8" i="16"/>
  <c r="AB8" i="16" s="1"/>
  <c r="L8" i="16"/>
  <c r="M8" i="16" s="1"/>
  <c r="M9" i="16"/>
  <c r="D276" i="16"/>
  <c r="V9" i="16"/>
  <c r="U8" i="16"/>
  <c r="V8" i="16" s="1"/>
  <c r="B9" i="16"/>
  <c r="B8" i="16"/>
  <c r="D36" i="16"/>
  <c r="X8" i="16"/>
  <c r="Y8" i="16" s="1"/>
  <c r="Y9" i="16"/>
  <c r="D9" i="16" l="1"/>
  <c r="C8" i="16"/>
</calcChain>
</file>

<file path=xl/comments1.xml><?xml version="1.0" encoding="utf-8"?>
<comments xmlns="http://schemas.openxmlformats.org/spreadsheetml/2006/main">
  <authors>
    <author>Автор</author>
  </authors>
  <commentList>
    <comment ref="H2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70572 от 2022 г.</t>
        </r>
      </text>
    </comment>
    <comment ref="I2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70572 от 2022 г.</t>
        </r>
      </text>
    </comment>
    <comment ref="T3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50000 -  2,284 от ЦСКР</t>
        </r>
      </text>
    </comment>
    <comment ref="U3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50000 -  2,284 от ЦСКР</t>
        </r>
      </text>
    </comment>
    <comment ref="Z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Q40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
</t>
        </r>
      </text>
    </comment>
    <comment ref="R40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
</t>
        </r>
      </text>
    </comment>
    <comment ref="Q4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Q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B45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D45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Q4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K7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L7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H9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I9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K10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</t>
        </r>
      </text>
    </comment>
    <comment ref="L10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</t>
        </r>
      </text>
    </comment>
    <comment ref="Z127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127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9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01.08.2022</t>
        </r>
      </text>
    </comment>
    <comment ref="E9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01.09.2022</t>
        </r>
      </text>
    </comment>
  </commentList>
</comments>
</file>

<file path=xl/sharedStrings.xml><?xml version="1.0" encoding="utf-8"?>
<sst xmlns="http://schemas.openxmlformats.org/spreadsheetml/2006/main" count="437" uniqueCount="327">
  <si>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</si>
  <si>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</si>
  <si>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</si>
  <si>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</si>
  <si>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</si>
  <si>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</si>
  <si>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</si>
  <si>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</si>
  <si>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</si>
  <si>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</si>
  <si>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ВСИЧКО РАЗХОДИ:</t>
  </si>
  <si>
    <t>5100  ОСНОВЕН  РЕМОНТ НА ДМА</t>
  </si>
  <si>
    <t>Функция 01 Общи държавни служби</t>
  </si>
  <si>
    <t>ОБЕКТИ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</si>
  <si>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</si>
  <si>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</si>
  <si>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</si>
  <si>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</si>
  <si>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</si>
  <si>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</si>
  <si>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</si>
  <si>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</si>
  <si>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</si>
  <si>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</si>
  <si>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</si>
  <si>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</si>
  <si>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</si>
  <si>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</si>
  <si>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</si>
  <si>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</si>
  <si>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</si>
  <si>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</si>
  <si>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</si>
  <si>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Енергийна ефективност ОУ "П.Р.Славейков", гр. В. Търново - собствено участие 315 044 лв. и            НДЕФ 621 164 лв.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</si>
  <si>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</si>
  <si>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</si>
  <si>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</si>
  <si>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</si>
  <si>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</si>
  <si>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</si>
  <si>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</si>
  <si>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</si>
  <si>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</si>
  <si>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</si>
  <si>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</si>
  <si>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</si>
  <si>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Момин сбор /30% продажба на общинско имущество/</t>
  </si>
  <si>
    <t>Ремонт площадно пространство с. Русаля /30% продажба на общинско имущество/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</si>
  <si>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</si>
  <si>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</si>
  <si>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</si>
  <si>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</si>
  <si>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</si>
  <si>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</si>
  <si>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</si>
  <si>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</si>
  <si>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</si>
  <si>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</si>
  <si>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</si>
  <si>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</si>
  <si>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</si>
  <si>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Ремонт на сградата на читалище  Кметство с. Русаля /30% продажба на общинско имущество/</t>
  </si>
  <si>
    <t>Ремонт на сградата на НЧ "Нива - 1898" Кметство с. Балван /30% продажба на общинско имущество/</t>
  </si>
  <si>
    <t>Ремонт дограма РБ "П.Р.Славейков"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</si>
  <si>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</si>
  <si>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</si>
  <si>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</si>
  <si>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</si>
  <si>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</si>
  <si>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</si>
  <si>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</si>
  <si>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5200  ПРИДОБИВАНЕ НА ДМА</t>
  </si>
  <si>
    <t>5201 Придобиване на компютри и хардуер</t>
  </si>
  <si>
    <t>Компютри и хардуер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</si>
  <si>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</si>
  <si>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</si>
  <si>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</si>
  <si>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</si>
  <si>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</si>
  <si>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</si>
  <si>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</si>
  <si>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</si>
  <si>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</si>
  <si>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</si>
  <si>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дисплей,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</si>
  <si>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</si>
  <si>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</si>
  <si>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</si>
  <si>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</si>
  <si>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Изграждане на ДГ в кв. "Картала", гр. В.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</si>
  <si>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</si>
  <si>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 xml:space="preserve">ДГ "Шарения замък" - Доставка и монтаж на сенници за детски площадки 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</si>
  <si>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</si>
  <si>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</si>
  <si>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ДГ "Шарения замък" - Доставка и монтаж на мебели</t>
  </si>
  <si>
    <t>Придобиване на компютри за нуждите на Детските ясли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</si>
  <si>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</si>
  <si>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</si>
  <si>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</si>
  <si>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</si>
  <si>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Закупуване на компютри в Преходно жилище 1 бр.</t>
  </si>
  <si>
    <t>Асистентска подкрепа - Придобиване на 3 бр. компютърна конфигурация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</si>
  <si>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</si>
  <si>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</si>
  <si>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</si>
  <si>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</si>
  <si>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Климатична система по проект "Общностен център за деца и родители "ЦАРЕВГРАД"
BG05M9OP001-2.004-0046-C01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</si>
  <si>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</si>
  <si>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</si>
  <si>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</si>
  <si>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</si>
  <si>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</si>
  <si>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</si>
  <si>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ЦНСТ ул. "Цветарска" 14 - слънчеви колектори</t>
  </si>
  <si>
    <t>5204 Придобиване на транспортни средства</t>
  </si>
  <si>
    <t>ЦНСТ I ул. Ил. Драгостинов - Закупуване на МПС с рампа за инвалиди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</si>
  <si>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</si>
  <si>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</si>
  <si>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</si>
  <si>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</si>
  <si>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</si>
  <si>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</si>
  <si>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</si>
  <si>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</si>
  <si>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</si>
  <si>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</si>
  <si>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Изграждане на тротоар на ул. "Лазурна"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</si>
  <si>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</si>
  <si>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</si>
  <si>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</si>
  <si>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</si>
  <si>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</si>
  <si>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</si>
  <si>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</si>
  <si>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</si>
  <si>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Изместване на кабелни линии и трафопост "Ледена пързалка", гр. В. Търново</t>
  </si>
  <si>
    <t>Изграждане на фундамент за автомобилна везна в землището на с. Шереметя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</si>
  <si>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</si>
  <si>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</si>
  <si>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</si>
  <si>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</si>
  <si>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</si>
  <si>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Мобилни осветителни и озвучителни кули АМР "Царевец" КТМД Дирекция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</si>
  <si>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</si>
  <si>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</si>
  <si>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</si>
  <si>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</si>
  <si>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Изграждане на асфалтов пъмп трак в УПИ XI-3779, кв. 237, гр. Велико Търново</t>
  </si>
  <si>
    <t>5219 Придобиване на други ДМА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</si>
  <si>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</si>
  <si>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</si>
  <si>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</si>
  <si>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</si>
  <si>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</si>
  <si>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</si>
  <si>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</si>
  <si>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</si>
  <si>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</si>
  <si>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Софтуерни лицензи в РБ „П.Р.Славейков“, гр. Велико Търново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</si>
  <si>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</si>
  <si>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</si>
  <si>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</si>
  <si>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 xml:space="preserve">00-98 Резерв за непредвидени и неотложни разходи </t>
  </si>
  <si>
    <t>Неотложни разходи за текущи ремонти на улична мрежа по населените места</t>
  </si>
  <si>
    <t>6202 Трансфери между бюджети - предоставени трансфери (-)</t>
  </si>
  <si>
    <t>Собствено участие по проект "Интегриран градски транспорт на гр. Велико Търново по ОП „Региони в растеж“ 2014-2020г." BG16RFOP001-1.009-0005-C01</t>
  </si>
  <si>
    <t>било</t>
  </si>
  <si>
    <t>става</t>
  </si>
  <si>
    <t>ИНВЕСТИЦИОННА ПРОГРАМА</t>
  </si>
  <si>
    <t>СУ „Емилиян Станев“, гр. Велико Търново - компютърни конфигурации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</si>
  <si>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</si>
  <si>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</si>
  <si>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„П. Р. Славейков", гр. Велико Търново - експериментална STEM оранжерия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</si>
  <si>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</si>
  <si>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промяна</t>
  </si>
  <si>
    <t>Приложение 1</t>
  </si>
  <si>
    <t>БИЛО</t>
  </si>
  <si>
    <t>СТАВА</t>
  </si>
  <si>
    <t>Храсторез Кметство с. Ресен</t>
  </si>
  <si>
    <t>Климатици на Здравните кабинети в ДГ "Шареният замък" и ДГ "Здравец"</t>
  </si>
  <si>
    <t>Изграждане на осветителна уредба около шадравана на Централен площад, гр. Дебелец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</si>
  <si>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</si>
  <si>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Надграждане на интеграционната платформа за модул SMS паркиране</t>
  </si>
  <si>
    <t>Надграждане на интеграционната платформа за е-City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</si>
  <si>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</si>
  <si>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Изграждане на ДГ за 120 места в кв. "Зона - В", гр. Велико Търново</t>
  </si>
  <si>
    <t>ОБЩИНСКИ СЪВЕТ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</si>
  <si>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</si>
  <si>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</si>
  <si>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СУ „Вела Благоева“, гр. Велико Търново - брайлова машина</t>
  </si>
  <si>
    <t>СУ „Г. С. Раковски“, гр. Велико Търново - видеонаблюдение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</si>
  <si>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</si>
  <si>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</si>
  <si>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Компютърна конфигурация Кметство с. Плаково /30% продажба общинско имущество/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</si>
  <si>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</si>
  <si>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Преместваем обект /павилион/ пред АМР "Царевец"</t>
  </si>
  <si>
    <t>ДГ "Ален мак" - дигитално пиано по проект "Подкрепа за приобщаващо образование" №BG05M2OP001-3.018-0001</t>
  </si>
  <si>
    <t>ДГ „Ален мак“, гр. Велико Търново - проектор "Звездно небе" по проект "Подкрепа за приобщаващо образование" №BG05M2OP001-3.018-0001</t>
  </si>
  <si>
    <t>Видеонаблюдение за Изложбени зали "Рафаел Михайлов"</t>
  </si>
  <si>
    <t>Компютърна конфигурация Кметство с. Ресен</t>
  </si>
  <si>
    <t>ДГ "Иванка Ботева" - дърво на сезоните по проект "Подкрепа за приобщаващо образование" №BG05M2OP001-3.018-0001</t>
  </si>
  <si>
    <t>Компютри по проект "Патронажна грижа + Компонент 2", ОП "Развитие на човешките ресурси" 2014-2020, № BG05M9OP001-6.004-89-C01 /код 98/</t>
  </si>
  <si>
    <t>Основен ремонт читалищна библиотека с. Самоводене</t>
  </si>
  <si>
    <t>Моторна коса Кметство с. Емен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</si>
  <si>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</si>
  <si>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</si>
  <si>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</si>
  <si>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</si>
  <si>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</si>
  <si>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</si>
  <si>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</si>
  <si>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Основен ремонт сгради общинска собственост на територията на кметство гр. Килифарево - помещение за нуждите на Център за работа с цеца и младежи</t>
  </si>
  <si>
    <t>Общинско ученическо общежитие "Колю Фичето" - компютърни конфигурации</t>
  </si>
  <si>
    <t>СУ „Емилиян Станев“ - Подопочистваща машина, гр. Велико Търново</t>
  </si>
  <si>
    <t>СУ „Емилиян Станев“, гр. Велико Търново - акордеон</t>
  </si>
  <si>
    <t>Превантивно информационен център - придобиване на преносими компютри 2 бр.</t>
  </si>
  <si>
    <t>Превантивно информационен център - закупуване на мултимедиен проектор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</si>
  <si>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</si>
  <si>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</si>
  <si>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Детска млечна кухня - закупуване на работни маси и шкафове</t>
  </si>
  <si>
    <t>Дом за пълнолетни лица с увреждания, с. Церова Кория - Преносим компютър</t>
  </si>
  <si>
    <t>Дом за пълнолетни лица с увреждания, с. Церова Кория - компютърна конфигурация</t>
  </si>
  <si>
    <t>Интерактивен магичен под Дневен център за лица с увреждания "Дъга"</t>
  </si>
  <si>
    <t>Център за социална рехабилитация и интеграция ул. "Бойчо войвода" -закупуване на компютърна конфигурация</t>
  </si>
  <si>
    <t>Център за социална рехабилитация и интеграция ул. "Бойчо войвода" - Закупуване на цветна копирна машина</t>
  </si>
  <si>
    <t>Дом за стари хора гр. В Търново - Закупуване на локална вентилационна система</t>
  </si>
  <si>
    <t>Център за настаняване от семеен тип I и II ул. Цветарска 14 - Закупуване на бойлер с 2 серпентини</t>
  </si>
  <si>
    <t>Център за настаняване от семеен тип Церова кория - Доставка и монтаж на кухня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</si>
  <si>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</si>
  <si>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</si>
  <si>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ДГ "Шарения замък" - Доставка и монтаж на климатични системи</t>
  </si>
  <si>
    <t>ДГ "Вяра, Надежда и Любов" с. Ресен- Доставка и монтаж на климатични системи</t>
  </si>
  <si>
    <t>СУ „Вела Благоева“, гр. Велико Търново - система за видеонаблюдение</t>
  </si>
  <si>
    <t>Климатична система за нуждите на Кризисен център, с. Балван</t>
  </si>
  <si>
    <t xml:space="preserve">Климатици за нуждите на Центровете за социална рехабилитация и интеграция </t>
  </si>
  <si>
    <t>Асистентска подкрепа - климатична система</t>
  </si>
  <si>
    <t>Компютри и хардуер за нуждите на РИМ Велико Търново</t>
  </si>
  <si>
    <t>Газов котел- РИМ Велико Търново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</si>
  <si>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</si>
  <si>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Заснемане, проектиране, остойностяване и изграждане на пожароизвестителна система за Детските ясли</t>
  </si>
  <si>
    <t>Дренажни помпи за рекултивирано депо в  с. Шереметя</t>
  </si>
  <si>
    <t>Климатици за нуждите на общинска администрация и кметствата</t>
  </si>
  <si>
    <t>ОУ „Христо Смирненски", село Водолей- изграждане на беседка по проект ПУДООС</t>
  </si>
  <si>
    <t>Компютри и хардуер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</si>
  <si>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Мобилен лифт за повдигане на пациенти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</si>
  <si>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</si>
  <si>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ДГ „Пролет“, гр. Велико Търново - доставка на уреди за детска площадка по програма ПУДООС</t>
  </si>
  <si>
    <t>ДГ "Здравец" - Доставка и монтаж на мебели</t>
  </si>
  <si>
    <t>ДГ "Пролет" - Доставка и монтаж на мебели</t>
  </si>
  <si>
    <t>Изготвяне на архитектурно-строителен проект ОУ "Бачо Киро", гр. Велико Търново</t>
  </si>
  <si>
    <t>Закупуване на лек автомобил за нуждите на Общински съвет</t>
  </si>
  <si>
    <t>Изграждане на фотоволтаична централа на покрива на административната сграда на Община Велико Търново</t>
  </si>
  <si>
    <t>Макет на хълм "Царевец"</t>
  </si>
  <si>
    <t>ОП "Спортни имоти и прояви"- басейн "Радио"</t>
  </si>
  <si>
    <t>Хардуер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</si>
  <si>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Софтуер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</si>
  <si>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КЪМ 31.8.2022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</si>
  <si>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</si>
  <si>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</si>
  <si>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2022 ГОДИНА</t>
  </si>
  <si>
    <t xml:space="preserve">№ по ред </t>
  </si>
  <si>
    <t xml:space="preserve">П О К А З А Т Е Л И 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</si>
  <si>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</si>
  <si>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</si>
  <si>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</si>
  <si>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</si>
  <si>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</si>
  <si>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</si>
  <si>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</si>
  <si>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</si>
  <si>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</si>
  <si>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</si>
  <si>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</si>
  <si>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</si>
  <si>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</si>
  <si>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</si>
  <si>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</si>
  <si>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ІV.</t>
  </si>
  <si>
    <t>Функция  "Социално осигуряване, подпомагане и грижи"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</si>
  <si>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</si>
  <si>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</si>
  <si>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</si>
  <si>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</si>
  <si>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</si>
  <si>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</si>
  <si>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</si>
  <si>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</si>
  <si>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</si>
  <si>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Функция "Култура, спорт, почивни дейности и религиозно дело"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</si>
  <si>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</si>
  <si>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</si>
  <si>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</si>
  <si>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</si>
  <si>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</si>
  <si>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</si>
  <si>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</si>
  <si>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</si>
  <si>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2.1.</t>
  </si>
  <si>
    <t>Духов оркестър</t>
  </si>
  <si>
    <t>2.2.</t>
  </si>
  <si>
    <t>ОП "Общинско кабелно радио"</t>
  </si>
  <si>
    <t>2.3.</t>
  </si>
  <si>
    <t>ДКС "Васил Левски"</t>
  </si>
  <si>
    <t>2.4.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</si>
  <si>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</si>
  <si>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</si>
  <si>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</si>
  <si>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</si>
  <si>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</si>
  <si>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</si>
  <si>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Приют за кучета</t>
  </si>
  <si>
    <t xml:space="preserve">Административно - техническо обслужване </t>
  </si>
  <si>
    <t>ОП " Реклама "</t>
  </si>
  <si>
    <t>Младежки дом</t>
  </si>
  <si>
    <t>ДЪРЖАВНИ ДЕЙНОСТИ, ДОФИНАНСИРАНИ С МЕСТНИ ПРИХОДИ</t>
  </si>
  <si>
    <t>III.</t>
  </si>
  <si>
    <t>Функция " Култура, спорт, почивни дейности и религиозно дело"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</si>
  <si>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</si>
  <si>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</si>
  <si>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</si>
  <si>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Възстановяване на покрива на общинска сграда, находяща се на ул. "Капитан Георги Мамарчев", гр. В. Търново</t>
  </si>
  <si>
    <t>Общински път VTR 1042  “/път I -4/ жп гара Велико Търново – ВТУ – ж.к. „Св. гора“ - / I -4/",в участъка от км. 0+030 до км 2+463.90“</t>
  </si>
  <si>
    <t>ВЕНЦИСЛАВ СПИРДОНОВ</t>
  </si>
  <si>
    <t>ПРЕДСЕДАТЕЛ</t>
  </si>
  <si>
    <t xml:space="preserve">ВЕНЦИСЛАВ СПИРДОНОВ </t>
  </si>
  <si>
    <t xml:space="preserve">ПРЕДСЕДАТЕЛ 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</si>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</sst>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/mm/yyyy\ &quot;г.&quot;;@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i/>
      <sz val="12"/>
      <name val="Times New Roman"/>
      <family val="1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name val="Calibri"/>
      <family val="2"/>
      <scheme val="minor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118">
    <xf numFmtId="0" fontId="0" fillId="0" borderId="0" xfId="0"/>
    <xf numFmtId="0" fontId="4" fillId="0" borderId="0" xfId="1" applyFont="1" applyFill="1" applyAlignment="1">
      <alignment wrapText="1"/>
    </xf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 applyAlignment="1">
      <alignment horizontal="right"/>
    </xf>
    <xf numFmtId="0" fontId="7" fillId="0" borderId="0" xfId="1" applyFont="1" applyFill="1" applyAlignment="1">
      <alignment horizontal="centerContinuous"/>
    </xf>
    <xf numFmtId="0" fontId="7" fillId="0" borderId="0" xfId="1" applyFont="1" applyFill="1"/>
    <xf numFmtId="0" fontId="7" fillId="0" borderId="0" xfId="1" applyNumberFormat="1" applyFont="1" applyFill="1" applyAlignment="1">
      <alignment horizontal="left"/>
    </xf>
    <xf numFmtId="0" fontId="7" fillId="0" borderId="0" xfId="1" applyFont="1" applyFill="1" applyAlignment="1">
      <alignment horizont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wrapText="1"/>
    </xf>
    <xf numFmtId="3" fontId="7" fillId="0" borderId="1" xfId="1" applyNumberFormat="1" applyFont="1" applyFill="1" applyBorder="1" applyAlignment="1">
      <alignment horizontal="center" wrapText="1"/>
    </xf>
    <xf numFmtId="0" fontId="4" fillId="0" borderId="0" xfId="1" applyFont="1" applyFill="1" applyBorder="1" applyAlignment="1">
      <alignment wrapText="1"/>
    </xf>
    <xf numFmtId="0" fontId="7" fillId="0" borderId="2" xfId="2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wrapText="1"/>
    </xf>
    <xf numFmtId="3" fontId="7" fillId="0" borderId="2" xfId="3" applyNumberFormat="1" applyFont="1" applyFill="1" applyBorder="1" applyAlignment="1">
      <alignment horizontal="center" wrapText="1"/>
    </xf>
    <xf numFmtId="3" fontId="7" fillId="0" borderId="2" xfId="3" applyNumberFormat="1" applyFont="1" applyFill="1" applyBorder="1"/>
    <xf numFmtId="0" fontId="7" fillId="0" borderId="0" xfId="1" applyFont="1" applyFill="1" applyBorder="1"/>
    <xf numFmtId="0" fontId="7" fillId="0" borderId="1" xfId="3" applyFont="1" applyFill="1" applyBorder="1" applyAlignment="1">
      <alignment wrapText="1"/>
    </xf>
    <xf numFmtId="3" fontId="7" fillId="0" borderId="1" xfId="3" applyNumberFormat="1" applyFont="1" applyFill="1" applyBorder="1"/>
    <xf numFmtId="0" fontId="4" fillId="0" borderId="0" xfId="1" applyFont="1" applyFill="1" applyBorder="1"/>
    <xf numFmtId="3" fontId="7" fillId="0" borderId="1" xfId="3" applyNumberFormat="1" applyFont="1" applyFill="1" applyBorder="1" applyAlignment="1"/>
    <xf numFmtId="0" fontId="4" fillId="0" borderId="1" xfId="1" applyFont="1" applyFill="1" applyBorder="1" applyAlignment="1">
      <alignment wrapText="1"/>
    </xf>
    <xf numFmtId="3" fontId="4" fillId="0" borderId="1" xfId="3" applyNumberFormat="1" applyFont="1" applyFill="1" applyBorder="1" applyAlignment="1"/>
    <xf numFmtId="0" fontId="7" fillId="0" borderId="1" xfId="1" applyFont="1" applyFill="1" applyBorder="1" applyAlignment="1">
      <alignment wrapText="1"/>
    </xf>
    <xf numFmtId="0" fontId="4" fillId="0" borderId="1" xfId="3" applyFont="1" applyFill="1" applyBorder="1" applyAlignment="1">
      <alignment wrapText="1"/>
    </xf>
    <xf numFmtId="3" fontId="4" fillId="0" borderId="1" xfId="3" applyNumberFormat="1" applyFont="1" applyFill="1" applyBorder="1"/>
    <xf numFmtId="0" fontId="4" fillId="0" borderId="1" xfId="4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3" fontId="4" fillId="0" borderId="1" xfId="3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4" fillId="0" borderId="1" xfId="3" applyFont="1" applyFill="1" applyBorder="1" applyAlignment="1">
      <alignment horizontal="left" wrapText="1"/>
    </xf>
    <xf numFmtId="0" fontId="7" fillId="0" borderId="1" xfId="2" applyFont="1" applyFill="1" applyBorder="1" applyAlignment="1">
      <alignment wrapText="1"/>
    </xf>
    <xf numFmtId="3" fontId="4" fillId="0" borderId="1" xfId="0" applyNumberFormat="1" applyFont="1" applyFill="1" applyBorder="1"/>
    <xf numFmtId="0" fontId="7" fillId="0" borderId="0" xfId="0" applyFont="1" applyFill="1"/>
    <xf numFmtId="0" fontId="9" fillId="0" borderId="0" xfId="0" applyFont="1" applyFill="1"/>
    <xf numFmtId="0" fontId="4" fillId="0" borderId="0" xfId="4" applyFont="1" applyFill="1" applyBorder="1" applyAlignment="1">
      <alignment vertical="center" wrapText="1"/>
    </xf>
    <xf numFmtId="0" fontId="4" fillId="0" borderId="0" xfId="6" applyFont="1" applyFill="1" applyAlignment="1"/>
    <xf numFmtId="0" fontId="7" fillId="0" borderId="0" xfId="6" applyFont="1" applyFill="1" applyBorder="1" applyAlignment="1"/>
    <xf numFmtId="0" fontId="9" fillId="0" borderId="0" xfId="1" applyFont="1" applyFill="1" applyAlignment="1"/>
    <xf numFmtId="0" fontId="4" fillId="0" borderId="0" xfId="1" applyFont="1" applyFill="1" applyAlignment="1"/>
    <xf numFmtId="0" fontId="7" fillId="0" borderId="0" xfId="1" applyFont="1" applyFill="1" applyAlignment="1">
      <alignment horizontal="right"/>
    </xf>
    <xf numFmtId="0" fontId="4" fillId="0" borderId="0" xfId="0" applyFont="1" applyFill="1"/>
    <xf numFmtId="0" fontId="15" fillId="0" borderId="0" xfId="0" applyFont="1" applyFill="1"/>
    <xf numFmtId="0" fontId="7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12" fillId="0" borderId="0" xfId="0" applyFont="1" applyFill="1"/>
    <xf numFmtId="0" fontId="4" fillId="0" borderId="0" xfId="3" applyFont="1" applyFill="1" applyBorder="1" applyAlignment="1">
      <alignment wrapText="1"/>
    </xf>
    <xf numFmtId="3" fontId="4" fillId="0" borderId="0" xfId="1" applyNumberFormat="1" applyFont="1" applyFill="1"/>
    <xf numFmtId="0" fontId="7" fillId="0" borderId="0" xfId="1" applyFont="1" applyFill="1" applyAlignment="1"/>
    <xf numFmtId="0" fontId="13" fillId="0" borderId="1" xfId="3" applyFont="1" applyFill="1" applyBorder="1" applyAlignment="1">
      <alignment wrapText="1"/>
    </xf>
    <xf numFmtId="3" fontId="13" fillId="0" borderId="1" xfId="3" applyNumberFormat="1" applyFont="1" applyFill="1" applyBorder="1"/>
    <xf numFmtId="0" fontId="13" fillId="0" borderId="0" xfId="1" applyFont="1" applyFill="1" applyBorder="1"/>
    <xf numFmtId="0" fontId="13" fillId="0" borderId="1" xfId="2" applyFont="1" applyFill="1" applyBorder="1" applyAlignment="1">
      <alignment horizontal="left" wrapText="1"/>
    </xf>
    <xf numFmtId="3" fontId="13" fillId="0" borderId="1" xfId="3" applyNumberFormat="1" applyFont="1" applyFill="1" applyBorder="1" applyAlignment="1">
      <alignment horizontal="right"/>
    </xf>
    <xf numFmtId="0" fontId="14" fillId="0" borderId="0" xfId="1" applyFont="1" applyFill="1" applyBorder="1"/>
    <xf numFmtId="0" fontId="13" fillId="0" borderId="1" xfId="2" applyFont="1" applyFill="1" applyBorder="1" applyAlignment="1">
      <alignment wrapText="1"/>
    </xf>
    <xf numFmtId="0" fontId="13" fillId="0" borderId="1" xfId="1" applyFont="1" applyFill="1" applyBorder="1" applyAlignment="1">
      <alignment wrapText="1"/>
    </xf>
    <xf numFmtId="0" fontId="0" fillId="0" borderId="0" xfId="0" applyFill="1"/>
    <xf numFmtId="14" fontId="7" fillId="0" borderId="0" xfId="1" applyNumberFormat="1" applyFont="1" applyFill="1" applyAlignment="1">
      <alignment horizontal="centerContinuous"/>
    </xf>
    <xf numFmtId="0" fontId="16" fillId="0" borderId="0" xfId="2" applyFont="1" applyFill="1" applyAlignment="1">
      <alignment horizontal="center"/>
    </xf>
    <xf numFmtId="0" fontId="16" fillId="0" borderId="0" xfId="2" applyFont="1" applyFill="1"/>
    <xf numFmtId="0" fontId="18" fillId="0" borderId="0" xfId="0" applyFont="1" applyFill="1"/>
    <xf numFmtId="0" fontId="17" fillId="0" borderId="0" xfId="2" applyFont="1" applyFill="1" applyAlignment="1">
      <alignment horizontal="center"/>
    </xf>
    <xf numFmtId="0" fontId="19" fillId="0" borderId="0" xfId="5" applyFont="1" applyFill="1" applyBorder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19" fillId="0" borderId="0" xfId="5" applyFont="1" applyFill="1" applyAlignment="1"/>
    <xf numFmtId="0" fontId="17" fillId="0" borderId="0" xfId="7" applyFont="1" applyFill="1" applyAlignment="1">
      <alignment horizontal="centerContinuous"/>
    </xf>
    <xf numFmtId="3" fontId="20" fillId="0" borderId="0" xfId="0" applyNumberFormat="1" applyFont="1" applyFill="1" applyAlignment="1">
      <alignment horizontal="centerContinuous"/>
    </xf>
    <xf numFmtId="0" fontId="20" fillId="0" borderId="0" xfId="7" applyFont="1" applyFill="1" applyAlignment="1">
      <alignment horizontal="centerContinuous"/>
    </xf>
    <xf numFmtId="0" fontId="19" fillId="0" borderId="0" xfId="7" applyFont="1" applyFill="1" applyAlignment="1">
      <alignment horizontal="centerContinuous"/>
    </xf>
    <xf numFmtId="3" fontId="19" fillId="0" borderId="0" xfId="7" applyNumberFormat="1" applyFont="1" applyFill="1" applyAlignment="1">
      <alignment horizontal="centerContinuous"/>
    </xf>
    <xf numFmtId="3" fontId="17" fillId="0" borderId="0" xfId="7" applyNumberFormat="1" applyFont="1" applyFill="1" applyAlignment="1">
      <alignment horizontal="centerContinuous"/>
    </xf>
    <xf numFmtId="0" fontId="17" fillId="0" borderId="0" xfId="7" applyFont="1" applyFill="1" applyAlignment="1">
      <alignment horizontal="center"/>
    </xf>
    <xf numFmtId="0" fontId="19" fillId="0" borderId="0" xfId="7" applyFont="1" applyFill="1" applyAlignment="1">
      <alignment horizontal="center"/>
    </xf>
    <xf numFmtId="3" fontId="19" fillId="0" borderId="0" xfId="7" applyNumberFormat="1" applyFont="1" applyFill="1" applyAlignment="1">
      <alignment horizontal="center"/>
    </xf>
    <xf numFmtId="3" fontId="17" fillId="0" borderId="0" xfId="7" applyNumberFormat="1" applyFont="1" applyFill="1" applyBorder="1" applyAlignment="1">
      <alignment horizontal="center" wrapText="1"/>
    </xf>
    <xf numFmtId="0" fontId="17" fillId="0" borderId="1" xfId="7" applyFont="1" applyFill="1" applyBorder="1" applyAlignment="1">
      <alignment horizontal="center" wrapText="1"/>
    </xf>
    <xf numFmtId="0" fontId="17" fillId="0" borderId="0" xfId="7" applyFont="1" applyFill="1" applyAlignment="1">
      <alignment horizontal="center" wrapText="1"/>
    </xf>
    <xf numFmtId="0" fontId="17" fillId="0" borderId="1" xfId="7" applyFont="1" applyFill="1" applyBorder="1" applyAlignment="1">
      <alignment horizontal="center"/>
    </xf>
    <xf numFmtId="0" fontId="17" fillId="0" borderId="1" xfId="7" applyFont="1" applyFill="1" applyBorder="1"/>
    <xf numFmtId="3" fontId="17" fillId="0" borderId="1" xfId="7" applyNumberFormat="1" applyFont="1" applyFill="1" applyBorder="1" applyAlignment="1">
      <alignment horizontal="center" wrapText="1"/>
    </xf>
    <xf numFmtId="0" fontId="17" fillId="0" borderId="0" xfId="7" applyFont="1" applyFill="1"/>
    <xf numFmtId="0" fontId="19" fillId="0" borderId="1" xfId="7" applyFont="1" applyFill="1" applyBorder="1" applyAlignment="1">
      <alignment horizontal="center"/>
    </xf>
    <xf numFmtId="0" fontId="19" fillId="0" borderId="1" xfId="7" applyFont="1" applyFill="1" applyBorder="1"/>
    <xf numFmtId="3" fontId="19" fillId="0" borderId="1" xfId="7" applyNumberFormat="1" applyFont="1" applyFill="1" applyBorder="1"/>
    <xf numFmtId="0" fontId="17" fillId="0" borderId="1" xfId="7" applyFont="1" applyFill="1" applyBorder="1" applyAlignment="1">
      <alignment wrapText="1"/>
    </xf>
    <xf numFmtId="3" fontId="17" fillId="0" borderId="1" xfId="7" applyNumberFormat="1" applyFont="1" applyFill="1" applyBorder="1"/>
    <xf numFmtId="0" fontId="19" fillId="0" borderId="1" xfId="7" applyFont="1" applyFill="1" applyBorder="1" applyAlignment="1">
      <alignment wrapText="1"/>
    </xf>
    <xf numFmtId="0" fontId="19" fillId="0" borderId="0" xfId="7" applyFont="1" applyFill="1"/>
    <xf numFmtId="4" fontId="19" fillId="0" borderId="0" xfId="7" applyNumberFormat="1" applyFont="1" applyFill="1"/>
    <xf numFmtId="0" fontId="17" fillId="0" borderId="0" xfId="0" applyFont="1" applyFill="1"/>
    <xf numFmtId="0" fontId="16" fillId="0" borderId="0" xfId="0" applyFont="1" applyFill="1"/>
    <xf numFmtId="0" fontId="19" fillId="0" borderId="0" xfId="10" applyFont="1" applyFill="1"/>
    <xf numFmtId="0" fontId="16" fillId="0" borderId="0" xfId="10" applyFont="1" applyFill="1"/>
    <xf numFmtId="0" fontId="19" fillId="0" borderId="0" xfId="5" applyFont="1" applyFill="1" applyBorder="1" applyAlignment="1"/>
    <xf numFmtId="0" fontId="19" fillId="0" borderId="0" xfId="0" applyFont="1" applyFill="1"/>
    <xf numFmtId="3" fontId="19" fillId="0" borderId="0" xfId="5" applyNumberFormat="1" applyFont="1" applyFill="1" applyBorder="1" applyAlignment="1"/>
    <xf numFmtId="0" fontId="16" fillId="0" borderId="0" xfId="5" applyFont="1" applyFill="1" applyAlignment="1"/>
    <xf numFmtId="0" fontId="16" fillId="0" borderId="0" xfId="5" applyFont="1" applyFill="1" applyBorder="1" applyAlignment="1">
      <alignment vertical="center" wrapText="1"/>
    </xf>
    <xf numFmtId="0" fontId="16" fillId="0" borderId="0" xfId="10" applyFont="1" applyFill="1" applyBorder="1" applyAlignment="1">
      <alignment vertical="center" wrapText="1"/>
    </xf>
    <xf numFmtId="0" fontId="16" fillId="0" borderId="0" xfId="10" applyFont="1" applyFill="1" applyAlignment="1">
      <alignment horizontal="left"/>
    </xf>
    <xf numFmtId="0" fontId="19" fillId="0" borderId="0" xfId="10" applyFont="1" applyFill="1" applyAlignment="1"/>
    <xf numFmtId="0" fontId="19" fillId="0" borderId="0" xfId="10" applyFont="1" applyFill="1" applyAlignment="1">
      <alignment horizontal="left"/>
    </xf>
    <xf numFmtId="0" fontId="16" fillId="0" borderId="0" xfId="5" applyFont="1" applyFill="1" applyBorder="1" applyAlignment="1">
      <alignment vertical="center"/>
    </xf>
    <xf numFmtId="0" fontId="19" fillId="0" borderId="0" xfId="5" applyFont="1" applyFill="1" applyBorder="1" applyAlignment="1">
      <alignment vertical="center"/>
    </xf>
    <xf numFmtId="0" fontId="19" fillId="0" borderId="0" xfId="2" applyFont="1" applyFill="1" applyAlignment="1"/>
    <xf numFmtId="0" fontId="19" fillId="0" borderId="0" xfId="10" applyFont="1" applyFill="1" applyAlignment="1">
      <alignment horizontal="center"/>
    </xf>
    <xf numFmtId="0" fontId="19" fillId="0" borderId="0" xfId="2" applyFont="1" applyFill="1" applyAlignment="1">
      <alignment horizontal="center"/>
    </xf>
    <xf numFmtId="0" fontId="17" fillId="0" borderId="1" xfId="7" applyFont="1" applyFill="1" applyBorder="1" applyAlignment="1">
      <alignment horizontal="left" wrapText="1"/>
    </xf>
    <xf numFmtId="166" fontId="17" fillId="0" borderId="1" xfId="7" applyNumberFormat="1" applyFont="1" applyFill="1" applyBorder="1"/>
    <xf numFmtId="0" fontId="4" fillId="2" borderId="1" xfId="3" applyFont="1" applyFill="1" applyBorder="1" applyAlignment="1">
      <alignment wrapText="1"/>
    </xf>
    <xf numFmtId="3" fontId="4" fillId="2" borderId="1" xfId="3" applyNumberFormat="1" applyFont="1" applyFill="1" applyBorder="1"/>
    <xf numFmtId="0" fontId="4" fillId="2" borderId="0" xfId="1" applyFont="1" applyFill="1" applyBorder="1"/>
    <xf numFmtId="0" fontId="17" fillId="0" borderId="0" xfId="2" applyFont="1" applyFill="1" applyAlignment="1">
      <alignment horizontal="right"/>
    </xf>
    <xf numFmtId="165" fontId="17" fillId="0" borderId="3" xfId="7" applyNumberFormat="1" applyFont="1" applyFill="1" applyBorder="1" applyAlignment="1">
      <alignment horizontal="center" wrapText="1"/>
    </xf>
    <xf numFmtId="165" fontId="17" fillId="0" borderId="4" xfId="7" applyNumberFormat="1" applyFont="1" applyFill="1" applyBorder="1" applyAlignment="1">
      <alignment horizontal="center" wrapText="1"/>
    </xf>
  </cellXfs>
  <cellStyles count="11">
    <cellStyle name="Normal_PrilDimi" xfId="7"/>
    <cellStyle name="Normal_sesiaI ot4et 2" xfId="5"/>
    <cellStyle name="Normal_Sheet1" xfId="4"/>
    <cellStyle name="Нормален" xfId="0" builtinId="0"/>
    <cellStyle name="Нормален 2" xfId="2"/>
    <cellStyle name="Нормален 3" xfId="8"/>
    <cellStyle name="Нормален 3 2" xfId="6"/>
    <cellStyle name="Нормален 3 2 2" xfId="10"/>
    <cellStyle name="Нормален 7" xfId="9"/>
    <cellStyle name="Нормален_ИП-2011г-начална 2" xfId="1"/>
    <cellStyle name="Нормален_Лист1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F313"/>
  <sheetViews>
    <sheetView tabSelected="1" zoomScaleNormal="100" workbookViewId="0">
      <pane xSplit="1" ySplit="7" topLeftCell="B299" activePane="bottomRight" state="frozen"/>
      <selection activeCell="E57" sqref="E57"/>
      <selection pane="topRight" activeCell="E57" sqref="E57"/>
      <selection pane="bottomLeft" activeCell="E57" sqref="E57"/>
      <selection pane="bottomRight" activeCell="A303" sqref="A303"/>
    </sheetView>
  </sheetViews>
  <sheetFormatPr defaultColWidth="15.5703125" defaultRowHeight="15.75" x14ac:dyDescent="0.25"/>
  <cols>
    <col min="1" max="1" width="53.42578125" style="1" customWidth="1"/>
    <col min="2" max="4" width="12.5703125" style="2" customWidth="1"/>
    <col min="5" max="7" width="15.5703125" style="2" customWidth="1"/>
    <col min="8" max="10" width="17.7109375" style="2" customWidth="1"/>
    <col min="11" max="13" width="12" style="2" customWidth="1"/>
    <col min="14" max="16" width="14.7109375" style="2" customWidth="1"/>
    <col min="17" max="19" width="10.85546875" style="2" customWidth="1"/>
    <col min="20" max="22" width="16.28515625" style="2" customWidth="1"/>
    <col min="23" max="25" width="12.7109375" style="2" customWidth="1"/>
    <col min="26" max="27" width="15.28515625" style="2" customWidth="1"/>
    <col min="28" max="28" width="12.7109375" style="2" customWidth="1"/>
    <col min="29" max="167" width="29.28515625" style="2" customWidth="1"/>
    <col min="168" max="168" width="42.42578125" style="2" customWidth="1"/>
    <col min="169" max="171" width="12.42578125" style="2" customWidth="1"/>
    <col min="172" max="174" width="10.85546875" style="2" customWidth="1"/>
    <col min="175" max="177" width="14.5703125" style="2" bestFit="1" customWidth="1"/>
    <col min="178" max="180" width="11" style="2" customWidth="1"/>
    <col min="181" max="183" width="14.5703125" style="2" customWidth="1"/>
    <col min="184" max="186" width="15.28515625" style="2" customWidth="1"/>
    <col min="187" max="187" width="15.5703125" style="2"/>
    <col min="188" max="188" width="44.5703125" style="2" customWidth="1"/>
    <col min="189" max="189" width="13.85546875" style="2" customWidth="1"/>
    <col min="190" max="190" width="10.85546875" style="2" customWidth="1"/>
    <col min="191" max="191" width="14.5703125" style="2" customWidth="1"/>
    <col min="192" max="192" width="11" style="2" customWidth="1"/>
    <col min="193" max="193" width="10.85546875" style="2" customWidth="1"/>
    <col min="194" max="194" width="14.5703125" style="2" customWidth="1"/>
    <col min="195" max="196" width="15.5703125" style="2" customWidth="1"/>
    <col min="197" max="197" width="17.7109375" style="2" customWidth="1"/>
    <col min="198" max="423" width="29.28515625" style="2" customWidth="1"/>
    <col min="424" max="424" width="42.42578125" style="2" customWidth="1"/>
    <col min="425" max="427" width="12.42578125" style="2" customWidth="1"/>
    <col min="428" max="430" width="10.85546875" style="2" customWidth="1"/>
    <col min="431" max="433" width="14.5703125" style="2" bestFit="1" customWidth="1"/>
    <col min="434" max="436" width="11" style="2" customWidth="1"/>
    <col min="437" max="439" width="14.5703125" style="2" customWidth="1"/>
    <col min="440" max="442" width="15.28515625" style="2" customWidth="1"/>
    <col min="443" max="443" width="15.5703125" style="2"/>
    <col min="444" max="444" width="44.5703125" style="2" customWidth="1"/>
    <col min="445" max="445" width="13.85546875" style="2" customWidth="1"/>
    <col min="446" max="446" width="10.85546875" style="2" customWidth="1"/>
    <col min="447" max="447" width="14.5703125" style="2" customWidth="1"/>
    <col min="448" max="448" width="11" style="2" customWidth="1"/>
    <col min="449" max="449" width="10.85546875" style="2" customWidth="1"/>
    <col min="450" max="450" width="14.5703125" style="2" customWidth="1"/>
    <col min="451" max="452" width="15.5703125" style="2" customWidth="1"/>
    <col min="453" max="453" width="17.7109375" style="2" customWidth="1"/>
    <col min="454" max="679" width="29.28515625" style="2" customWidth="1"/>
    <col min="680" max="680" width="42.42578125" style="2" customWidth="1"/>
    <col min="681" max="683" width="12.42578125" style="2" customWidth="1"/>
    <col min="684" max="686" width="10.85546875" style="2" customWidth="1"/>
    <col min="687" max="689" width="14.5703125" style="2" bestFit="1" customWidth="1"/>
    <col min="690" max="692" width="11" style="2" customWidth="1"/>
    <col min="693" max="695" width="14.5703125" style="2" customWidth="1"/>
    <col min="696" max="698" width="15.28515625" style="2" customWidth="1"/>
    <col min="699" max="699" width="15.5703125" style="2"/>
    <col min="700" max="700" width="44.5703125" style="2" customWidth="1"/>
    <col min="701" max="701" width="13.85546875" style="2" customWidth="1"/>
    <col min="702" max="702" width="10.85546875" style="2" customWidth="1"/>
    <col min="703" max="703" width="14.5703125" style="2" customWidth="1"/>
    <col min="704" max="704" width="11" style="2" customWidth="1"/>
    <col min="705" max="705" width="10.85546875" style="2" customWidth="1"/>
    <col min="706" max="706" width="14.5703125" style="2" customWidth="1"/>
    <col min="707" max="708" width="15.5703125" style="2" customWidth="1"/>
    <col min="709" max="709" width="17.7109375" style="2" customWidth="1"/>
    <col min="710" max="935" width="29.28515625" style="2" customWidth="1"/>
    <col min="936" max="936" width="42.42578125" style="2" customWidth="1"/>
    <col min="937" max="939" width="12.42578125" style="2" customWidth="1"/>
    <col min="940" max="942" width="10.85546875" style="2" customWidth="1"/>
    <col min="943" max="945" width="14.5703125" style="2" bestFit="1" customWidth="1"/>
    <col min="946" max="948" width="11" style="2" customWidth="1"/>
    <col min="949" max="951" width="14.5703125" style="2" customWidth="1"/>
    <col min="952" max="954" width="15.28515625" style="2" customWidth="1"/>
    <col min="955" max="955" width="15.5703125" style="2"/>
    <col min="956" max="956" width="44.5703125" style="2" customWidth="1"/>
    <col min="957" max="957" width="13.85546875" style="2" customWidth="1"/>
    <col min="958" max="958" width="10.85546875" style="2" customWidth="1"/>
    <col min="959" max="959" width="14.5703125" style="2" customWidth="1"/>
    <col min="960" max="960" width="11" style="2" customWidth="1"/>
    <col min="961" max="961" width="10.85546875" style="2" customWidth="1"/>
    <col min="962" max="962" width="14.5703125" style="2" customWidth="1"/>
    <col min="963" max="964" width="15.5703125" style="2" customWidth="1"/>
    <col min="965" max="965" width="17.7109375" style="2" customWidth="1"/>
    <col min="966" max="1191" width="29.28515625" style="2" customWidth="1"/>
    <col min="1192" max="1192" width="42.42578125" style="2" customWidth="1"/>
    <col min="1193" max="1195" width="12.42578125" style="2" customWidth="1"/>
    <col min="1196" max="1198" width="10.85546875" style="2" customWidth="1"/>
    <col min="1199" max="1201" width="14.5703125" style="2" bestFit="1" customWidth="1"/>
    <col min="1202" max="1204" width="11" style="2" customWidth="1"/>
    <col min="1205" max="1207" width="14.5703125" style="2" customWidth="1"/>
    <col min="1208" max="1210" width="15.28515625" style="2" customWidth="1"/>
    <col min="1211" max="1211" width="15.5703125" style="2"/>
    <col min="1212" max="1212" width="44.5703125" style="2" customWidth="1"/>
    <col min="1213" max="1213" width="13.85546875" style="2" customWidth="1"/>
    <col min="1214" max="1214" width="10.85546875" style="2" customWidth="1"/>
    <col min="1215" max="1215" width="14.5703125" style="2" customWidth="1"/>
    <col min="1216" max="1216" width="11" style="2" customWidth="1"/>
    <col min="1217" max="1217" width="10.85546875" style="2" customWidth="1"/>
    <col min="1218" max="1218" width="14.5703125" style="2" customWidth="1"/>
    <col min="1219" max="1220" width="15.5703125" style="2" customWidth="1"/>
    <col min="1221" max="1221" width="17.7109375" style="2" customWidth="1"/>
    <col min="1222" max="1447" width="29.28515625" style="2" customWidth="1"/>
    <col min="1448" max="1448" width="42.42578125" style="2" customWidth="1"/>
    <col min="1449" max="1451" width="12.42578125" style="2" customWidth="1"/>
    <col min="1452" max="1454" width="10.85546875" style="2" customWidth="1"/>
    <col min="1455" max="1457" width="14.5703125" style="2" bestFit="1" customWidth="1"/>
    <col min="1458" max="1460" width="11" style="2" customWidth="1"/>
    <col min="1461" max="1463" width="14.5703125" style="2" customWidth="1"/>
    <col min="1464" max="1466" width="15.28515625" style="2" customWidth="1"/>
    <col min="1467" max="1467" width="15.5703125" style="2"/>
    <col min="1468" max="1468" width="44.5703125" style="2" customWidth="1"/>
    <col min="1469" max="1469" width="13.85546875" style="2" customWidth="1"/>
    <col min="1470" max="1470" width="10.85546875" style="2" customWidth="1"/>
    <col min="1471" max="1471" width="14.5703125" style="2" customWidth="1"/>
    <col min="1472" max="1472" width="11" style="2" customWidth="1"/>
    <col min="1473" max="1473" width="10.85546875" style="2" customWidth="1"/>
    <col min="1474" max="1474" width="14.5703125" style="2" customWidth="1"/>
    <col min="1475" max="1476" width="15.5703125" style="2" customWidth="1"/>
    <col min="1477" max="1477" width="17.7109375" style="2" customWidth="1"/>
    <col min="1478" max="1703" width="29.28515625" style="2" customWidth="1"/>
    <col min="1704" max="1704" width="42.42578125" style="2" customWidth="1"/>
    <col min="1705" max="1707" width="12.42578125" style="2" customWidth="1"/>
    <col min="1708" max="1710" width="10.85546875" style="2" customWidth="1"/>
    <col min="1711" max="1713" width="14.5703125" style="2" bestFit="1" customWidth="1"/>
    <col min="1714" max="1716" width="11" style="2" customWidth="1"/>
    <col min="1717" max="1719" width="14.5703125" style="2" customWidth="1"/>
    <col min="1720" max="1722" width="15.28515625" style="2" customWidth="1"/>
    <col min="1723" max="1723" width="15.5703125" style="2"/>
    <col min="1724" max="1724" width="44.5703125" style="2" customWidth="1"/>
    <col min="1725" max="1725" width="13.85546875" style="2" customWidth="1"/>
    <col min="1726" max="1726" width="10.85546875" style="2" customWidth="1"/>
    <col min="1727" max="1727" width="14.5703125" style="2" customWidth="1"/>
    <col min="1728" max="1728" width="11" style="2" customWidth="1"/>
    <col min="1729" max="1729" width="10.85546875" style="2" customWidth="1"/>
    <col min="1730" max="1730" width="14.5703125" style="2" customWidth="1"/>
    <col min="1731" max="1732" width="15.5703125" style="2" customWidth="1"/>
    <col min="1733" max="1733" width="17.7109375" style="2" customWidth="1"/>
    <col min="1734" max="1959" width="29.28515625" style="2" customWidth="1"/>
    <col min="1960" max="1960" width="42.42578125" style="2" customWidth="1"/>
    <col min="1961" max="1963" width="12.42578125" style="2" customWidth="1"/>
    <col min="1964" max="1966" width="10.85546875" style="2" customWidth="1"/>
    <col min="1967" max="1969" width="14.5703125" style="2" bestFit="1" customWidth="1"/>
    <col min="1970" max="1972" width="11" style="2" customWidth="1"/>
    <col min="1973" max="1975" width="14.5703125" style="2" customWidth="1"/>
    <col min="1976" max="1978" width="15.28515625" style="2" customWidth="1"/>
    <col min="1979" max="1979" width="15.5703125" style="2"/>
    <col min="1980" max="1980" width="44.5703125" style="2" customWidth="1"/>
    <col min="1981" max="1981" width="13.85546875" style="2" customWidth="1"/>
    <col min="1982" max="1982" width="10.85546875" style="2" customWidth="1"/>
    <col min="1983" max="1983" width="14.5703125" style="2" customWidth="1"/>
    <col min="1984" max="1984" width="11" style="2" customWidth="1"/>
    <col min="1985" max="1985" width="10.85546875" style="2" customWidth="1"/>
    <col min="1986" max="1986" width="14.5703125" style="2" customWidth="1"/>
    <col min="1987" max="1988" width="15.5703125" style="2" customWidth="1"/>
    <col min="1989" max="1989" width="17.7109375" style="2" customWidth="1"/>
    <col min="1990" max="2215" width="29.28515625" style="2" customWidth="1"/>
    <col min="2216" max="2216" width="42.42578125" style="2" customWidth="1"/>
    <col min="2217" max="2219" width="12.42578125" style="2" customWidth="1"/>
    <col min="2220" max="2222" width="10.85546875" style="2" customWidth="1"/>
    <col min="2223" max="2225" width="14.5703125" style="2" bestFit="1" customWidth="1"/>
    <col min="2226" max="2228" width="11" style="2" customWidth="1"/>
    <col min="2229" max="2231" width="14.5703125" style="2" customWidth="1"/>
    <col min="2232" max="2234" width="15.28515625" style="2" customWidth="1"/>
    <col min="2235" max="2235" width="15.5703125" style="2"/>
    <col min="2236" max="2236" width="44.5703125" style="2" customWidth="1"/>
    <col min="2237" max="2237" width="13.85546875" style="2" customWidth="1"/>
    <col min="2238" max="2238" width="10.85546875" style="2" customWidth="1"/>
    <col min="2239" max="2239" width="14.5703125" style="2" customWidth="1"/>
    <col min="2240" max="2240" width="11" style="2" customWidth="1"/>
    <col min="2241" max="2241" width="10.85546875" style="2" customWidth="1"/>
    <col min="2242" max="2242" width="14.5703125" style="2" customWidth="1"/>
    <col min="2243" max="2244" width="15.5703125" style="2" customWidth="1"/>
    <col min="2245" max="2245" width="17.7109375" style="2" customWidth="1"/>
    <col min="2246" max="2471" width="29.28515625" style="2" customWidth="1"/>
    <col min="2472" max="2472" width="42.42578125" style="2" customWidth="1"/>
    <col min="2473" max="2475" width="12.42578125" style="2" customWidth="1"/>
    <col min="2476" max="2478" width="10.85546875" style="2" customWidth="1"/>
    <col min="2479" max="2481" width="14.5703125" style="2" bestFit="1" customWidth="1"/>
    <col min="2482" max="2484" width="11" style="2" customWidth="1"/>
    <col min="2485" max="2487" width="14.5703125" style="2" customWidth="1"/>
    <col min="2488" max="2490" width="15.28515625" style="2" customWidth="1"/>
    <col min="2491" max="2491" width="15.5703125" style="2"/>
    <col min="2492" max="2492" width="44.5703125" style="2" customWidth="1"/>
    <col min="2493" max="2493" width="13.85546875" style="2" customWidth="1"/>
    <col min="2494" max="2494" width="10.85546875" style="2" customWidth="1"/>
    <col min="2495" max="2495" width="14.5703125" style="2" customWidth="1"/>
    <col min="2496" max="2496" width="11" style="2" customWidth="1"/>
    <col min="2497" max="2497" width="10.85546875" style="2" customWidth="1"/>
    <col min="2498" max="2498" width="14.5703125" style="2" customWidth="1"/>
    <col min="2499" max="2500" width="15.5703125" style="2" customWidth="1"/>
    <col min="2501" max="2501" width="17.7109375" style="2" customWidth="1"/>
    <col min="2502" max="2727" width="29.28515625" style="2" customWidth="1"/>
    <col min="2728" max="2728" width="42.42578125" style="2" customWidth="1"/>
    <col min="2729" max="2731" width="12.42578125" style="2" customWidth="1"/>
    <col min="2732" max="2734" width="10.85546875" style="2" customWidth="1"/>
    <col min="2735" max="2737" width="14.5703125" style="2" bestFit="1" customWidth="1"/>
    <col min="2738" max="2740" width="11" style="2" customWidth="1"/>
    <col min="2741" max="2743" width="14.5703125" style="2" customWidth="1"/>
    <col min="2744" max="2746" width="15.28515625" style="2" customWidth="1"/>
    <col min="2747" max="2747" width="15.5703125" style="2"/>
    <col min="2748" max="2748" width="44.5703125" style="2" customWidth="1"/>
    <col min="2749" max="2749" width="13.85546875" style="2" customWidth="1"/>
    <col min="2750" max="2750" width="10.85546875" style="2" customWidth="1"/>
    <col min="2751" max="2751" width="14.5703125" style="2" customWidth="1"/>
    <col min="2752" max="2752" width="11" style="2" customWidth="1"/>
    <col min="2753" max="2753" width="10.85546875" style="2" customWidth="1"/>
    <col min="2754" max="2754" width="14.5703125" style="2" customWidth="1"/>
    <col min="2755" max="2756" width="15.5703125" style="2" customWidth="1"/>
    <col min="2757" max="2757" width="17.7109375" style="2" customWidth="1"/>
    <col min="2758" max="2983" width="29.28515625" style="2" customWidth="1"/>
    <col min="2984" max="2984" width="42.42578125" style="2" customWidth="1"/>
    <col min="2985" max="2987" width="12.42578125" style="2" customWidth="1"/>
    <col min="2988" max="2990" width="10.85546875" style="2" customWidth="1"/>
    <col min="2991" max="2993" width="14.5703125" style="2" bestFit="1" customWidth="1"/>
    <col min="2994" max="2996" width="11" style="2" customWidth="1"/>
    <col min="2997" max="2999" width="14.5703125" style="2" customWidth="1"/>
    <col min="3000" max="3002" width="15.28515625" style="2" customWidth="1"/>
    <col min="3003" max="3003" width="15.5703125" style="2"/>
    <col min="3004" max="3004" width="44.5703125" style="2" customWidth="1"/>
    <col min="3005" max="3005" width="13.85546875" style="2" customWidth="1"/>
    <col min="3006" max="3006" width="10.85546875" style="2" customWidth="1"/>
    <col min="3007" max="3007" width="14.5703125" style="2" customWidth="1"/>
    <col min="3008" max="3008" width="11" style="2" customWidth="1"/>
    <col min="3009" max="3009" width="10.85546875" style="2" customWidth="1"/>
    <col min="3010" max="3010" width="14.5703125" style="2" customWidth="1"/>
    <col min="3011" max="3012" width="15.5703125" style="2" customWidth="1"/>
    <col min="3013" max="3013" width="17.7109375" style="2" customWidth="1"/>
    <col min="3014" max="3239" width="29.28515625" style="2" customWidth="1"/>
    <col min="3240" max="3240" width="42.42578125" style="2" customWidth="1"/>
    <col min="3241" max="3243" width="12.42578125" style="2" customWidth="1"/>
    <col min="3244" max="3246" width="10.85546875" style="2" customWidth="1"/>
    <col min="3247" max="3249" width="14.5703125" style="2" bestFit="1" customWidth="1"/>
    <col min="3250" max="3252" width="11" style="2" customWidth="1"/>
    <col min="3253" max="3255" width="14.5703125" style="2" customWidth="1"/>
    <col min="3256" max="3258" width="15.28515625" style="2" customWidth="1"/>
    <col min="3259" max="3259" width="15.5703125" style="2"/>
    <col min="3260" max="3260" width="44.5703125" style="2" customWidth="1"/>
    <col min="3261" max="3261" width="13.85546875" style="2" customWidth="1"/>
    <col min="3262" max="3262" width="10.85546875" style="2" customWidth="1"/>
    <col min="3263" max="3263" width="14.5703125" style="2" customWidth="1"/>
    <col min="3264" max="3264" width="11" style="2" customWidth="1"/>
    <col min="3265" max="3265" width="10.85546875" style="2" customWidth="1"/>
    <col min="3266" max="3266" width="14.5703125" style="2" customWidth="1"/>
    <col min="3267" max="3268" width="15.5703125" style="2" customWidth="1"/>
    <col min="3269" max="3269" width="17.7109375" style="2" customWidth="1"/>
    <col min="3270" max="3495" width="29.28515625" style="2" customWidth="1"/>
    <col min="3496" max="3496" width="42.42578125" style="2" customWidth="1"/>
    <col min="3497" max="3499" width="12.42578125" style="2" customWidth="1"/>
    <col min="3500" max="3502" width="10.85546875" style="2" customWidth="1"/>
    <col min="3503" max="3505" width="14.5703125" style="2" bestFit="1" customWidth="1"/>
    <col min="3506" max="3508" width="11" style="2" customWidth="1"/>
    <col min="3509" max="3511" width="14.5703125" style="2" customWidth="1"/>
    <col min="3512" max="3514" width="15.28515625" style="2" customWidth="1"/>
    <col min="3515" max="3515" width="15.5703125" style="2"/>
    <col min="3516" max="3516" width="44.5703125" style="2" customWidth="1"/>
    <col min="3517" max="3517" width="13.85546875" style="2" customWidth="1"/>
    <col min="3518" max="3518" width="10.85546875" style="2" customWidth="1"/>
    <col min="3519" max="3519" width="14.5703125" style="2" customWidth="1"/>
    <col min="3520" max="3520" width="11" style="2" customWidth="1"/>
    <col min="3521" max="3521" width="10.85546875" style="2" customWidth="1"/>
    <col min="3522" max="3522" width="14.5703125" style="2" customWidth="1"/>
    <col min="3523" max="3524" width="15.5703125" style="2" customWidth="1"/>
    <col min="3525" max="3525" width="17.7109375" style="2" customWidth="1"/>
    <col min="3526" max="3751" width="29.28515625" style="2" customWidth="1"/>
    <col min="3752" max="3752" width="42.42578125" style="2" customWidth="1"/>
    <col min="3753" max="3755" width="12.42578125" style="2" customWidth="1"/>
    <col min="3756" max="3758" width="10.85546875" style="2" customWidth="1"/>
    <col min="3759" max="3761" width="14.5703125" style="2" bestFit="1" customWidth="1"/>
    <col min="3762" max="3764" width="11" style="2" customWidth="1"/>
    <col min="3765" max="3767" width="14.5703125" style="2" customWidth="1"/>
    <col min="3768" max="3770" width="15.28515625" style="2" customWidth="1"/>
    <col min="3771" max="3771" width="15.5703125" style="2"/>
    <col min="3772" max="3772" width="44.5703125" style="2" customWidth="1"/>
    <col min="3773" max="3773" width="13.85546875" style="2" customWidth="1"/>
    <col min="3774" max="3774" width="10.85546875" style="2" customWidth="1"/>
    <col min="3775" max="3775" width="14.5703125" style="2" customWidth="1"/>
    <col min="3776" max="3776" width="11" style="2" customWidth="1"/>
    <col min="3777" max="3777" width="10.85546875" style="2" customWidth="1"/>
    <col min="3778" max="3778" width="14.5703125" style="2" customWidth="1"/>
    <col min="3779" max="3780" width="15.5703125" style="2" customWidth="1"/>
    <col min="3781" max="3781" width="17.7109375" style="2" customWidth="1"/>
    <col min="3782" max="4007" width="29.28515625" style="2" customWidth="1"/>
    <col min="4008" max="4008" width="42.42578125" style="2" customWidth="1"/>
    <col min="4009" max="4011" width="12.42578125" style="2" customWidth="1"/>
    <col min="4012" max="4014" width="10.85546875" style="2" customWidth="1"/>
    <col min="4015" max="4017" width="14.5703125" style="2" bestFit="1" customWidth="1"/>
    <col min="4018" max="4020" width="11" style="2" customWidth="1"/>
    <col min="4021" max="4023" width="14.5703125" style="2" customWidth="1"/>
    <col min="4024" max="4026" width="15.28515625" style="2" customWidth="1"/>
    <col min="4027" max="4027" width="15.5703125" style="2"/>
    <col min="4028" max="4028" width="44.5703125" style="2" customWidth="1"/>
    <col min="4029" max="4029" width="13.85546875" style="2" customWidth="1"/>
    <col min="4030" max="4030" width="10.85546875" style="2" customWidth="1"/>
    <col min="4031" max="4031" width="14.5703125" style="2" customWidth="1"/>
    <col min="4032" max="4032" width="11" style="2" customWidth="1"/>
    <col min="4033" max="4033" width="10.85546875" style="2" customWidth="1"/>
    <col min="4034" max="4034" width="14.5703125" style="2" customWidth="1"/>
    <col min="4035" max="4036" width="15.5703125" style="2" customWidth="1"/>
    <col min="4037" max="4037" width="17.7109375" style="2" customWidth="1"/>
    <col min="4038" max="4263" width="29.28515625" style="2" customWidth="1"/>
    <col min="4264" max="4264" width="42.42578125" style="2" customWidth="1"/>
    <col min="4265" max="4267" width="12.42578125" style="2" customWidth="1"/>
    <col min="4268" max="4270" width="10.85546875" style="2" customWidth="1"/>
    <col min="4271" max="4273" width="14.5703125" style="2" bestFit="1" customWidth="1"/>
    <col min="4274" max="4276" width="11" style="2" customWidth="1"/>
    <col min="4277" max="4279" width="14.5703125" style="2" customWidth="1"/>
    <col min="4280" max="4282" width="15.28515625" style="2" customWidth="1"/>
    <col min="4283" max="4283" width="15.5703125" style="2"/>
    <col min="4284" max="4284" width="44.5703125" style="2" customWidth="1"/>
    <col min="4285" max="4285" width="13.85546875" style="2" customWidth="1"/>
    <col min="4286" max="4286" width="10.85546875" style="2" customWidth="1"/>
    <col min="4287" max="4287" width="14.5703125" style="2" customWidth="1"/>
    <col min="4288" max="4288" width="11" style="2" customWidth="1"/>
    <col min="4289" max="4289" width="10.85546875" style="2" customWidth="1"/>
    <col min="4290" max="4290" width="14.5703125" style="2" customWidth="1"/>
    <col min="4291" max="4292" width="15.5703125" style="2" customWidth="1"/>
    <col min="4293" max="4293" width="17.7109375" style="2" customWidth="1"/>
    <col min="4294" max="4519" width="29.28515625" style="2" customWidth="1"/>
    <col min="4520" max="4520" width="42.42578125" style="2" customWidth="1"/>
    <col min="4521" max="4523" width="12.42578125" style="2" customWidth="1"/>
    <col min="4524" max="4526" width="10.85546875" style="2" customWidth="1"/>
    <col min="4527" max="4529" width="14.5703125" style="2" bestFit="1" customWidth="1"/>
    <col min="4530" max="4532" width="11" style="2" customWidth="1"/>
    <col min="4533" max="4535" width="14.5703125" style="2" customWidth="1"/>
    <col min="4536" max="4538" width="15.28515625" style="2" customWidth="1"/>
    <col min="4539" max="4539" width="15.5703125" style="2"/>
    <col min="4540" max="4540" width="44.5703125" style="2" customWidth="1"/>
    <col min="4541" max="4541" width="13.85546875" style="2" customWidth="1"/>
    <col min="4542" max="4542" width="10.85546875" style="2" customWidth="1"/>
    <col min="4543" max="4543" width="14.5703125" style="2" customWidth="1"/>
    <col min="4544" max="4544" width="11" style="2" customWidth="1"/>
    <col min="4545" max="4545" width="10.85546875" style="2" customWidth="1"/>
    <col min="4546" max="4546" width="14.5703125" style="2" customWidth="1"/>
    <col min="4547" max="4548" width="15.5703125" style="2" customWidth="1"/>
    <col min="4549" max="4549" width="17.7109375" style="2" customWidth="1"/>
    <col min="4550" max="4775" width="29.28515625" style="2" customWidth="1"/>
    <col min="4776" max="4776" width="42.42578125" style="2" customWidth="1"/>
    <col min="4777" max="4779" width="12.42578125" style="2" customWidth="1"/>
    <col min="4780" max="4782" width="10.85546875" style="2" customWidth="1"/>
    <col min="4783" max="4785" width="14.5703125" style="2" bestFit="1" customWidth="1"/>
    <col min="4786" max="4788" width="11" style="2" customWidth="1"/>
    <col min="4789" max="4791" width="14.5703125" style="2" customWidth="1"/>
    <col min="4792" max="4794" width="15.28515625" style="2" customWidth="1"/>
    <col min="4795" max="4795" width="15.5703125" style="2"/>
    <col min="4796" max="4796" width="44.5703125" style="2" customWidth="1"/>
    <col min="4797" max="4797" width="13.85546875" style="2" customWidth="1"/>
    <col min="4798" max="4798" width="10.85546875" style="2" customWidth="1"/>
    <col min="4799" max="4799" width="14.5703125" style="2" customWidth="1"/>
    <col min="4800" max="4800" width="11" style="2" customWidth="1"/>
    <col min="4801" max="4801" width="10.85546875" style="2" customWidth="1"/>
    <col min="4802" max="4802" width="14.5703125" style="2" customWidth="1"/>
    <col min="4803" max="4804" width="15.5703125" style="2" customWidth="1"/>
    <col min="4805" max="4805" width="17.7109375" style="2" customWidth="1"/>
    <col min="4806" max="5031" width="29.28515625" style="2" customWidth="1"/>
    <col min="5032" max="5032" width="42.42578125" style="2" customWidth="1"/>
    <col min="5033" max="5035" width="12.42578125" style="2" customWidth="1"/>
    <col min="5036" max="5038" width="10.85546875" style="2" customWidth="1"/>
    <col min="5039" max="5041" width="14.5703125" style="2" bestFit="1" customWidth="1"/>
    <col min="5042" max="5044" width="11" style="2" customWidth="1"/>
    <col min="5045" max="5047" width="14.5703125" style="2" customWidth="1"/>
    <col min="5048" max="5050" width="15.28515625" style="2" customWidth="1"/>
    <col min="5051" max="5051" width="15.5703125" style="2"/>
    <col min="5052" max="5052" width="44.5703125" style="2" customWidth="1"/>
    <col min="5053" max="5053" width="13.85546875" style="2" customWidth="1"/>
    <col min="5054" max="5054" width="10.85546875" style="2" customWidth="1"/>
    <col min="5055" max="5055" width="14.5703125" style="2" customWidth="1"/>
    <col min="5056" max="5056" width="11" style="2" customWidth="1"/>
    <col min="5057" max="5057" width="10.85546875" style="2" customWidth="1"/>
    <col min="5058" max="5058" width="14.5703125" style="2" customWidth="1"/>
    <col min="5059" max="5060" width="15.5703125" style="2" customWidth="1"/>
    <col min="5061" max="5061" width="17.7109375" style="2" customWidth="1"/>
    <col min="5062" max="5287" width="29.28515625" style="2" customWidth="1"/>
    <col min="5288" max="5288" width="42.42578125" style="2" customWidth="1"/>
    <col min="5289" max="5291" width="12.42578125" style="2" customWidth="1"/>
    <col min="5292" max="5294" width="10.85546875" style="2" customWidth="1"/>
    <col min="5295" max="5297" width="14.5703125" style="2" bestFit="1" customWidth="1"/>
    <col min="5298" max="5300" width="11" style="2" customWidth="1"/>
    <col min="5301" max="5303" width="14.5703125" style="2" customWidth="1"/>
    <col min="5304" max="5306" width="15.28515625" style="2" customWidth="1"/>
    <col min="5307" max="5307" width="15.5703125" style="2"/>
    <col min="5308" max="5308" width="44.5703125" style="2" customWidth="1"/>
    <col min="5309" max="5309" width="13.85546875" style="2" customWidth="1"/>
    <col min="5310" max="5310" width="10.85546875" style="2" customWidth="1"/>
    <col min="5311" max="5311" width="14.5703125" style="2" customWidth="1"/>
    <col min="5312" max="5312" width="11" style="2" customWidth="1"/>
    <col min="5313" max="5313" width="10.85546875" style="2" customWidth="1"/>
    <col min="5314" max="5314" width="14.5703125" style="2" customWidth="1"/>
    <col min="5315" max="5316" width="15.5703125" style="2" customWidth="1"/>
    <col min="5317" max="5317" width="17.7109375" style="2" customWidth="1"/>
    <col min="5318" max="5543" width="29.28515625" style="2" customWidth="1"/>
    <col min="5544" max="5544" width="42.42578125" style="2" customWidth="1"/>
    <col min="5545" max="5547" width="12.42578125" style="2" customWidth="1"/>
    <col min="5548" max="5550" width="10.85546875" style="2" customWidth="1"/>
    <col min="5551" max="5553" width="14.5703125" style="2" bestFit="1" customWidth="1"/>
    <col min="5554" max="5556" width="11" style="2" customWidth="1"/>
    <col min="5557" max="5559" width="14.5703125" style="2" customWidth="1"/>
    <col min="5560" max="5562" width="15.28515625" style="2" customWidth="1"/>
    <col min="5563" max="5563" width="15.5703125" style="2"/>
    <col min="5564" max="5564" width="44.5703125" style="2" customWidth="1"/>
    <col min="5565" max="5565" width="13.85546875" style="2" customWidth="1"/>
    <col min="5566" max="5566" width="10.85546875" style="2" customWidth="1"/>
    <col min="5567" max="5567" width="14.5703125" style="2" customWidth="1"/>
    <col min="5568" max="5568" width="11" style="2" customWidth="1"/>
    <col min="5569" max="5569" width="10.85546875" style="2" customWidth="1"/>
    <col min="5570" max="5570" width="14.5703125" style="2" customWidth="1"/>
    <col min="5571" max="5572" width="15.5703125" style="2" customWidth="1"/>
    <col min="5573" max="5573" width="17.7109375" style="2" customWidth="1"/>
    <col min="5574" max="5799" width="29.28515625" style="2" customWidth="1"/>
    <col min="5800" max="5800" width="42.42578125" style="2" customWidth="1"/>
    <col min="5801" max="5803" width="12.42578125" style="2" customWidth="1"/>
    <col min="5804" max="5806" width="10.85546875" style="2" customWidth="1"/>
    <col min="5807" max="5809" width="14.5703125" style="2" bestFit="1" customWidth="1"/>
    <col min="5810" max="5812" width="11" style="2" customWidth="1"/>
    <col min="5813" max="5815" width="14.5703125" style="2" customWidth="1"/>
    <col min="5816" max="5818" width="15.28515625" style="2" customWidth="1"/>
    <col min="5819" max="5819" width="15.5703125" style="2"/>
    <col min="5820" max="5820" width="44.5703125" style="2" customWidth="1"/>
    <col min="5821" max="5821" width="13.85546875" style="2" customWidth="1"/>
    <col min="5822" max="5822" width="10.85546875" style="2" customWidth="1"/>
    <col min="5823" max="5823" width="14.5703125" style="2" customWidth="1"/>
    <col min="5824" max="5824" width="11" style="2" customWidth="1"/>
    <col min="5825" max="5825" width="10.85546875" style="2" customWidth="1"/>
    <col min="5826" max="5826" width="14.5703125" style="2" customWidth="1"/>
    <col min="5827" max="5828" width="15.5703125" style="2" customWidth="1"/>
    <col min="5829" max="5829" width="17.7109375" style="2" customWidth="1"/>
    <col min="5830" max="6055" width="29.28515625" style="2" customWidth="1"/>
    <col min="6056" max="6056" width="42.42578125" style="2" customWidth="1"/>
    <col min="6057" max="6059" width="12.42578125" style="2" customWidth="1"/>
    <col min="6060" max="6062" width="10.85546875" style="2" customWidth="1"/>
    <col min="6063" max="6065" width="14.5703125" style="2" bestFit="1" customWidth="1"/>
    <col min="6066" max="6068" width="11" style="2" customWidth="1"/>
    <col min="6069" max="6071" width="14.5703125" style="2" customWidth="1"/>
    <col min="6072" max="6074" width="15.28515625" style="2" customWidth="1"/>
    <col min="6075" max="6075" width="15.5703125" style="2"/>
    <col min="6076" max="6076" width="44.5703125" style="2" customWidth="1"/>
    <col min="6077" max="6077" width="13.85546875" style="2" customWidth="1"/>
    <col min="6078" max="6078" width="10.85546875" style="2" customWidth="1"/>
    <col min="6079" max="6079" width="14.5703125" style="2" customWidth="1"/>
    <col min="6080" max="6080" width="11" style="2" customWidth="1"/>
    <col min="6081" max="6081" width="10.85546875" style="2" customWidth="1"/>
    <col min="6082" max="6082" width="14.5703125" style="2" customWidth="1"/>
    <col min="6083" max="6084" width="15.5703125" style="2" customWidth="1"/>
    <col min="6085" max="6085" width="17.7109375" style="2" customWidth="1"/>
    <col min="6086" max="6311" width="29.28515625" style="2" customWidth="1"/>
    <col min="6312" max="6312" width="42.42578125" style="2" customWidth="1"/>
    <col min="6313" max="6315" width="12.42578125" style="2" customWidth="1"/>
    <col min="6316" max="6318" width="10.85546875" style="2" customWidth="1"/>
    <col min="6319" max="6321" width="14.5703125" style="2" bestFit="1" customWidth="1"/>
    <col min="6322" max="6324" width="11" style="2" customWidth="1"/>
    <col min="6325" max="6327" width="14.5703125" style="2" customWidth="1"/>
    <col min="6328" max="6330" width="15.28515625" style="2" customWidth="1"/>
    <col min="6331" max="6331" width="15.5703125" style="2"/>
    <col min="6332" max="6332" width="44.5703125" style="2" customWidth="1"/>
    <col min="6333" max="6333" width="13.85546875" style="2" customWidth="1"/>
    <col min="6334" max="6334" width="10.85546875" style="2" customWidth="1"/>
    <col min="6335" max="6335" width="14.5703125" style="2" customWidth="1"/>
    <col min="6336" max="6336" width="11" style="2" customWidth="1"/>
    <col min="6337" max="6337" width="10.85546875" style="2" customWidth="1"/>
    <col min="6338" max="6338" width="14.5703125" style="2" customWidth="1"/>
    <col min="6339" max="6340" width="15.5703125" style="2" customWidth="1"/>
    <col min="6341" max="6341" width="17.7109375" style="2" customWidth="1"/>
    <col min="6342" max="6567" width="29.28515625" style="2" customWidth="1"/>
    <col min="6568" max="6568" width="42.42578125" style="2" customWidth="1"/>
    <col min="6569" max="6571" width="12.42578125" style="2" customWidth="1"/>
    <col min="6572" max="6574" width="10.85546875" style="2" customWidth="1"/>
    <col min="6575" max="6577" width="14.5703125" style="2" bestFit="1" customWidth="1"/>
    <col min="6578" max="6580" width="11" style="2" customWidth="1"/>
    <col min="6581" max="6583" width="14.5703125" style="2" customWidth="1"/>
    <col min="6584" max="6586" width="15.28515625" style="2" customWidth="1"/>
    <col min="6587" max="6587" width="15.5703125" style="2"/>
    <col min="6588" max="6588" width="44.5703125" style="2" customWidth="1"/>
    <col min="6589" max="6589" width="13.85546875" style="2" customWidth="1"/>
    <col min="6590" max="6590" width="10.85546875" style="2" customWidth="1"/>
    <col min="6591" max="6591" width="14.5703125" style="2" customWidth="1"/>
    <col min="6592" max="6592" width="11" style="2" customWidth="1"/>
    <col min="6593" max="6593" width="10.85546875" style="2" customWidth="1"/>
    <col min="6594" max="6594" width="14.5703125" style="2" customWidth="1"/>
    <col min="6595" max="6596" width="15.5703125" style="2" customWidth="1"/>
    <col min="6597" max="6597" width="17.7109375" style="2" customWidth="1"/>
    <col min="6598" max="6823" width="29.28515625" style="2" customWidth="1"/>
    <col min="6824" max="6824" width="42.42578125" style="2" customWidth="1"/>
    <col min="6825" max="6827" width="12.42578125" style="2" customWidth="1"/>
    <col min="6828" max="6830" width="10.85546875" style="2" customWidth="1"/>
    <col min="6831" max="6833" width="14.5703125" style="2" bestFit="1" customWidth="1"/>
    <col min="6834" max="6836" width="11" style="2" customWidth="1"/>
    <col min="6837" max="6839" width="14.5703125" style="2" customWidth="1"/>
    <col min="6840" max="6842" width="15.28515625" style="2" customWidth="1"/>
    <col min="6843" max="6843" width="15.5703125" style="2"/>
    <col min="6844" max="6844" width="44.5703125" style="2" customWidth="1"/>
    <col min="6845" max="6845" width="13.85546875" style="2" customWidth="1"/>
    <col min="6846" max="6846" width="10.85546875" style="2" customWidth="1"/>
    <col min="6847" max="6847" width="14.5703125" style="2" customWidth="1"/>
    <col min="6848" max="6848" width="11" style="2" customWidth="1"/>
    <col min="6849" max="6849" width="10.85546875" style="2" customWidth="1"/>
    <col min="6850" max="6850" width="14.5703125" style="2" customWidth="1"/>
    <col min="6851" max="6852" width="15.5703125" style="2" customWidth="1"/>
    <col min="6853" max="6853" width="17.7109375" style="2" customWidth="1"/>
    <col min="6854" max="7079" width="29.28515625" style="2" customWidth="1"/>
    <col min="7080" max="7080" width="42.42578125" style="2" customWidth="1"/>
    <col min="7081" max="7083" width="12.42578125" style="2" customWidth="1"/>
    <col min="7084" max="7086" width="10.85546875" style="2" customWidth="1"/>
    <col min="7087" max="7089" width="14.5703125" style="2" bestFit="1" customWidth="1"/>
    <col min="7090" max="7092" width="11" style="2" customWidth="1"/>
    <col min="7093" max="7095" width="14.5703125" style="2" customWidth="1"/>
    <col min="7096" max="7098" width="15.28515625" style="2" customWidth="1"/>
    <col min="7099" max="7099" width="15.5703125" style="2"/>
    <col min="7100" max="7100" width="44.5703125" style="2" customWidth="1"/>
    <col min="7101" max="7101" width="13.85546875" style="2" customWidth="1"/>
    <col min="7102" max="7102" width="10.85546875" style="2" customWidth="1"/>
    <col min="7103" max="7103" width="14.5703125" style="2" customWidth="1"/>
    <col min="7104" max="7104" width="11" style="2" customWidth="1"/>
    <col min="7105" max="7105" width="10.85546875" style="2" customWidth="1"/>
    <col min="7106" max="7106" width="14.5703125" style="2" customWidth="1"/>
    <col min="7107" max="7108" width="15.5703125" style="2" customWidth="1"/>
    <col min="7109" max="7109" width="17.7109375" style="2" customWidth="1"/>
    <col min="7110" max="7335" width="29.28515625" style="2" customWidth="1"/>
    <col min="7336" max="7336" width="42.42578125" style="2" customWidth="1"/>
    <col min="7337" max="7339" width="12.42578125" style="2" customWidth="1"/>
    <col min="7340" max="7342" width="10.85546875" style="2" customWidth="1"/>
    <col min="7343" max="7345" width="14.5703125" style="2" bestFit="1" customWidth="1"/>
    <col min="7346" max="7348" width="11" style="2" customWidth="1"/>
    <col min="7349" max="7351" width="14.5703125" style="2" customWidth="1"/>
    <col min="7352" max="7354" width="15.28515625" style="2" customWidth="1"/>
    <col min="7355" max="7355" width="15.5703125" style="2"/>
    <col min="7356" max="7356" width="44.5703125" style="2" customWidth="1"/>
    <col min="7357" max="7357" width="13.85546875" style="2" customWidth="1"/>
    <col min="7358" max="7358" width="10.85546875" style="2" customWidth="1"/>
    <col min="7359" max="7359" width="14.5703125" style="2" customWidth="1"/>
    <col min="7360" max="7360" width="11" style="2" customWidth="1"/>
    <col min="7361" max="7361" width="10.85546875" style="2" customWidth="1"/>
    <col min="7362" max="7362" width="14.5703125" style="2" customWidth="1"/>
    <col min="7363" max="7364" width="15.5703125" style="2" customWidth="1"/>
    <col min="7365" max="7365" width="17.7109375" style="2" customWidth="1"/>
    <col min="7366" max="7591" width="29.28515625" style="2" customWidth="1"/>
    <col min="7592" max="7592" width="42.42578125" style="2" customWidth="1"/>
    <col min="7593" max="7595" width="12.42578125" style="2" customWidth="1"/>
    <col min="7596" max="7598" width="10.85546875" style="2" customWidth="1"/>
    <col min="7599" max="7601" width="14.5703125" style="2" bestFit="1" customWidth="1"/>
    <col min="7602" max="7604" width="11" style="2" customWidth="1"/>
    <col min="7605" max="7607" width="14.5703125" style="2" customWidth="1"/>
    <col min="7608" max="7610" width="15.28515625" style="2" customWidth="1"/>
    <col min="7611" max="7611" width="15.5703125" style="2"/>
    <col min="7612" max="7612" width="44.5703125" style="2" customWidth="1"/>
    <col min="7613" max="7613" width="13.85546875" style="2" customWidth="1"/>
    <col min="7614" max="7614" width="10.85546875" style="2" customWidth="1"/>
    <col min="7615" max="7615" width="14.5703125" style="2" customWidth="1"/>
    <col min="7616" max="7616" width="11" style="2" customWidth="1"/>
    <col min="7617" max="7617" width="10.85546875" style="2" customWidth="1"/>
    <col min="7618" max="7618" width="14.5703125" style="2" customWidth="1"/>
    <col min="7619" max="7620" width="15.5703125" style="2" customWidth="1"/>
    <col min="7621" max="7621" width="17.7109375" style="2" customWidth="1"/>
    <col min="7622" max="7847" width="29.28515625" style="2" customWidth="1"/>
    <col min="7848" max="7848" width="42.42578125" style="2" customWidth="1"/>
    <col min="7849" max="7851" width="12.42578125" style="2" customWidth="1"/>
    <col min="7852" max="7854" width="10.85546875" style="2" customWidth="1"/>
    <col min="7855" max="7857" width="14.5703125" style="2" bestFit="1" customWidth="1"/>
    <col min="7858" max="7860" width="11" style="2" customWidth="1"/>
    <col min="7861" max="7863" width="14.5703125" style="2" customWidth="1"/>
    <col min="7864" max="7866" width="15.28515625" style="2" customWidth="1"/>
    <col min="7867" max="7867" width="15.5703125" style="2"/>
    <col min="7868" max="7868" width="44.5703125" style="2" customWidth="1"/>
    <col min="7869" max="7869" width="13.85546875" style="2" customWidth="1"/>
    <col min="7870" max="7870" width="10.85546875" style="2" customWidth="1"/>
    <col min="7871" max="7871" width="14.5703125" style="2" customWidth="1"/>
    <col min="7872" max="7872" width="11" style="2" customWidth="1"/>
    <col min="7873" max="7873" width="10.85546875" style="2" customWidth="1"/>
    <col min="7874" max="7874" width="14.5703125" style="2" customWidth="1"/>
    <col min="7875" max="7876" width="15.5703125" style="2" customWidth="1"/>
    <col min="7877" max="7877" width="17.7109375" style="2" customWidth="1"/>
    <col min="7878" max="8103" width="29.28515625" style="2" customWidth="1"/>
    <col min="8104" max="8104" width="42.42578125" style="2" customWidth="1"/>
    <col min="8105" max="8107" width="12.42578125" style="2" customWidth="1"/>
    <col min="8108" max="8110" width="10.85546875" style="2" customWidth="1"/>
    <col min="8111" max="8113" width="14.5703125" style="2" bestFit="1" customWidth="1"/>
    <col min="8114" max="8116" width="11" style="2" customWidth="1"/>
    <col min="8117" max="8119" width="14.5703125" style="2" customWidth="1"/>
    <col min="8120" max="8122" width="15.28515625" style="2" customWidth="1"/>
    <col min="8123" max="8123" width="15.5703125" style="2"/>
    <col min="8124" max="8124" width="44.5703125" style="2" customWidth="1"/>
    <col min="8125" max="8125" width="13.85546875" style="2" customWidth="1"/>
    <col min="8126" max="8126" width="10.85546875" style="2" customWidth="1"/>
    <col min="8127" max="8127" width="14.5703125" style="2" customWidth="1"/>
    <col min="8128" max="8128" width="11" style="2" customWidth="1"/>
    <col min="8129" max="8129" width="10.85546875" style="2" customWidth="1"/>
    <col min="8130" max="8130" width="14.5703125" style="2" customWidth="1"/>
    <col min="8131" max="8132" width="15.5703125" style="2" customWidth="1"/>
    <col min="8133" max="8133" width="17.7109375" style="2" customWidth="1"/>
    <col min="8134" max="8359" width="29.28515625" style="2" customWidth="1"/>
    <col min="8360" max="8360" width="42.42578125" style="2" customWidth="1"/>
    <col min="8361" max="8363" width="12.42578125" style="2" customWidth="1"/>
    <col min="8364" max="8366" width="10.85546875" style="2" customWidth="1"/>
    <col min="8367" max="8369" width="14.5703125" style="2" bestFit="1" customWidth="1"/>
    <col min="8370" max="8372" width="11" style="2" customWidth="1"/>
    <col min="8373" max="8375" width="14.5703125" style="2" customWidth="1"/>
    <col min="8376" max="8378" width="15.28515625" style="2" customWidth="1"/>
    <col min="8379" max="8379" width="15.5703125" style="2"/>
    <col min="8380" max="8380" width="44.5703125" style="2" customWidth="1"/>
    <col min="8381" max="8381" width="13.85546875" style="2" customWidth="1"/>
    <col min="8382" max="8382" width="10.85546875" style="2" customWidth="1"/>
    <col min="8383" max="8383" width="14.5703125" style="2" customWidth="1"/>
    <col min="8384" max="8384" width="11" style="2" customWidth="1"/>
    <col min="8385" max="8385" width="10.85546875" style="2" customWidth="1"/>
    <col min="8386" max="8386" width="14.5703125" style="2" customWidth="1"/>
    <col min="8387" max="8388" width="15.5703125" style="2" customWidth="1"/>
    <col min="8389" max="8389" width="17.7109375" style="2" customWidth="1"/>
    <col min="8390" max="8615" width="29.28515625" style="2" customWidth="1"/>
    <col min="8616" max="8616" width="42.42578125" style="2" customWidth="1"/>
    <col min="8617" max="8619" width="12.42578125" style="2" customWidth="1"/>
    <col min="8620" max="8622" width="10.85546875" style="2" customWidth="1"/>
    <col min="8623" max="8625" width="14.5703125" style="2" bestFit="1" customWidth="1"/>
    <col min="8626" max="8628" width="11" style="2" customWidth="1"/>
    <col min="8629" max="8631" width="14.5703125" style="2" customWidth="1"/>
    <col min="8632" max="8634" width="15.28515625" style="2" customWidth="1"/>
    <col min="8635" max="8635" width="15.5703125" style="2"/>
    <col min="8636" max="8636" width="44.5703125" style="2" customWidth="1"/>
    <col min="8637" max="8637" width="13.85546875" style="2" customWidth="1"/>
    <col min="8638" max="8638" width="10.85546875" style="2" customWidth="1"/>
    <col min="8639" max="8639" width="14.5703125" style="2" customWidth="1"/>
    <col min="8640" max="8640" width="11" style="2" customWidth="1"/>
    <col min="8641" max="8641" width="10.85546875" style="2" customWidth="1"/>
    <col min="8642" max="8642" width="14.5703125" style="2" customWidth="1"/>
    <col min="8643" max="8644" width="15.5703125" style="2" customWidth="1"/>
    <col min="8645" max="8645" width="17.7109375" style="2" customWidth="1"/>
    <col min="8646" max="8871" width="29.28515625" style="2" customWidth="1"/>
    <col min="8872" max="8872" width="42.42578125" style="2" customWidth="1"/>
    <col min="8873" max="8875" width="12.42578125" style="2" customWidth="1"/>
    <col min="8876" max="8878" width="10.85546875" style="2" customWidth="1"/>
    <col min="8879" max="8881" width="14.5703125" style="2" bestFit="1" customWidth="1"/>
    <col min="8882" max="8884" width="11" style="2" customWidth="1"/>
    <col min="8885" max="8887" width="14.5703125" style="2" customWidth="1"/>
    <col min="8888" max="8890" width="15.28515625" style="2" customWidth="1"/>
    <col min="8891" max="8891" width="15.5703125" style="2"/>
    <col min="8892" max="8892" width="44.5703125" style="2" customWidth="1"/>
    <col min="8893" max="8893" width="13.85546875" style="2" customWidth="1"/>
    <col min="8894" max="8894" width="10.85546875" style="2" customWidth="1"/>
    <col min="8895" max="8895" width="14.5703125" style="2" customWidth="1"/>
    <col min="8896" max="8896" width="11" style="2" customWidth="1"/>
    <col min="8897" max="8897" width="10.85546875" style="2" customWidth="1"/>
    <col min="8898" max="8898" width="14.5703125" style="2" customWidth="1"/>
    <col min="8899" max="8900" width="15.5703125" style="2" customWidth="1"/>
    <col min="8901" max="8901" width="17.7109375" style="2" customWidth="1"/>
    <col min="8902" max="9127" width="29.28515625" style="2" customWidth="1"/>
    <col min="9128" max="9128" width="42.42578125" style="2" customWidth="1"/>
    <col min="9129" max="9131" width="12.42578125" style="2" customWidth="1"/>
    <col min="9132" max="9134" width="10.85546875" style="2" customWidth="1"/>
    <col min="9135" max="9137" width="14.5703125" style="2" bestFit="1" customWidth="1"/>
    <col min="9138" max="9140" width="11" style="2" customWidth="1"/>
    <col min="9141" max="9143" width="14.5703125" style="2" customWidth="1"/>
    <col min="9144" max="9146" width="15.28515625" style="2" customWidth="1"/>
    <col min="9147" max="9147" width="15.5703125" style="2"/>
    <col min="9148" max="9148" width="44.5703125" style="2" customWidth="1"/>
    <col min="9149" max="9149" width="13.85546875" style="2" customWidth="1"/>
    <col min="9150" max="9150" width="10.85546875" style="2" customWidth="1"/>
    <col min="9151" max="9151" width="14.5703125" style="2" customWidth="1"/>
    <col min="9152" max="9152" width="11" style="2" customWidth="1"/>
    <col min="9153" max="9153" width="10.85546875" style="2" customWidth="1"/>
    <col min="9154" max="9154" width="14.5703125" style="2" customWidth="1"/>
    <col min="9155" max="9156" width="15.5703125" style="2" customWidth="1"/>
    <col min="9157" max="9157" width="17.7109375" style="2" customWidth="1"/>
    <col min="9158" max="9383" width="29.28515625" style="2" customWidth="1"/>
    <col min="9384" max="9384" width="42.42578125" style="2" customWidth="1"/>
    <col min="9385" max="9387" width="12.42578125" style="2" customWidth="1"/>
    <col min="9388" max="9390" width="10.85546875" style="2" customWidth="1"/>
    <col min="9391" max="9393" width="14.5703125" style="2" bestFit="1" customWidth="1"/>
    <col min="9394" max="9396" width="11" style="2" customWidth="1"/>
    <col min="9397" max="9399" width="14.5703125" style="2" customWidth="1"/>
    <col min="9400" max="9402" width="15.28515625" style="2" customWidth="1"/>
    <col min="9403" max="9403" width="15.5703125" style="2"/>
    <col min="9404" max="9404" width="44.5703125" style="2" customWidth="1"/>
    <col min="9405" max="9405" width="13.85546875" style="2" customWidth="1"/>
    <col min="9406" max="9406" width="10.85546875" style="2" customWidth="1"/>
    <col min="9407" max="9407" width="14.5703125" style="2" customWidth="1"/>
    <col min="9408" max="9408" width="11" style="2" customWidth="1"/>
    <col min="9409" max="9409" width="10.85546875" style="2" customWidth="1"/>
    <col min="9410" max="9410" width="14.5703125" style="2" customWidth="1"/>
    <col min="9411" max="9412" width="15.5703125" style="2" customWidth="1"/>
    <col min="9413" max="9413" width="17.7109375" style="2" customWidth="1"/>
    <col min="9414" max="9639" width="29.28515625" style="2" customWidth="1"/>
    <col min="9640" max="9640" width="42.42578125" style="2" customWidth="1"/>
    <col min="9641" max="9643" width="12.42578125" style="2" customWidth="1"/>
    <col min="9644" max="9646" width="10.85546875" style="2" customWidth="1"/>
    <col min="9647" max="9649" width="14.5703125" style="2" bestFit="1" customWidth="1"/>
    <col min="9650" max="9652" width="11" style="2" customWidth="1"/>
    <col min="9653" max="9655" width="14.5703125" style="2" customWidth="1"/>
    <col min="9656" max="9658" width="15.28515625" style="2" customWidth="1"/>
    <col min="9659" max="9659" width="15.5703125" style="2"/>
    <col min="9660" max="9660" width="44.5703125" style="2" customWidth="1"/>
    <col min="9661" max="9661" width="13.85546875" style="2" customWidth="1"/>
    <col min="9662" max="9662" width="10.85546875" style="2" customWidth="1"/>
    <col min="9663" max="9663" width="14.5703125" style="2" customWidth="1"/>
    <col min="9664" max="9664" width="11" style="2" customWidth="1"/>
    <col min="9665" max="9665" width="10.85546875" style="2" customWidth="1"/>
    <col min="9666" max="9666" width="14.5703125" style="2" customWidth="1"/>
    <col min="9667" max="9668" width="15.5703125" style="2" customWidth="1"/>
    <col min="9669" max="9669" width="17.7109375" style="2" customWidth="1"/>
    <col min="9670" max="9895" width="29.28515625" style="2" customWidth="1"/>
    <col min="9896" max="9896" width="42.42578125" style="2" customWidth="1"/>
    <col min="9897" max="9899" width="12.42578125" style="2" customWidth="1"/>
    <col min="9900" max="9902" width="10.85546875" style="2" customWidth="1"/>
    <col min="9903" max="9905" width="14.5703125" style="2" bestFit="1" customWidth="1"/>
    <col min="9906" max="9908" width="11" style="2" customWidth="1"/>
    <col min="9909" max="9911" width="14.5703125" style="2" customWidth="1"/>
    <col min="9912" max="9914" width="15.28515625" style="2" customWidth="1"/>
    <col min="9915" max="9915" width="15.5703125" style="2"/>
    <col min="9916" max="9916" width="44.5703125" style="2" customWidth="1"/>
    <col min="9917" max="9917" width="13.85546875" style="2" customWidth="1"/>
    <col min="9918" max="9918" width="10.85546875" style="2" customWidth="1"/>
    <col min="9919" max="9919" width="14.5703125" style="2" customWidth="1"/>
    <col min="9920" max="9920" width="11" style="2" customWidth="1"/>
    <col min="9921" max="9921" width="10.85546875" style="2" customWidth="1"/>
    <col min="9922" max="9922" width="14.5703125" style="2" customWidth="1"/>
    <col min="9923" max="9924" width="15.5703125" style="2" customWidth="1"/>
    <col min="9925" max="9925" width="17.7109375" style="2" customWidth="1"/>
    <col min="9926" max="10151" width="29.28515625" style="2" customWidth="1"/>
    <col min="10152" max="10152" width="42.42578125" style="2" customWidth="1"/>
    <col min="10153" max="10155" width="12.42578125" style="2" customWidth="1"/>
    <col min="10156" max="10158" width="10.85546875" style="2" customWidth="1"/>
    <col min="10159" max="10161" width="14.5703125" style="2" bestFit="1" customWidth="1"/>
    <col min="10162" max="10164" width="11" style="2" customWidth="1"/>
    <col min="10165" max="10167" width="14.5703125" style="2" customWidth="1"/>
    <col min="10168" max="10170" width="15.28515625" style="2" customWidth="1"/>
    <col min="10171" max="10171" width="15.5703125" style="2"/>
    <col min="10172" max="10172" width="44.5703125" style="2" customWidth="1"/>
    <col min="10173" max="10173" width="13.85546875" style="2" customWidth="1"/>
    <col min="10174" max="10174" width="10.85546875" style="2" customWidth="1"/>
    <col min="10175" max="10175" width="14.5703125" style="2" customWidth="1"/>
    <col min="10176" max="10176" width="11" style="2" customWidth="1"/>
    <col min="10177" max="10177" width="10.85546875" style="2" customWidth="1"/>
    <col min="10178" max="10178" width="14.5703125" style="2" customWidth="1"/>
    <col min="10179" max="10180" width="15.5703125" style="2" customWidth="1"/>
    <col min="10181" max="10181" width="17.7109375" style="2" customWidth="1"/>
    <col min="10182" max="10407" width="29.28515625" style="2" customWidth="1"/>
    <col min="10408" max="10408" width="42.42578125" style="2" customWidth="1"/>
    <col min="10409" max="10411" width="12.42578125" style="2" customWidth="1"/>
    <col min="10412" max="10414" width="10.85546875" style="2" customWidth="1"/>
    <col min="10415" max="10417" width="14.5703125" style="2" bestFit="1" customWidth="1"/>
    <col min="10418" max="10420" width="11" style="2" customWidth="1"/>
    <col min="10421" max="10423" width="14.5703125" style="2" customWidth="1"/>
    <col min="10424" max="10426" width="15.28515625" style="2" customWidth="1"/>
    <col min="10427" max="10427" width="15.5703125" style="2"/>
    <col min="10428" max="10428" width="44.5703125" style="2" customWidth="1"/>
    <col min="10429" max="10429" width="13.85546875" style="2" customWidth="1"/>
    <col min="10430" max="10430" width="10.85546875" style="2" customWidth="1"/>
    <col min="10431" max="10431" width="14.5703125" style="2" customWidth="1"/>
    <col min="10432" max="10432" width="11" style="2" customWidth="1"/>
    <col min="10433" max="10433" width="10.85546875" style="2" customWidth="1"/>
    <col min="10434" max="10434" width="14.5703125" style="2" customWidth="1"/>
    <col min="10435" max="10436" width="15.5703125" style="2" customWidth="1"/>
    <col min="10437" max="10437" width="17.7109375" style="2" customWidth="1"/>
    <col min="10438" max="10663" width="29.28515625" style="2" customWidth="1"/>
    <col min="10664" max="10664" width="42.42578125" style="2" customWidth="1"/>
    <col min="10665" max="10667" width="12.42578125" style="2" customWidth="1"/>
    <col min="10668" max="10670" width="10.85546875" style="2" customWidth="1"/>
    <col min="10671" max="10673" width="14.5703125" style="2" bestFit="1" customWidth="1"/>
    <col min="10674" max="10676" width="11" style="2" customWidth="1"/>
    <col min="10677" max="10679" width="14.5703125" style="2" customWidth="1"/>
    <col min="10680" max="10682" width="15.28515625" style="2" customWidth="1"/>
    <col min="10683" max="10683" width="15.5703125" style="2"/>
    <col min="10684" max="10684" width="44.5703125" style="2" customWidth="1"/>
    <col min="10685" max="10685" width="13.85546875" style="2" customWidth="1"/>
    <col min="10686" max="10686" width="10.85546875" style="2" customWidth="1"/>
    <col min="10687" max="10687" width="14.5703125" style="2" customWidth="1"/>
    <col min="10688" max="10688" width="11" style="2" customWidth="1"/>
    <col min="10689" max="10689" width="10.85546875" style="2" customWidth="1"/>
    <col min="10690" max="10690" width="14.5703125" style="2" customWidth="1"/>
    <col min="10691" max="10692" width="15.5703125" style="2" customWidth="1"/>
    <col min="10693" max="10693" width="17.7109375" style="2" customWidth="1"/>
    <col min="10694" max="10919" width="29.28515625" style="2" customWidth="1"/>
    <col min="10920" max="10920" width="42.42578125" style="2" customWidth="1"/>
    <col min="10921" max="10923" width="12.42578125" style="2" customWidth="1"/>
    <col min="10924" max="10926" width="10.85546875" style="2" customWidth="1"/>
    <col min="10927" max="10929" width="14.5703125" style="2" bestFit="1" customWidth="1"/>
    <col min="10930" max="10932" width="11" style="2" customWidth="1"/>
    <col min="10933" max="10935" width="14.5703125" style="2" customWidth="1"/>
    <col min="10936" max="10938" width="15.28515625" style="2" customWidth="1"/>
    <col min="10939" max="10939" width="15.5703125" style="2"/>
    <col min="10940" max="10940" width="44.5703125" style="2" customWidth="1"/>
    <col min="10941" max="10941" width="13.85546875" style="2" customWidth="1"/>
    <col min="10942" max="10942" width="10.85546875" style="2" customWidth="1"/>
    <col min="10943" max="10943" width="14.5703125" style="2" customWidth="1"/>
    <col min="10944" max="10944" width="11" style="2" customWidth="1"/>
    <col min="10945" max="10945" width="10.85546875" style="2" customWidth="1"/>
    <col min="10946" max="10946" width="14.5703125" style="2" customWidth="1"/>
    <col min="10947" max="10948" width="15.5703125" style="2" customWidth="1"/>
    <col min="10949" max="10949" width="17.7109375" style="2" customWidth="1"/>
    <col min="10950" max="11175" width="29.28515625" style="2" customWidth="1"/>
    <col min="11176" max="11176" width="42.42578125" style="2" customWidth="1"/>
    <col min="11177" max="11179" width="12.42578125" style="2" customWidth="1"/>
    <col min="11180" max="11182" width="10.85546875" style="2" customWidth="1"/>
    <col min="11183" max="11185" width="14.5703125" style="2" bestFit="1" customWidth="1"/>
    <col min="11186" max="11188" width="11" style="2" customWidth="1"/>
    <col min="11189" max="11191" width="14.5703125" style="2" customWidth="1"/>
    <col min="11192" max="11194" width="15.28515625" style="2" customWidth="1"/>
    <col min="11195" max="11195" width="15.5703125" style="2"/>
    <col min="11196" max="11196" width="44.5703125" style="2" customWidth="1"/>
    <col min="11197" max="11197" width="13.85546875" style="2" customWidth="1"/>
    <col min="11198" max="11198" width="10.85546875" style="2" customWidth="1"/>
    <col min="11199" max="11199" width="14.5703125" style="2" customWidth="1"/>
    <col min="11200" max="11200" width="11" style="2" customWidth="1"/>
    <col min="11201" max="11201" width="10.85546875" style="2" customWidth="1"/>
    <col min="11202" max="11202" width="14.5703125" style="2" customWidth="1"/>
    <col min="11203" max="11204" width="15.5703125" style="2" customWidth="1"/>
    <col min="11205" max="11205" width="17.7109375" style="2" customWidth="1"/>
    <col min="11206" max="11431" width="29.28515625" style="2" customWidth="1"/>
    <col min="11432" max="11432" width="42.42578125" style="2" customWidth="1"/>
    <col min="11433" max="11435" width="12.42578125" style="2" customWidth="1"/>
    <col min="11436" max="11438" width="10.85546875" style="2" customWidth="1"/>
    <col min="11439" max="11441" width="14.5703125" style="2" bestFit="1" customWidth="1"/>
    <col min="11442" max="11444" width="11" style="2" customWidth="1"/>
    <col min="11445" max="11447" width="14.5703125" style="2" customWidth="1"/>
    <col min="11448" max="11450" width="15.28515625" style="2" customWidth="1"/>
    <col min="11451" max="11451" width="15.5703125" style="2"/>
    <col min="11452" max="11452" width="44.5703125" style="2" customWidth="1"/>
    <col min="11453" max="11453" width="13.85546875" style="2" customWidth="1"/>
    <col min="11454" max="11454" width="10.85546875" style="2" customWidth="1"/>
    <col min="11455" max="11455" width="14.5703125" style="2" customWidth="1"/>
    <col min="11456" max="11456" width="11" style="2" customWidth="1"/>
    <col min="11457" max="11457" width="10.85546875" style="2" customWidth="1"/>
    <col min="11458" max="11458" width="14.5703125" style="2" customWidth="1"/>
    <col min="11459" max="11460" width="15.5703125" style="2" customWidth="1"/>
    <col min="11461" max="11461" width="17.7109375" style="2" customWidth="1"/>
    <col min="11462" max="11687" width="29.28515625" style="2" customWidth="1"/>
    <col min="11688" max="11688" width="42.42578125" style="2" customWidth="1"/>
    <col min="11689" max="11691" width="12.42578125" style="2" customWidth="1"/>
    <col min="11692" max="11694" width="10.85546875" style="2" customWidth="1"/>
    <col min="11695" max="11697" width="14.5703125" style="2" bestFit="1" customWidth="1"/>
    <col min="11698" max="11700" width="11" style="2" customWidth="1"/>
    <col min="11701" max="11703" width="14.5703125" style="2" customWidth="1"/>
    <col min="11704" max="11706" width="15.28515625" style="2" customWidth="1"/>
    <col min="11707" max="11707" width="15.5703125" style="2"/>
    <col min="11708" max="11708" width="44.5703125" style="2" customWidth="1"/>
    <col min="11709" max="11709" width="13.85546875" style="2" customWidth="1"/>
    <col min="11710" max="11710" width="10.85546875" style="2" customWidth="1"/>
    <col min="11711" max="11711" width="14.5703125" style="2" customWidth="1"/>
    <col min="11712" max="11712" width="11" style="2" customWidth="1"/>
    <col min="11713" max="11713" width="10.85546875" style="2" customWidth="1"/>
    <col min="11714" max="11714" width="14.5703125" style="2" customWidth="1"/>
    <col min="11715" max="11716" width="15.5703125" style="2" customWidth="1"/>
    <col min="11717" max="11717" width="17.7109375" style="2" customWidth="1"/>
    <col min="11718" max="11943" width="29.28515625" style="2" customWidth="1"/>
    <col min="11944" max="11944" width="42.42578125" style="2" customWidth="1"/>
    <col min="11945" max="11947" width="12.42578125" style="2" customWidth="1"/>
    <col min="11948" max="11950" width="10.85546875" style="2" customWidth="1"/>
    <col min="11951" max="11953" width="14.5703125" style="2" bestFit="1" customWidth="1"/>
    <col min="11954" max="11956" width="11" style="2" customWidth="1"/>
    <col min="11957" max="11959" width="14.5703125" style="2" customWidth="1"/>
    <col min="11960" max="11962" width="15.28515625" style="2" customWidth="1"/>
    <col min="11963" max="11963" width="15.5703125" style="2"/>
    <col min="11964" max="11964" width="44.5703125" style="2" customWidth="1"/>
    <col min="11965" max="11965" width="13.85546875" style="2" customWidth="1"/>
    <col min="11966" max="11966" width="10.85546875" style="2" customWidth="1"/>
    <col min="11967" max="11967" width="14.5703125" style="2" customWidth="1"/>
    <col min="11968" max="11968" width="11" style="2" customWidth="1"/>
    <col min="11969" max="11969" width="10.85546875" style="2" customWidth="1"/>
    <col min="11970" max="11970" width="14.5703125" style="2" customWidth="1"/>
    <col min="11971" max="11972" width="15.5703125" style="2" customWidth="1"/>
    <col min="11973" max="11973" width="17.7109375" style="2" customWidth="1"/>
    <col min="11974" max="12199" width="29.28515625" style="2" customWidth="1"/>
    <col min="12200" max="12200" width="42.42578125" style="2" customWidth="1"/>
    <col min="12201" max="12203" width="12.42578125" style="2" customWidth="1"/>
    <col min="12204" max="12206" width="10.85546875" style="2" customWidth="1"/>
    <col min="12207" max="12209" width="14.5703125" style="2" bestFit="1" customWidth="1"/>
    <col min="12210" max="12212" width="11" style="2" customWidth="1"/>
    <col min="12213" max="12215" width="14.5703125" style="2" customWidth="1"/>
    <col min="12216" max="12218" width="15.28515625" style="2" customWidth="1"/>
    <col min="12219" max="12219" width="15.5703125" style="2"/>
    <col min="12220" max="12220" width="44.5703125" style="2" customWidth="1"/>
    <col min="12221" max="12221" width="13.85546875" style="2" customWidth="1"/>
    <col min="12222" max="12222" width="10.85546875" style="2" customWidth="1"/>
    <col min="12223" max="12223" width="14.5703125" style="2" customWidth="1"/>
    <col min="12224" max="12224" width="11" style="2" customWidth="1"/>
    <col min="12225" max="12225" width="10.85546875" style="2" customWidth="1"/>
    <col min="12226" max="12226" width="14.5703125" style="2" customWidth="1"/>
    <col min="12227" max="12228" width="15.5703125" style="2" customWidth="1"/>
    <col min="12229" max="12229" width="17.7109375" style="2" customWidth="1"/>
    <col min="12230" max="12455" width="29.28515625" style="2" customWidth="1"/>
    <col min="12456" max="12456" width="42.42578125" style="2" customWidth="1"/>
    <col min="12457" max="12459" width="12.42578125" style="2" customWidth="1"/>
    <col min="12460" max="12462" width="10.85546875" style="2" customWidth="1"/>
    <col min="12463" max="12465" width="14.5703125" style="2" bestFit="1" customWidth="1"/>
    <col min="12466" max="12468" width="11" style="2" customWidth="1"/>
    <col min="12469" max="12471" width="14.5703125" style="2" customWidth="1"/>
    <col min="12472" max="12474" width="15.28515625" style="2" customWidth="1"/>
    <col min="12475" max="12475" width="15.5703125" style="2"/>
    <col min="12476" max="12476" width="44.5703125" style="2" customWidth="1"/>
    <col min="12477" max="12477" width="13.85546875" style="2" customWidth="1"/>
    <col min="12478" max="12478" width="10.85546875" style="2" customWidth="1"/>
    <col min="12479" max="12479" width="14.5703125" style="2" customWidth="1"/>
    <col min="12480" max="12480" width="11" style="2" customWidth="1"/>
    <col min="12481" max="12481" width="10.85546875" style="2" customWidth="1"/>
    <col min="12482" max="12482" width="14.5703125" style="2" customWidth="1"/>
    <col min="12483" max="12484" width="15.5703125" style="2" customWidth="1"/>
    <col min="12485" max="12485" width="17.7109375" style="2" customWidth="1"/>
    <col min="12486" max="12711" width="29.28515625" style="2" customWidth="1"/>
    <col min="12712" max="12712" width="42.42578125" style="2" customWidth="1"/>
    <col min="12713" max="12715" width="12.42578125" style="2" customWidth="1"/>
    <col min="12716" max="12718" width="10.85546875" style="2" customWidth="1"/>
    <col min="12719" max="12721" width="14.5703125" style="2" bestFit="1" customWidth="1"/>
    <col min="12722" max="12724" width="11" style="2" customWidth="1"/>
    <col min="12725" max="12727" width="14.5703125" style="2" customWidth="1"/>
    <col min="12728" max="12730" width="15.28515625" style="2" customWidth="1"/>
    <col min="12731" max="12731" width="15.5703125" style="2"/>
    <col min="12732" max="12732" width="44.5703125" style="2" customWidth="1"/>
    <col min="12733" max="12733" width="13.85546875" style="2" customWidth="1"/>
    <col min="12734" max="12734" width="10.85546875" style="2" customWidth="1"/>
    <col min="12735" max="12735" width="14.5703125" style="2" customWidth="1"/>
    <col min="12736" max="12736" width="11" style="2" customWidth="1"/>
    <col min="12737" max="12737" width="10.85546875" style="2" customWidth="1"/>
    <col min="12738" max="12738" width="14.5703125" style="2" customWidth="1"/>
    <col min="12739" max="12740" width="15.5703125" style="2" customWidth="1"/>
    <col min="12741" max="12741" width="17.7109375" style="2" customWidth="1"/>
    <col min="12742" max="12967" width="29.28515625" style="2" customWidth="1"/>
    <col min="12968" max="12968" width="42.42578125" style="2" customWidth="1"/>
    <col min="12969" max="12971" width="12.42578125" style="2" customWidth="1"/>
    <col min="12972" max="12974" width="10.85546875" style="2" customWidth="1"/>
    <col min="12975" max="12977" width="14.5703125" style="2" bestFit="1" customWidth="1"/>
    <col min="12978" max="12980" width="11" style="2" customWidth="1"/>
    <col min="12981" max="12983" width="14.5703125" style="2" customWidth="1"/>
    <col min="12984" max="12986" width="15.28515625" style="2" customWidth="1"/>
    <col min="12987" max="12987" width="15.5703125" style="2"/>
    <col min="12988" max="12988" width="44.5703125" style="2" customWidth="1"/>
    <col min="12989" max="12989" width="13.85546875" style="2" customWidth="1"/>
    <col min="12990" max="12990" width="10.85546875" style="2" customWidth="1"/>
    <col min="12991" max="12991" width="14.5703125" style="2" customWidth="1"/>
    <col min="12992" max="12992" width="11" style="2" customWidth="1"/>
    <col min="12993" max="12993" width="10.85546875" style="2" customWidth="1"/>
    <col min="12994" max="12994" width="14.5703125" style="2" customWidth="1"/>
    <col min="12995" max="12996" width="15.5703125" style="2" customWidth="1"/>
    <col min="12997" max="12997" width="17.7109375" style="2" customWidth="1"/>
    <col min="12998" max="13223" width="29.28515625" style="2" customWidth="1"/>
    <col min="13224" max="13224" width="42.42578125" style="2" customWidth="1"/>
    <col min="13225" max="13227" width="12.42578125" style="2" customWidth="1"/>
    <col min="13228" max="13230" width="10.85546875" style="2" customWidth="1"/>
    <col min="13231" max="13233" width="14.5703125" style="2" bestFit="1" customWidth="1"/>
    <col min="13234" max="13236" width="11" style="2" customWidth="1"/>
    <col min="13237" max="13239" width="14.5703125" style="2" customWidth="1"/>
    <col min="13240" max="13242" width="15.28515625" style="2" customWidth="1"/>
    <col min="13243" max="13243" width="15.5703125" style="2"/>
    <col min="13244" max="13244" width="44.5703125" style="2" customWidth="1"/>
    <col min="13245" max="13245" width="13.85546875" style="2" customWidth="1"/>
    <col min="13246" max="13246" width="10.85546875" style="2" customWidth="1"/>
    <col min="13247" max="13247" width="14.5703125" style="2" customWidth="1"/>
    <col min="13248" max="13248" width="11" style="2" customWidth="1"/>
    <col min="13249" max="13249" width="10.85546875" style="2" customWidth="1"/>
    <col min="13250" max="13250" width="14.5703125" style="2" customWidth="1"/>
    <col min="13251" max="13252" width="15.5703125" style="2" customWidth="1"/>
    <col min="13253" max="13253" width="17.7109375" style="2" customWidth="1"/>
    <col min="13254" max="13479" width="29.28515625" style="2" customWidth="1"/>
    <col min="13480" max="13480" width="42.42578125" style="2" customWidth="1"/>
    <col min="13481" max="13483" width="12.42578125" style="2" customWidth="1"/>
    <col min="13484" max="13486" width="10.85546875" style="2" customWidth="1"/>
    <col min="13487" max="13489" width="14.5703125" style="2" bestFit="1" customWidth="1"/>
    <col min="13490" max="13492" width="11" style="2" customWidth="1"/>
    <col min="13493" max="13495" width="14.5703125" style="2" customWidth="1"/>
    <col min="13496" max="13498" width="15.28515625" style="2" customWidth="1"/>
    <col min="13499" max="13499" width="15.5703125" style="2"/>
    <col min="13500" max="13500" width="44.5703125" style="2" customWidth="1"/>
    <col min="13501" max="13501" width="13.85546875" style="2" customWidth="1"/>
    <col min="13502" max="13502" width="10.85546875" style="2" customWidth="1"/>
    <col min="13503" max="13503" width="14.5703125" style="2" customWidth="1"/>
    <col min="13504" max="13504" width="11" style="2" customWidth="1"/>
    <col min="13505" max="13505" width="10.85546875" style="2" customWidth="1"/>
    <col min="13506" max="13506" width="14.5703125" style="2" customWidth="1"/>
    <col min="13507" max="13508" width="15.5703125" style="2" customWidth="1"/>
    <col min="13509" max="13509" width="17.7109375" style="2" customWidth="1"/>
    <col min="13510" max="13735" width="29.28515625" style="2" customWidth="1"/>
    <col min="13736" max="13736" width="42.42578125" style="2" customWidth="1"/>
    <col min="13737" max="13739" width="12.42578125" style="2" customWidth="1"/>
    <col min="13740" max="13742" width="10.85546875" style="2" customWidth="1"/>
    <col min="13743" max="13745" width="14.5703125" style="2" bestFit="1" customWidth="1"/>
    <col min="13746" max="13748" width="11" style="2" customWidth="1"/>
    <col min="13749" max="13751" width="14.5703125" style="2" customWidth="1"/>
    <col min="13752" max="13754" width="15.28515625" style="2" customWidth="1"/>
    <col min="13755" max="13755" width="15.5703125" style="2"/>
    <col min="13756" max="13756" width="44.5703125" style="2" customWidth="1"/>
    <col min="13757" max="13757" width="13.85546875" style="2" customWidth="1"/>
    <col min="13758" max="13758" width="10.85546875" style="2" customWidth="1"/>
    <col min="13759" max="13759" width="14.5703125" style="2" customWidth="1"/>
    <col min="13760" max="13760" width="11" style="2" customWidth="1"/>
    <col min="13761" max="13761" width="10.85546875" style="2" customWidth="1"/>
    <col min="13762" max="13762" width="14.5703125" style="2" customWidth="1"/>
    <col min="13763" max="13764" width="15.5703125" style="2" customWidth="1"/>
    <col min="13765" max="13765" width="17.7109375" style="2" customWidth="1"/>
    <col min="13766" max="13991" width="29.28515625" style="2" customWidth="1"/>
    <col min="13992" max="13992" width="42.42578125" style="2" customWidth="1"/>
    <col min="13993" max="13995" width="12.42578125" style="2" customWidth="1"/>
    <col min="13996" max="13998" width="10.85546875" style="2" customWidth="1"/>
    <col min="13999" max="14001" width="14.5703125" style="2" bestFit="1" customWidth="1"/>
    <col min="14002" max="14004" width="11" style="2" customWidth="1"/>
    <col min="14005" max="14007" width="14.5703125" style="2" customWidth="1"/>
    <col min="14008" max="14010" width="15.28515625" style="2" customWidth="1"/>
    <col min="14011" max="14011" width="15.5703125" style="2"/>
    <col min="14012" max="14012" width="44.5703125" style="2" customWidth="1"/>
    <col min="14013" max="14013" width="13.85546875" style="2" customWidth="1"/>
    <col min="14014" max="14014" width="10.85546875" style="2" customWidth="1"/>
    <col min="14015" max="14015" width="14.5703125" style="2" customWidth="1"/>
    <col min="14016" max="14016" width="11" style="2" customWidth="1"/>
    <col min="14017" max="14017" width="10.85546875" style="2" customWidth="1"/>
    <col min="14018" max="14018" width="14.5703125" style="2" customWidth="1"/>
    <col min="14019" max="14020" width="15.5703125" style="2" customWidth="1"/>
    <col min="14021" max="14021" width="17.7109375" style="2" customWidth="1"/>
    <col min="14022" max="14247" width="29.28515625" style="2" customWidth="1"/>
    <col min="14248" max="14248" width="42.42578125" style="2" customWidth="1"/>
    <col min="14249" max="14251" width="12.42578125" style="2" customWidth="1"/>
    <col min="14252" max="14254" width="10.85546875" style="2" customWidth="1"/>
    <col min="14255" max="14257" width="14.5703125" style="2" bestFit="1" customWidth="1"/>
    <col min="14258" max="14260" width="11" style="2" customWidth="1"/>
    <col min="14261" max="14263" width="14.5703125" style="2" customWidth="1"/>
    <col min="14264" max="14266" width="15.28515625" style="2" customWidth="1"/>
    <col min="14267" max="14267" width="15.5703125" style="2"/>
    <col min="14268" max="14268" width="44.5703125" style="2" customWidth="1"/>
    <col min="14269" max="14269" width="13.85546875" style="2" customWidth="1"/>
    <col min="14270" max="14270" width="10.85546875" style="2" customWidth="1"/>
    <col min="14271" max="14271" width="14.5703125" style="2" customWidth="1"/>
    <col min="14272" max="14272" width="11" style="2" customWidth="1"/>
    <col min="14273" max="14273" width="10.85546875" style="2" customWidth="1"/>
    <col min="14274" max="14274" width="14.5703125" style="2" customWidth="1"/>
    <col min="14275" max="14276" width="15.5703125" style="2" customWidth="1"/>
    <col min="14277" max="14277" width="17.7109375" style="2" customWidth="1"/>
    <col min="14278" max="14503" width="29.28515625" style="2" customWidth="1"/>
    <col min="14504" max="14504" width="42.42578125" style="2" customWidth="1"/>
    <col min="14505" max="14507" width="12.42578125" style="2" customWidth="1"/>
    <col min="14508" max="14510" width="10.85546875" style="2" customWidth="1"/>
    <col min="14511" max="14513" width="14.5703125" style="2" bestFit="1" customWidth="1"/>
    <col min="14514" max="14516" width="11" style="2" customWidth="1"/>
    <col min="14517" max="14519" width="14.5703125" style="2" customWidth="1"/>
    <col min="14520" max="14522" width="15.28515625" style="2" customWidth="1"/>
    <col min="14523" max="14523" width="15.5703125" style="2"/>
    <col min="14524" max="14524" width="44.5703125" style="2" customWidth="1"/>
    <col min="14525" max="14525" width="13.85546875" style="2" customWidth="1"/>
    <col min="14526" max="14526" width="10.85546875" style="2" customWidth="1"/>
    <col min="14527" max="14527" width="14.5703125" style="2" customWidth="1"/>
    <col min="14528" max="14528" width="11" style="2" customWidth="1"/>
    <col min="14529" max="14529" width="10.85546875" style="2" customWidth="1"/>
    <col min="14530" max="14530" width="14.5703125" style="2" customWidth="1"/>
    <col min="14531" max="14532" width="15.5703125" style="2" customWidth="1"/>
    <col min="14533" max="14533" width="17.7109375" style="2" customWidth="1"/>
    <col min="14534" max="14759" width="29.28515625" style="2" customWidth="1"/>
    <col min="14760" max="14760" width="42.42578125" style="2" customWidth="1"/>
    <col min="14761" max="14763" width="12.42578125" style="2" customWidth="1"/>
    <col min="14764" max="14766" width="10.85546875" style="2" customWidth="1"/>
    <col min="14767" max="14769" width="14.5703125" style="2" bestFit="1" customWidth="1"/>
    <col min="14770" max="14772" width="11" style="2" customWidth="1"/>
    <col min="14773" max="14775" width="14.5703125" style="2" customWidth="1"/>
    <col min="14776" max="14778" width="15.28515625" style="2" customWidth="1"/>
    <col min="14779" max="14779" width="15.5703125" style="2"/>
    <col min="14780" max="14780" width="44.5703125" style="2" customWidth="1"/>
    <col min="14781" max="14781" width="13.85546875" style="2" customWidth="1"/>
    <col min="14782" max="14782" width="10.85546875" style="2" customWidth="1"/>
    <col min="14783" max="14783" width="14.5703125" style="2" customWidth="1"/>
    <col min="14784" max="14784" width="11" style="2" customWidth="1"/>
    <col min="14785" max="14785" width="10.85546875" style="2" customWidth="1"/>
    <col min="14786" max="14786" width="14.5703125" style="2" customWidth="1"/>
    <col min="14787" max="14788" width="15.5703125" style="2" customWidth="1"/>
    <col min="14789" max="14789" width="17.7109375" style="2" customWidth="1"/>
    <col min="14790" max="15015" width="29.28515625" style="2" customWidth="1"/>
    <col min="15016" max="15016" width="42.42578125" style="2" customWidth="1"/>
    <col min="15017" max="15019" width="12.42578125" style="2" customWidth="1"/>
    <col min="15020" max="15022" width="10.85546875" style="2" customWidth="1"/>
    <col min="15023" max="15025" width="14.5703125" style="2" bestFit="1" customWidth="1"/>
    <col min="15026" max="15028" width="11" style="2" customWidth="1"/>
    <col min="15029" max="15031" width="14.5703125" style="2" customWidth="1"/>
    <col min="15032" max="15034" width="15.28515625" style="2" customWidth="1"/>
    <col min="15035" max="15035" width="15.5703125" style="2"/>
    <col min="15036" max="15036" width="44.5703125" style="2" customWidth="1"/>
    <col min="15037" max="15037" width="13.85546875" style="2" customWidth="1"/>
    <col min="15038" max="15038" width="10.85546875" style="2" customWidth="1"/>
    <col min="15039" max="15039" width="14.5703125" style="2" customWidth="1"/>
    <col min="15040" max="15040" width="11" style="2" customWidth="1"/>
    <col min="15041" max="15041" width="10.85546875" style="2" customWidth="1"/>
    <col min="15042" max="15042" width="14.5703125" style="2" customWidth="1"/>
    <col min="15043" max="15044" width="15.5703125" style="2" customWidth="1"/>
    <col min="15045" max="15045" width="17.7109375" style="2" customWidth="1"/>
    <col min="15046" max="15271" width="29.28515625" style="2" customWidth="1"/>
    <col min="15272" max="15272" width="42.42578125" style="2" customWidth="1"/>
    <col min="15273" max="15275" width="12.42578125" style="2" customWidth="1"/>
    <col min="15276" max="15278" width="10.85546875" style="2" customWidth="1"/>
    <col min="15279" max="15281" width="14.5703125" style="2" bestFit="1" customWidth="1"/>
    <col min="15282" max="15284" width="11" style="2" customWidth="1"/>
    <col min="15285" max="15287" width="14.5703125" style="2" customWidth="1"/>
    <col min="15288" max="15290" width="15.28515625" style="2" customWidth="1"/>
    <col min="15291" max="15291" width="15.5703125" style="2"/>
    <col min="15292" max="15292" width="44.5703125" style="2" customWidth="1"/>
    <col min="15293" max="15293" width="13.85546875" style="2" customWidth="1"/>
    <col min="15294" max="15294" width="10.85546875" style="2" customWidth="1"/>
    <col min="15295" max="15295" width="14.5703125" style="2" customWidth="1"/>
    <col min="15296" max="15296" width="11" style="2" customWidth="1"/>
    <col min="15297" max="15297" width="10.85546875" style="2" customWidth="1"/>
    <col min="15298" max="15298" width="14.5703125" style="2" customWidth="1"/>
    <col min="15299" max="15300" width="15.5703125" style="2" customWidth="1"/>
    <col min="15301" max="15301" width="17.7109375" style="2" customWidth="1"/>
    <col min="15302" max="15527" width="29.28515625" style="2" customWidth="1"/>
    <col min="15528" max="15528" width="42.42578125" style="2" customWidth="1"/>
    <col min="15529" max="15531" width="12.42578125" style="2" customWidth="1"/>
    <col min="15532" max="15534" width="10.85546875" style="2" customWidth="1"/>
    <col min="15535" max="15537" width="14.5703125" style="2" bestFit="1" customWidth="1"/>
    <col min="15538" max="15540" width="11" style="2" customWidth="1"/>
    <col min="15541" max="15543" width="14.5703125" style="2" customWidth="1"/>
    <col min="15544" max="15546" width="15.28515625" style="2" customWidth="1"/>
    <col min="15547" max="15547" width="15.5703125" style="2"/>
    <col min="15548" max="15548" width="44.5703125" style="2" customWidth="1"/>
    <col min="15549" max="15549" width="13.85546875" style="2" customWidth="1"/>
    <col min="15550" max="15550" width="10.85546875" style="2" customWidth="1"/>
    <col min="15551" max="15551" width="14.5703125" style="2" customWidth="1"/>
    <col min="15552" max="15552" width="11" style="2" customWidth="1"/>
    <col min="15553" max="15553" width="10.85546875" style="2" customWidth="1"/>
    <col min="15554" max="15554" width="14.5703125" style="2" customWidth="1"/>
    <col min="15555" max="15556" width="15.5703125" style="2" customWidth="1"/>
    <col min="15557" max="15557" width="17.7109375" style="2" customWidth="1"/>
    <col min="15558" max="15783" width="29.28515625" style="2" customWidth="1"/>
    <col min="15784" max="15784" width="42.42578125" style="2" customWidth="1"/>
    <col min="15785" max="15787" width="12.42578125" style="2" customWidth="1"/>
    <col min="15788" max="15790" width="10.85546875" style="2" customWidth="1"/>
    <col min="15791" max="15793" width="14.5703125" style="2" bestFit="1" customWidth="1"/>
    <col min="15794" max="15796" width="11" style="2" customWidth="1"/>
    <col min="15797" max="15799" width="14.5703125" style="2" customWidth="1"/>
    <col min="15800" max="15802" width="15.28515625" style="2" customWidth="1"/>
    <col min="15803" max="15803" width="15.5703125" style="2"/>
    <col min="15804" max="15804" width="44.5703125" style="2" customWidth="1"/>
    <col min="15805" max="15805" width="13.85546875" style="2" customWidth="1"/>
    <col min="15806" max="15806" width="10.85546875" style="2" customWidth="1"/>
    <col min="15807" max="15807" width="14.5703125" style="2" customWidth="1"/>
    <col min="15808" max="15808" width="11" style="2" customWidth="1"/>
    <col min="15809" max="15809" width="10.85546875" style="2" customWidth="1"/>
    <col min="15810" max="15810" width="14.5703125" style="2" customWidth="1"/>
    <col min="15811" max="15812" width="15.5703125" style="2" customWidth="1"/>
    <col min="15813" max="15813" width="17.7109375" style="2" customWidth="1"/>
    <col min="15814" max="16039" width="29.28515625" style="2" customWidth="1"/>
    <col min="16040" max="16040" width="42.42578125" style="2" customWidth="1"/>
    <col min="16041" max="16043" width="12.42578125" style="2" customWidth="1"/>
    <col min="16044" max="16046" width="10.85546875" style="2" customWidth="1"/>
    <col min="16047" max="16049" width="14.5703125" style="2" bestFit="1" customWidth="1"/>
    <col min="16050" max="16052" width="11" style="2" customWidth="1"/>
    <col min="16053" max="16055" width="14.5703125" style="2" customWidth="1"/>
    <col min="16056" max="16058" width="15.28515625" style="2" customWidth="1"/>
    <col min="16059" max="16059" width="15.5703125" style="2"/>
    <col min="16060" max="16060" width="44.5703125" style="2" customWidth="1"/>
    <col min="16061" max="16061" width="13.85546875" style="2" customWidth="1"/>
    <col min="16062" max="16062" width="10.85546875" style="2" customWidth="1"/>
    <col min="16063" max="16063" width="14.5703125" style="2" customWidth="1"/>
    <col min="16064" max="16064" width="11" style="2" customWidth="1"/>
    <col min="16065" max="16065" width="10.85546875" style="2" customWidth="1"/>
    <col min="16066" max="16066" width="14.5703125" style="2" customWidth="1"/>
    <col min="16067" max="16068" width="15.5703125" style="2" customWidth="1"/>
    <col min="16069" max="16069" width="17.7109375" style="2" customWidth="1"/>
    <col min="16070" max="16295" width="29.28515625" style="2" customWidth="1"/>
    <col min="16296" max="16296" width="42.42578125" style="2" customWidth="1"/>
    <col min="16297" max="16384" width="12.42578125" style="2" customWidth="1"/>
  </cols>
  <sheetData>
    <row r="1" spans="1:187" x14ac:dyDescent="0.25">
      <c r="A1" s="48"/>
    </row>
    <row r="2" spans="1:187" x14ac:dyDescent="0.25">
      <c r="A2" s="12"/>
      <c r="T2" s="3"/>
      <c r="U2" s="3"/>
      <c r="V2" s="3"/>
      <c r="W2" s="3"/>
      <c r="X2" s="3"/>
      <c r="Y2" s="3"/>
      <c r="Z2" s="4"/>
      <c r="AA2" s="4"/>
      <c r="AB2" s="42" t="s">
        <v>175</v>
      </c>
    </row>
    <row r="3" spans="1:187" x14ac:dyDescent="0.25">
      <c r="A3" s="5" t="s">
        <v>168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</row>
    <row r="4" spans="1:187" s="6" customFormat="1" x14ac:dyDescent="0.25">
      <c r="A4" s="60" t="s">
        <v>256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187" s="6" customFormat="1" x14ac:dyDescent="0.25">
      <c r="A5" s="7"/>
      <c r="B5" s="5"/>
      <c r="C5" s="5"/>
      <c r="D5" s="5"/>
      <c r="E5" s="8"/>
      <c r="F5" s="8"/>
      <c r="G5" s="8"/>
      <c r="H5" s="8"/>
      <c r="I5" s="8"/>
      <c r="J5" s="5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187" s="12" customFormat="1" ht="63" x14ac:dyDescent="0.25">
      <c r="A6" s="9" t="s">
        <v>0</v>
      </c>
      <c r="B6" s="10" t="s">
        <v>1</v>
      </c>
      <c r="C6" s="10" t="s">
        <v>1</v>
      </c>
      <c r="D6" s="10" t="s">
        <v>1</v>
      </c>
      <c r="E6" s="11" t="s">
        <v>2</v>
      </c>
      <c r="F6" s="11" t="s">
        <v>2</v>
      </c>
      <c r="G6" s="11" t="s">
        <v>2</v>
      </c>
      <c r="H6" s="11" t="s">
        <v>3</v>
      </c>
      <c r="I6" s="11" t="s">
        <v>3</v>
      </c>
      <c r="J6" s="11" t="s">
        <v>3</v>
      </c>
      <c r="K6" s="11" t="s">
        <v>4</v>
      </c>
      <c r="L6" s="11" t="s">
        <v>4</v>
      </c>
      <c r="M6" s="11" t="s">
        <v>4</v>
      </c>
      <c r="N6" s="11" t="s">
        <v>5</v>
      </c>
      <c r="O6" s="11" t="s">
        <v>5</v>
      </c>
      <c r="P6" s="11" t="s">
        <v>5</v>
      </c>
      <c r="Q6" s="11" t="s">
        <v>6</v>
      </c>
      <c r="R6" s="11" t="s">
        <v>6</v>
      </c>
      <c r="S6" s="11" t="s">
        <v>6</v>
      </c>
      <c r="T6" s="11" t="s">
        <v>7</v>
      </c>
      <c r="U6" s="11" t="s">
        <v>7</v>
      </c>
      <c r="V6" s="11" t="s">
        <v>7</v>
      </c>
      <c r="W6" s="11" t="s">
        <v>8</v>
      </c>
      <c r="X6" s="11" t="s">
        <v>8</v>
      </c>
      <c r="Y6" s="11" t="s">
        <v>8</v>
      </c>
      <c r="Z6" s="11" t="s">
        <v>9</v>
      </c>
      <c r="AA6" s="11" t="s">
        <v>9</v>
      </c>
      <c r="AB6" s="11" t="s">
        <v>9</v>
      </c>
    </row>
    <row r="7" spans="1:187" s="12" customFormat="1" x14ac:dyDescent="0.25">
      <c r="A7" s="13"/>
      <c r="B7" s="14" t="s">
        <v>166</v>
      </c>
      <c r="C7" s="14" t="s">
        <v>167</v>
      </c>
      <c r="D7" s="14" t="s">
        <v>174</v>
      </c>
      <c r="E7" s="14" t="s">
        <v>166</v>
      </c>
      <c r="F7" s="14" t="s">
        <v>167</v>
      </c>
      <c r="G7" s="14" t="s">
        <v>174</v>
      </c>
      <c r="H7" s="14" t="s">
        <v>166</v>
      </c>
      <c r="I7" s="14" t="s">
        <v>167</v>
      </c>
      <c r="J7" s="14" t="s">
        <v>174</v>
      </c>
      <c r="K7" s="14" t="s">
        <v>166</v>
      </c>
      <c r="L7" s="14" t="s">
        <v>167</v>
      </c>
      <c r="M7" s="14" t="s">
        <v>174</v>
      </c>
      <c r="N7" s="14" t="s">
        <v>166</v>
      </c>
      <c r="O7" s="14" t="s">
        <v>167</v>
      </c>
      <c r="P7" s="14" t="s">
        <v>174</v>
      </c>
      <c r="Q7" s="14" t="s">
        <v>166</v>
      </c>
      <c r="R7" s="14" t="s">
        <v>167</v>
      </c>
      <c r="S7" s="14" t="s">
        <v>174</v>
      </c>
      <c r="T7" s="14" t="s">
        <v>166</v>
      </c>
      <c r="U7" s="14" t="s">
        <v>167</v>
      </c>
      <c r="V7" s="14" t="s">
        <v>174</v>
      </c>
      <c r="W7" s="14" t="s">
        <v>166</v>
      </c>
      <c r="X7" s="14" t="s">
        <v>167</v>
      </c>
      <c r="Y7" s="14" t="s">
        <v>174</v>
      </c>
      <c r="Z7" s="14" t="s">
        <v>166</v>
      </c>
      <c r="AA7" s="14" t="s">
        <v>167</v>
      </c>
      <c r="AB7" s="14" t="s">
        <v>174</v>
      </c>
    </row>
    <row r="8" spans="1:187" s="17" customFormat="1" x14ac:dyDescent="0.25">
      <c r="A8" s="15" t="s">
        <v>10</v>
      </c>
      <c r="B8" s="16">
        <f t="shared" ref="B8:D80" si="0">E8+H8+K8+N8+Q8+T8+W8+Z8</f>
        <v>51472200</v>
      </c>
      <c r="C8" s="16">
        <f t="shared" si="0"/>
        <v>52086845</v>
      </c>
      <c r="D8" s="16">
        <f>G8+J8+M8+P8+S8+V8+Y8+AB8</f>
        <v>614645</v>
      </c>
      <c r="E8" s="16">
        <f>SUM(E9,E89,E276,E288,E292,E295)</f>
        <v>2978900</v>
      </c>
      <c r="F8" s="16">
        <f>SUM(F9,F89,F276,F288,F292,F295)</f>
        <v>3371851</v>
      </c>
      <c r="G8" s="16">
        <f>F8-E8</f>
        <v>392951</v>
      </c>
      <c r="H8" s="16">
        <f>SUM(H9,H89,H276,H288,H292,H295)</f>
        <v>1123772</v>
      </c>
      <c r="I8" s="16">
        <f>SUM(I9,I89,I276,I288,I292,I295)</f>
        <v>1123772</v>
      </c>
      <c r="J8" s="16">
        <f>I8-H8</f>
        <v>0</v>
      </c>
      <c r="K8" s="16">
        <f>SUM(K9,K89,K276,K288,K292,K295)</f>
        <v>6485202</v>
      </c>
      <c r="L8" s="16">
        <f>SUM(L9,L89,L276,L288,L292,L295)</f>
        <v>6648181</v>
      </c>
      <c r="M8" s="16">
        <f>L8-K8</f>
        <v>162979</v>
      </c>
      <c r="N8" s="16">
        <f>SUM(N9,N89,N276,N288,N292,N295)</f>
        <v>25228027</v>
      </c>
      <c r="O8" s="16">
        <f>SUM(O9,O89,O276,O288,O292,O295)</f>
        <v>24058331</v>
      </c>
      <c r="P8" s="16">
        <f>O8-N8</f>
        <v>-1169696</v>
      </c>
      <c r="Q8" s="16">
        <f>SUM(Q9,Q89,Q276,Q288,Q292,Q295)</f>
        <v>1944391</v>
      </c>
      <c r="R8" s="16">
        <f>SUM(R9,R89,R276,R288,R292,R295)</f>
        <v>1944391</v>
      </c>
      <c r="S8" s="16">
        <f>R8-Q8</f>
        <v>0</v>
      </c>
      <c r="T8" s="16">
        <f>SUM(T9,T89,T276,T288,T292,T295)</f>
        <v>7509932</v>
      </c>
      <c r="U8" s="16">
        <f>SUM(U9,U89,U276,U288,U292,U295)</f>
        <v>7509932</v>
      </c>
      <c r="V8" s="16">
        <f>U8-T8</f>
        <v>0</v>
      </c>
      <c r="W8" s="16">
        <f>SUM(W9,W89,W276,W288,W292,W295)</f>
        <v>305434</v>
      </c>
      <c r="X8" s="16">
        <f>SUM(X9,X89,X276,X288,X292,X295)</f>
        <v>723506</v>
      </c>
      <c r="Y8" s="16">
        <f>X8-W8</f>
        <v>418072</v>
      </c>
      <c r="Z8" s="16">
        <f>SUM(Z9,Z89,Z276,Z288,Z292,Z295)</f>
        <v>5896542</v>
      </c>
      <c r="AA8" s="16">
        <f>SUM(AA9,AA89,AA276,AA288,AA292,AA295)</f>
        <v>6706881</v>
      </c>
      <c r="AB8" s="16">
        <f>AA8-Z8</f>
        <v>810339</v>
      </c>
    </row>
    <row r="9" spans="1:187" s="17" customFormat="1" x14ac:dyDescent="0.25">
      <c r="A9" s="18" t="s">
        <v>11</v>
      </c>
      <c r="B9" s="19">
        <f t="shared" si="0"/>
        <v>27548947</v>
      </c>
      <c r="C9" s="19">
        <f t="shared" si="0"/>
        <v>29457688</v>
      </c>
      <c r="D9" s="19">
        <f t="shared" si="0"/>
        <v>1908741</v>
      </c>
      <c r="E9" s="19">
        <f>SUM(E10,E22,E36,E48,E72,E85,E43,E56)</f>
        <v>1109620</v>
      </c>
      <c r="F9" s="19">
        <f>SUM(F10,F22,F36,F48,F72,F85,F43,F56)</f>
        <v>2917200</v>
      </c>
      <c r="G9" s="19">
        <f t="shared" ref="G9:G81" si="1">F9-E9</f>
        <v>1807580</v>
      </c>
      <c r="H9" s="19">
        <f>SUM(H10,H22,H36,H48,H72,H85,H43,H56)</f>
        <v>1092436</v>
      </c>
      <c r="I9" s="19">
        <f>SUM(I10,I22,I36,I48,I72,I85,I43,I56)</f>
        <v>1092436</v>
      </c>
      <c r="J9" s="19">
        <f t="shared" ref="J9:J81" si="2">I9-H9</f>
        <v>0</v>
      </c>
      <c r="K9" s="19">
        <f>SUM(K10,K22,K36,K48,K72,K85,K43,K56)</f>
        <v>5319811</v>
      </c>
      <c r="L9" s="19">
        <f>SUM(L10,L22,L36,L48,L72,L85,L43,L56)</f>
        <v>5345512</v>
      </c>
      <c r="M9" s="19">
        <f t="shared" ref="M9:M81" si="3">L9-K9</f>
        <v>25701</v>
      </c>
      <c r="N9" s="19">
        <f>SUM(N10,N22,N36,N48,N72,N85,N43,N56)</f>
        <v>13873759</v>
      </c>
      <c r="O9" s="19">
        <f>SUM(O10,O22,O36,O48,O72,O85,O43,O56)</f>
        <v>12728179</v>
      </c>
      <c r="P9" s="19">
        <f t="shared" ref="P9:P81" si="4">O9-N9</f>
        <v>-1145580</v>
      </c>
      <c r="Q9" s="19">
        <f>SUM(Q10,Q22,Q36,Q48,Q72,Q85,Q43,Q56)</f>
        <v>1266130</v>
      </c>
      <c r="R9" s="19">
        <f>SUM(R10,R22,R36,R48,R72,R85,R43,R56)</f>
        <v>1266130</v>
      </c>
      <c r="S9" s="19">
        <f t="shared" ref="S9:S81" si="5">R9-Q9</f>
        <v>0</v>
      </c>
      <c r="T9" s="19">
        <f>SUM(T10,T22,T36,T48,T72,T85,T43,T56)</f>
        <v>2485240</v>
      </c>
      <c r="U9" s="19">
        <f>SUM(U10,U22,U36,U48,U72,U85,U43,U56)</f>
        <v>2485240</v>
      </c>
      <c r="V9" s="19">
        <f t="shared" ref="V9:V81" si="6">U9-T9</f>
        <v>0</v>
      </c>
      <c r="W9" s="19">
        <f>SUM(W10,W22,W36,W48,W72,W85,W43,W56)</f>
        <v>299953</v>
      </c>
      <c r="X9" s="19">
        <f>SUM(X10,X22,X36,X48,X72,X85,X43,X56)</f>
        <v>710654</v>
      </c>
      <c r="Y9" s="19">
        <f t="shared" ref="Y9:Y81" si="7">X9-W9</f>
        <v>410701</v>
      </c>
      <c r="Z9" s="19">
        <f>SUM(Z10,Z22,Z36,Z48,Z72,Z85,Z43,Z56)</f>
        <v>2101998</v>
      </c>
      <c r="AA9" s="19">
        <f>SUM(AA10,AA22,AA36,AA48,AA72,AA85,AA43,AA56)</f>
        <v>2912337</v>
      </c>
      <c r="AB9" s="19">
        <f t="shared" ref="AB9:AB81" si="8">AA9-Z9</f>
        <v>810339</v>
      </c>
    </row>
    <row r="10" spans="1:187" s="20" customFormat="1" x14ac:dyDescent="0.25">
      <c r="A10" s="18" t="s">
        <v>12</v>
      </c>
      <c r="B10" s="19">
        <f t="shared" si="0"/>
        <v>474619</v>
      </c>
      <c r="C10" s="19">
        <f t="shared" si="0"/>
        <v>474619</v>
      </c>
      <c r="D10" s="19">
        <f t="shared" si="0"/>
        <v>0</v>
      </c>
      <c r="E10" s="19">
        <f t="shared" ref="E10:AA10" si="9">SUM(E11)</f>
        <v>273200</v>
      </c>
      <c r="F10" s="19">
        <f t="shared" si="9"/>
        <v>66840</v>
      </c>
      <c r="G10" s="19">
        <f t="shared" si="1"/>
        <v>-206360</v>
      </c>
      <c r="H10" s="19">
        <f t="shared" si="9"/>
        <v>131001</v>
      </c>
      <c r="I10" s="19">
        <f t="shared" si="9"/>
        <v>131001</v>
      </c>
      <c r="J10" s="19">
        <f t="shared" si="2"/>
        <v>0</v>
      </c>
      <c r="K10" s="19">
        <f t="shared" si="9"/>
        <v>70418</v>
      </c>
      <c r="L10" s="19">
        <f t="shared" si="9"/>
        <v>70418</v>
      </c>
      <c r="M10" s="19">
        <f t="shared" si="3"/>
        <v>0</v>
      </c>
      <c r="N10" s="19">
        <f t="shared" si="9"/>
        <v>0</v>
      </c>
      <c r="O10" s="19">
        <f t="shared" si="9"/>
        <v>0</v>
      </c>
      <c r="P10" s="19">
        <f t="shared" si="4"/>
        <v>0</v>
      </c>
      <c r="Q10" s="19">
        <f t="shared" si="9"/>
        <v>0</v>
      </c>
      <c r="R10" s="19">
        <f t="shared" si="9"/>
        <v>0</v>
      </c>
      <c r="S10" s="19">
        <f t="shared" si="5"/>
        <v>0</v>
      </c>
      <c r="T10" s="19">
        <f t="shared" si="9"/>
        <v>0</v>
      </c>
      <c r="U10" s="19">
        <f t="shared" si="9"/>
        <v>0</v>
      </c>
      <c r="V10" s="19">
        <f t="shared" si="6"/>
        <v>0</v>
      </c>
      <c r="W10" s="19">
        <f t="shared" si="9"/>
        <v>0</v>
      </c>
      <c r="X10" s="19">
        <f t="shared" si="9"/>
        <v>0</v>
      </c>
      <c r="Y10" s="19">
        <f t="shared" si="7"/>
        <v>0</v>
      </c>
      <c r="Z10" s="19">
        <f t="shared" si="9"/>
        <v>0</v>
      </c>
      <c r="AA10" s="19">
        <f t="shared" si="9"/>
        <v>206360</v>
      </c>
      <c r="AB10" s="19">
        <f t="shared" si="8"/>
        <v>206360</v>
      </c>
    </row>
    <row r="11" spans="1:187" s="17" customFormat="1" x14ac:dyDescent="0.25">
      <c r="A11" s="18" t="s">
        <v>13</v>
      </c>
      <c r="B11" s="21">
        <f t="shared" si="0"/>
        <v>474619</v>
      </c>
      <c r="C11" s="21">
        <f t="shared" si="0"/>
        <v>474619</v>
      </c>
      <c r="D11" s="21">
        <f t="shared" si="0"/>
        <v>0</v>
      </c>
      <c r="E11" s="21">
        <f>SUM(E12:E21)</f>
        <v>273200</v>
      </c>
      <c r="F11" s="21">
        <f>SUM(F12:F21)</f>
        <v>66840</v>
      </c>
      <c r="G11" s="21">
        <f t="shared" si="1"/>
        <v>-206360</v>
      </c>
      <c r="H11" s="21">
        <f>SUM(H12:H21)</f>
        <v>131001</v>
      </c>
      <c r="I11" s="21">
        <f>SUM(I12:I21)</f>
        <v>131001</v>
      </c>
      <c r="J11" s="21">
        <f t="shared" si="2"/>
        <v>0</v>
      </c>
      <c r="K11" s="21">
        <f>SUM(K12:K21)</f>
        <v>70418</v>
      </c>
      <c r="L11" s="21">
        <f>SUM(L12:L21)</f>
        <v>70418</v>
      </c>
      <c r="M11" s="21">
        <f t="shared" si="3"/>
        <v>0</v>
      </c>
      <c r="N11" s="21">
        <f>SUM(N12:N21)</f>
        <v>0</v>
      </c>
      <c r="O11" s="21">
        <f>SUM(O12:O21)</f>
        <v>0</v>
      </c>
      <c r="P11" s="21">
        <f t="shared" si="4"/>
        <v>0</v>
      </c>
      <c r="Q11" s="21">
        <f>SUM(Q12:Q21)</f>
        <v>0</v>
      </c>
      <c r="R11" s="21">
        <f>SUM(R12:R21)</f>
        <v>0</v>
      </c>
      <c r="S11" s="21">
        <f t="shared" si="5"/>
        <v>0</v>
      </c>
      <c r="T11" s="21">
        <f>SUM(T12:T21)</f>
        <v>0</v>
      </c>
      <c r="U11" s="21">
        <f>SUM(U12:U21)</f>
        <v>0</v>
      </c>
      <c r="V11" s="21">
        <f t="shared" si="6"/>
        <v>0</v>
      </c>
      <c r="W11" s="21">
        <f>SUM(W12:W21)</f>
        <v>0</v>
      </c>
      <c r="X11" s="21">
        <f>SUM(X12:X21)</f>
        <v>0</v>
      </c>
      <c r="Y11" s="21">
        <f t="shared" si="7"/>
        <v>0</v>
      </c>
      <c r="Z11" s="21">
        <f>SUM(Z12:Z21)</f>
        <v>0</v>
      </c>
      <c r="AA11" s="21">
        <f>SUM(AA12:AA21)</f>
        <v>206360</v>
      </c>
      <c r="AB11" s="21">
        <f t="shared" si="8"/>
        <v>206360</v>
      </c>
    </row>
    <row r="12" spans="1:187" s="20" customFormat="1" ht="31.5" x14ac:dyDescent="0.25">
      <c r="A12" s="22" t="s">
        <v>204</v>
      </c>
      <c r="B12" s="23">
        <f t="shared" si="0"/>
        <v>8616</v>
      </c>
      <c r="C12" s="23">
        <f t="shared" si="0"/>
        <v>8616</v>
      </c>
      <c r="D12" s="23">
        <f t="shared" si="0"/>
        <v>0</v>
      </c>
      <c r="E12" s="23">
        <v>0</v>
      </c>
      <c r="F12" s="23">
        <v>0</v>
      </c>
      <c r="G12" s="23">
        <f t="shared" si="1"/>
        <v>0</v>
      </c>
      <c r="H12" s="23">
        <v>0</v>
      </c>
      <c r="I12" s="23">
        <v>0</v>
      </c>
      <c r="J12" s="23">
        <f t="shared" si="2"/>
        <v>0</v>
      </c>
      <c r="K12" s="23">
        <v>8616</v>
      </c>
      <c r="L12" s="23">
        <v>8616</v>
      </c>
      <c r="M12" s="23">
        <f t="shared" si="3"/>
        <v>0</v>
      </c>
      <c r="N12" s="23"/>
      <c r="O12" s="23"/>
      <c r="P12" s="23">
        <f t="shared" si="4"/>
        <v>0</v>
      </c>
      <c r="Q12" s="23"/>
      <c r="R12" s="23"/>
      <c r="S12" s="23">
        <f t="shared" si="5"/>
        <v>0</v>
      </c>
      <c r="T12" s="23"/>
      <c r="U12" s="23"/>
      <c r="V12" s="23">
        <f t="shared" si="6"/>
        <v>0</v>
      </c>
      <c r="W12" s="23"/>
      <c r="X12" s="23"/>
      <c r="Y12" s="23">
        <f t="shared" si="7"/>
        <v>0</v>
      </c>
      <c r="Z12" s="23"/>
      <c r="AA12" s="23"/>
      <c r="AB12" s="23">
        <f t="shared" si="8"/>
        <v>0</v>
      </c>
    </row>
    <row r="13" spans="1:187" s="20" customFormat="1" ht="31.5" x14ac:dyDescent="0.25">
      <c r="A13" s="22" t="s">
        <v>205</v>
      </c>
      <c r="B13" s="23">
        <f t="shared" si="0"/>
        <v>3548</v>
      </c>
      <c r="C13" s="23">
        <f t="shared" si="0"/>
        <v>3548</v>
      </c>
      <c r="D13" s="23">
        <f t="shared" si="0"/>
        <v>0</v>
      </c>
      <c r="E13" s="23">
        <v>0</v>
      </c>
      <c r="F13" s="23">
        <v>0</v>
      </c>
      <c r="G13" s="23">
        <f>F13-E13</f>
        <v>0</v>
      </c>
      <c r="H13" s="23">
        <v>0</v>
      </c>
      <c r="I13" s="23">
        <v>0</v>
      </c>
      <c r="J13" s="23">
        <f t="shared" si="2"/>
        <v>0</v>
      </c>
      <c r="K13" s="23">
        <v>3548</v>
      </c>
      <c r="L13" s="23">
        <v>3548</v>
      </c>
      <c r="M13" s="23">
        <f t="shared" si="3"/>
        <v>0</v>
      </c>
      <c r="N13" s="23"/>
      <c r="O13" s="23"/>
      <c r="P13" s="23">
        <f>O13-N13</f>
        <v>0</v>
      </c>
      <c r="Q13" s="23"/>
      <c r="R13" s="23"/>
      <c r="S13" s="23">
        <f t="shared" si="5"/>
        <v>0</v>
      </c>
      <c r="T13" s="23"/>
      <c r="U13" s="23"/>
      <c r="V13" s="23">
        <f t="shared" si="6"/>
        <v>0</v>
      </c>
      <c r="W13" s="23"/>
      <c r="X13" s="23"/>
      <c r="Y13" s="23">
        <f t="shared" si="7"/>
        <v>0</v>
      </c>
      <c r="Z13" s="23"/>
      <c r="AA13" s="23"/>
      <c r="AB13" s="23">
        <f t="shared" si="8"/>
        <v>0</v>
      </c>
    </row>
    <row r="14" spans="1:187" s="20" customFormat="1" ht="31.5" x14ac:dyDescent="0.25">
      <c r="A14" s="22" t="s">
        <v>206</v>
      </c>
      <c r="B14" s="23">
        <f t="shared" si="0"/>
        <v>14706</v>
      </c>
      <c r="C14" s="23">
        <f t="shared" si="0"/>
        <v>14706</v>
      </c>
      <c r="D14" s="23">
        <f t="shared" si="0"/>
        <v>0</v>
      </c>
      <c r="E14" s="23">
        <v>0</v>
      </c>
      <c r="F14" s="23">
        <v>0</v>
      </c>
      <c r="G14" s="23">
        <f t="shared" si="1"/>
        <v>0</v>
      </c>
      <c r="H14" s="23">
        <v>0</v>
      </c>
      <c r="I14" s="23">
        <v>0</v>
      </c>
      <c r="J14" s="23">
        <f t="shared" si="2"/>
        <v>0</v>
      </c>
      <c r="K14" s="23">
        <v>14706</v>
      </c>
      <c r="L14" s="23">
        <v>14706</v>
      </c>
      <c r="M14" s="23">
        <f t="shared" si="3"/>
        <v>0</v>
      </c>
      <c r="N14" s="23"/>
      <c r="O14" s="23"/>
      <c r="P14" s="23">
        <f t="shared" si="4"/>
        <v>0</v>
      </c>
      <c r="Q14" s="23"/>
      <c r="R14" s="23"/>
      <c r="S14" s="23">
        <f t="shared" si="5"/>
        <v>0</v>
      </c>
      <c r="T14" s="23"/>
      <c r="U14" s="23"/>
      <c r="V14" s="23">
        <f t="shared" si="6"/>
        <v>0</v>
      </c>
      <c r="W14" s="23"/>
      <c r="X14" s="23"/>
      <c r="Y14" s="23">
        <f t="shared" si="7"/>
        <v>0</v>
      </c>
      <c r="Z14" s="23"/>
      <c r="AA14" s="23"/>
      <c r="AB14" s="23">
        <f t="shared" si="8"/>
        <v>0</v>
      </c>
    </row>
    <row r="15" spans="1:187" s="20" customFormat="1" ht="31.5" x14ac:dyDescent="0.25">
      <c r="A15" s="22" t="s">
        <v>207</v>
      </c>
      <c r="B15" s="23">
        <f t="shared" si="0"/>
        <v>3333</v>
      </c>
      <c r="C15" s="23">
        <f t="shared" si="0"/>
        <v>3333</v>
      </c>
      <c r="D15" s="23">
        <f t="shared" si="0"/>
        <v>0</v>
      </c>
      <c r="E15" s="23">
        <v>0</v>
      </c>
      <c r="F15" s="23">
        <v>0</v>
      </c>
      <c r="G15" s="23">
        <f t="shared" si="1"/>
        <v>0</v>
      </c>
      <c r="H15" s="23">
        <v>0</v>
      </c>
      <c r="I15" s="23">
        <v>0</v>
      </c>
      <c r="J15" s="23">
        <f t="shared" si="2"/>
        <v>0</v>
      </c>
      <c r="K15" s="23">
        <v>3333</v>
      </c>
      <c r="L15" s="23">
        <v>3333</v>
      </c>
      <c r="M15" s="23">
        <f t="shared" si="3"/>
        <v>0</v>
      </c>
      <c r="N15" s="23"/>
      <c r="O15" s="23"/>
      <c r="P15" s="23">
        <f t="shared" si="4"/>
        <v>0</v>
      </c>
      <c r="Q15" s="23"/>
      <c r="R15" s="23"/>
      <c r="S15" s="23">
        <f t="shared" si="5"/>
        <v>0</v>
      </c>
      <c r="T15" s="23"/>
      <c r="U15" s="23"/>
      <c r="V15" s="23">
        <f t="shared" si="6"/>
        <v>0</v>
      </c>
      <c r="W15" s="23"/>
      <c r="X15" s="23"/>
      <c r="Y15" s="23">
        <f t="shared" si="7"/>
        <v>0</v>
      </c>
      <c r="Z15" s="23"/>
      <c r="AA15" s="23"/>
      <c r="AB15" s="23">
        <f t="shared" si="8"/>
        <v>0</v>
      </c>
    </row>
    <row r="16" spans="1:187" s="20" customFormat="1" ht="31.5" x14ac:dyDescent="0.25">
      <c r="A16" s="22" t="s">
        <v>208</v>
      </c>
      <c r="B16" s="23">
        <f t="shared" si="0"/>
        <v>11395</v>
      </c>
      <c r="C16" s="23">
        <f t="shared" si="0"/>
        <v>11395</v>
      </c>
      <c r="D16" s="23">
        <f t="shared" si="0"/>
        <v>0</v>
      </c>
      <c r="E16" s="23">
        <v>0</v>
      </c>
      <c r="F16" s="23">
        <v>0</v>
      </c>
      <c r="G16" s="23">
        <f t="shared" si="1"/>
        <v>0</v>
      </c>
      <c r="H16" s="23">
        <v>0</v>
      </c>
      <c r="I16" s="23">
        <v>0</v>
      </c>
      <c r="J16" s="23">
        <f t="shared" si="2"/>
        <v>0</v>
      </c>
      <c r="K16" s="23">
        <v>11395</v>
      </c>
      <c r="L16" s="23">
        <v>11395</v>
      </c>
      <c r="M16" s="23">
        <f t="shared" si="3"/>
        <v>0</v>
      </c>
      <c r="N16" s="23"/>
      <c r="O16" s="23"/>
      <c r="P16" s="23">
        <f t="shared" si="4"/>
        <v>0</v>
      </c>
      <c r="Q16" s="23"/>
      <c r="R16" s="23"/>
      <c r="S16" s="23">
        <f t="shared" si="5"/>
        <v>0</v>
      </c>
      <c r="T16" s="23"/>
      <c r="U16" s="23"/>
      <c r="V16" s="23">
        <f t="shared" si="6"/>
        <v>0</v>
      </c>
      <c r="W16" s="23"/>
      <c r="X16" s="23"/>
      <c r="Y16" s="23">
        <f t="shared" si="7"/>
        <v>0</v>
      </c>
      <c r="Z16" s="23"/>
      <c r="AA16" s="23"/>
      <c r="AB16" s="23">
        <f t="shared" si="8"/>
        <v>0</v>
      </c>
    </row>
    <row r="17" spans="1:29" s="20" customFormat="1" ht="31.5" x14ac:dyDescent="0.25">
      <c r="A17" s="22" t="s">
        <v>209</v>
      </c>
      <c r="B17" s="23">
        <f t="shared" si="0"/>
        <v>23820</v>
      </c>
      <c r="C17" s="23">
        <f t="shared" si="0"/>
        <v>23820</v>
      </c>
      <c r="D17" s="23">
        <f t="shared" si="0"/>
        <v>0</v>
      </c>
      <c r="E17" s="23">
        <v>0</v>
      </c>
      <c r="F17" s="23">
        <v>0</v>
      </c>
      <c r="G17" s="23">
        <f t="shared" si="1"/>
        <v>0</v>
      </c>
      <c r="H17" s="23">
        <v>0</v>
      </c>
      <c r="I17" s="23">
        <v>0</v>
      </c>
      <c r="J17" s="23">
        <f t="shared" si="2"/>
        <v>0</v>
      </c>
      <c r="K17" s="23">
        <f>15820+8000</f>
        <v>23820</v>
      </c>
      <c r="L17" s="23">
        <f>15820+8000</f>
        <v>23820</v>
      </c>
      <c r="M17" s="23">
        <f t="shared" si="3"/>
        <v>0</v>
      </c>
      <c r="N17" s="23"/>
      <c r="O17" s="23"/>
      <c r="P17" s="23">
        <f t="shared" si="4"/>
        <v>0</v>
      </c>
      <c r="Q17" s="23"/>
      <c r="R17" s="23"/>
      <c r="S17" s="23">
        <f t="shared" si="5"/>
        <v>0</v>
      </c>
      <c r="T17" s="23"/>
      <c r="U17" s="23"/>
      <c r="V17" s="23">
        <f t="shared" si="6"/>
        <v>0</v>
      </c>
      <c r="W17" s="23"/>
      <c r="X17" s="23"/>
      <c r="Y17" s="23">
        <f t="shared" si="7"/>
        <v>0</v>
      </c>
      <c r="Z17" s="23"/>
      <c r="AA17" s="23"/>
      <c r="AB17" s="23">
        <f t="shared" si="8"/>
        <v>0</v>
      </c>
    </row>
    <row r="18" spans="1:29" s="20" customFormat="1" ht="31.5" x14ac:dyDescent="0.25">
      <c r="A18" s="22" t="s">
        <v>210</v>
      </c>
      <c r="B18" s="23">
        <f t="shared" si="0"/>
        <v>5000</v>
      </c>
      <c r="C18" s="23">
        <f t="shared" si="0"/>
        <v>5000</v>
      </c>
      <c r="D18" s="23">
        <f t="shared" si="0"/>
        <v>0</v>
      </c>
      <c r="E18" s="23">
        <v>0</v>
      </c>
      <c r="F18" s="23">
        <v>0</v>
      </c>
      <c r="G18" s="23">
        <f t="shared" si="1"/>
        <v>0</v>
      </c>
      <c r="H18" s="23">
        <v>0</v>
      </c>
      <c r="I18" s="23">
        <v>0</v>
      </c>
      <c r="J18" s="23">
        <f t="shared" si="2"/>
        <v>0</v>
      </c>
      <c r="K18" s="23">
        <v>5000</v>
      </c>
      <c r="L18" s="23">
        <v>5000</v>
      </c>
      <c r="M18" s="23">
        <f t="shared" si="3"/>
        <v>0</v>
      </c>
      <c r="N18" s="23"/>
      <c r="O18" s="23"/>
      <c r="P18" s="23">
        <f t="shared" si="4"/>
        <v>0</v>
      </c>
      <c r="Q18" s="23"/>
      <c r="R18" s="23"/>
      <c r="S18" s="23">
        <f t="shared" si="5"/>
        <v>0</v>
      </c>
      <c r="T18" s="23"/>
      <c r="U18" s="23"/>
      <c r="V18" s="23">
        <f t="shared" si="6"/>
        <v>0</v>
      </c>
      <c r="W18" s="23"/>
      <c r="X18" s="23"/>
      <c r="Y18" s="23">
        <f t="shared" si="7"/>
        <v>0</v>
      </c>
      <c r="Z18" s="23"/>
      <c r="AA18" s="23"/>
      <c r="AB18" s="23">
        <f t="shared" si="8"/>
        <v>0</v>
      </c>
    </row>
    <row r="19" spans="1:29" s="20" customFormat="1" ht="63" x14ac:dyDescent="0.25">
      <c r="A19" s="22" t="s">
        <v>14</v>
      </c>
      <c r="B19" s="23">
        <f t="shared" si="0"/>
        <v>219200</v>
      </c>
      <c r="C19" s="23">
        <f t="shared" si="0"/>
        <v>219200</v>
      </c>
      <c r="D19" s="23">
        <f t="shared" si="0"/>
        <v>0</v>
      </c>
      <c r="E19" s="23">
        <f>13200+200000+3000+3000</f>
        <v>219200</v>
      </c>
      <c r="F19" s="23">
        <f>13200+200000+3000+3000-206360</f>
        <v>12840</v>
      </c>
      <c r="G19" s="23">
        <f>F19-E19</f>
        <v>-206360</v>
      </c>
      <c r="H19" s="23"/>
      <c r="I19" s="23"/>
      <c r="J19" s="23">
        <f t="shared" si="2"/>
        <v>0</v>
      </c>
      <c r="K19" s="23"/>
      <c r="L19" s="23"/>
      <c r="M19" s="23">
        <f t="shared" si="3"/>
        <v>0</v>
      </c>
      <c r="N19" s="23"/>
      <c r="O19" s="23"/>
      <c r="P19" s="23">
        <f t="shared" si="4"/>
        <v>0</v>
      </c>
      <c r="Q19" s="23"/>
      <c r="R19" s="23"/>
      <c r="S19" s="23">
        <f t="shared" si="5"/>
        <v>0</v>
      </c>
      <c r="T19" s="23"/>
      <c r="U19" s="23"/>
      <c r="V19" s="23">
        <f t="shared" si="6"/>
        <v>0</v>
      </c>
      <c r="W19" s="23"/>
      <c r="X19" s="23"/>
      <c r="Y19" s="23">
        <f t="shared" si="7"/>
        <v>0</v>
      </c>
      <c r="Z19" s="23"/>
      <c r="AA19" s="23">
        <v>206360</v>
      </c>
      <c r="AB19" s="23">
        <f t="shared" si="8"/>
        <v>206360</v>
      </c>
    </row>
    <row r="20" spans="1:29" s="20" customFormat="1" ht="31.5" x14ac:dyDescent="0.25">
      <c r="A20" s="22" t="s">
        <v>15</v>
      </c>
      <c r="B20" s="23">
        <f t="shared" si="0"/>
        <v>54000</v>
      </c>
      <c r="C20" s="23">
        <f t="shared" si="0"/>
        <v>54000</v>
      </c>
      <c r="D20" s="23">
        <f t="shared" si="0"/>
        <v>0</v>
      </c>
      <c r="E20" s="23">
        <v>54000</v>
      </c>
      <c r="F20" s="23">
        <v>54000</v>
      </c>
      <c r="G20" s="23">
        <f t="shared" si="1"/>
        <v>0</v>
      </c>
      <c r="H20" s="23"/>
      <c r="I20" s="23"/>
      <c r="J20" s="23">
        <f t="shared" si="2"/>
        <v>0</v>
      </c>
      <c r="K20" s="23"/>
      <c r="L20" s="23"/>
      <c r="M20" s="23">
        <f t="shared" si="3"/>
        <v>0</v>
      </c>
      <c r="N20" s="23"/>
      <c r="O20" s="23"/>
      <c r="P20" s="23">
        <f t="shared" si="4"/>
        <v>0</v>
      </c>
      <c r="Q20" s="23"/>
      <c r="R20" s="23"/>
      <c r="S20" s="23">
        <f t="shared" si="5"/>
        <v>0</v>
      </c>
      <c r="T20" s="23"/>
      <c r="U20" s="23"/>
      <c r="V20" s="23">
        <f t="shared" si="6"/>
        <v>0</v>
      </c>
      <c r="W20" s="23"/>
      <c r="X20" s="23"/>
      <c r="Y20" s="23">
        <f t="shared" si="7"/>
        <v>0</v>
      </c>
      <c r="Z20" s="23"/>
      <c r="AA20" s="23"/>
      <c r="AB20" s="23">
        <f t="shared" si="8"/>
        <v>0</v>
      </c>
    </row>
    <row r="21" spans="1:29" s="20" customFormat="1" ht="31.5" x14ac:dyDescent="0.25">
      <c r="A21" s="22" t="s">
        <v>16</v>
      </c>
      <c r="B21" s="23">
        <f t="shared" si="0"/>
        <v>131001</v>
      </c>
      <c r="C21" s="23">
        <f t="shared" si="0"/>
        <v>131001</v>
      </c>
      <c r="D21" s="23">
        <f t="shared" si="0"/>
        <v>0</v>
      </c>
      <c r="E21" s="23"/>
      <c r="F21" s="23"/>
      <c r="G21" s="23">
        <f t="shared" si="1"/>
        <v>0</v>
      </c>
      <c r="H21" s="23">
        <f>47490+70572+12939</f>
        <v>131001</v>
      </c>
      <c r="I21" s="23">
        <f>47490+70572+12939</f>
        <v>131001</v>
      </c>
      <c r="J21" s="23">
        <f t="shared" si="2"/>
        <v>0</v>
      </c>
      <c r="K21" s="23"/>
      <c r="L21" s="23"/>
      <c r="M21" s="23">
        <f t="shared" si="3"/>
        <v>0</v>
      </c>
      <c r="N21" s="23"/>
      <c r="O21" s="23"/>
      <c r="P21" s="23">
        <f t="shared" si="4"/>
        <v>0</v>
      </c>
      <c r="Q21" s="23"/>
      <c r="R21" s="23"/>
      <c r="S21" s="23">
        <f t="shared" si="5"/>
        <v>0</v>
      </c>
      <c r="T21" s="23"/>
      <c r="U21" s="23"/>
      <c r="V21" s="23">
        <f t="shared" si="6"/>
        <v>0</v>
      </c>
      <c r="W21" s="23"/>
      <c r="X21" s="23"/>
      <c r="Y21" s="23">
        <f t="shared" si="7"/>
        <v>0</v>
      </c>
      <c r="Z21" s="23"/>
      <c r="AA21" s="23"/>
      <c r="AB21" s="23">
        <f t="shared" si="8"/>
        <v>0</v>
      </c>
    </row>
    <row r="22" spans="1:29" s="17" customFormat="1" x14ac:dyDescent="0.25">
      <c r="A22" s="24" t="s">
        <v>17</v>
      </c>
      <c r="B22" s="21">
        <f t="shared" si="0"/>
        <v>530403</v>
      </c>
      <c r="C22" s="21">
        <f t="shared" si="0"/>
        <v>530403</v>
      </c>
      <c r="D22" s="21">
        <f t="shared" si="0"/>
        <v>0</v>
      </c>
      <c r="E22" s="21">
        <f t="shared" ref="E22:AA22" si="10">SUM(E23)</f>
        <v>0</v>
      </c>
      <c r="F22" s="21">
        <f t="shared" si="10"/>
        <v>0</v>
      </c>
      <c r="G22" s="21">
        <f t="shared" si="1"/>
        <v>0</v>
      </c>
      <c r="H22" s="21">
        <f t="shared" si="10"/>
        <v>0</v>
      </c>
      <c r="I22" s="21">
        <f t="shared" si="10"/>
        <v>0</v>
      </c>
      <c r="J22" s="21">
        <f t="shared" si="2"/>
        <v>0</v>
      </c>
      <c r="K22" s="21">
        <f t="shared" si="10"/>
        <v>0</v>
      </c>
      <c r="L22" s="21">
        <f t="shared" si="10"/>
        <v>0</v>
      </c>
      <c r="M22" s="21">
        <f t="shared" si="3"/>
        <v>0</v>
      </c>
      <c r="N22" s="21">
        <f t="shared" si="10"/>
        <v>0</v>
      </c>
      <c r="O22" s="21">
        <f t="shared" si="10"/>
        <v>0</v>
      </c>
      <c r="P22" s="21">
        <f t="shared" si="4"/>
        <v>0</v>
      </c>
      <c r="Q22" s="21">
        <f t="shared" si="10"/>
        <v>125580</v>
      </c>
      <c r="R22" s="21">
        <f t="shared" si="10"/>
        <v>125580</v>
      </c>
      <c r="S22" s="21">
        <f t="shared" si="5"/>
        <v>0</v>
      </c>
      <c r="T22" s="21">
        <f t="shared" si="10"/>
        <v>294823</v>
      </c>
      <c r="U22" s="21">
        <f t="shared" si="10"/>
        <v>294823</v>
      </c>
      <c r="V22" s="21">
        <f t="shared" si="6"/>
        <v>0</v>
      </c>
      <c r="W22" s="21">
        <f t="shared" si="10"/>
        <v>0</v>
      </c>
      <c r="X22" s="21">
        <f t="shared" si="10"/>
        <v>0</v>
      </c>
      <c r="Y22" s="21">
        <f t="shared" si="7"/>
        <v>0</v>
      </c>
      <c r="Z22" s="21">
        <f t="shared" si="10"/>
        <v>110000</v>
      </c>
      <c r="AA22" s="21">
        <f t="shared" si="10"/>
        <v>110000</v>
      </c>
      <c r="AB22" s="21">
        <f t="shared" si="8"/>
        <v>0</v>
      </c>
    </row>
    <row r="23" spans="1:29" s="17" customFormat="1" x14ac:dyDescent="0.25">
      <c r="A23" s="18" t="s">
        <v>13</v>
      </c>
      <c r="B23" s="21">
        <f t="shared" si="0"/>
        <v>530403</v>
      </c>
      <c r="C23" s="21">
        <f t="shared" si="0"/>
        <v>530403</v>
      </c>
      <c r="D23" s="21">
        <f t="shared" si="0"/>
        <v>0</v>
      </c>
      <c r="E23" s="21">
        <f t="shared" ref="E23" si="11">SUM(E24:E35)</f>
        <v>0</v>
      </c>
      <c r="F23" s="21">
        <f t="shared" ref="F23" si="12">SUM(F24:F35)</f>
        <v>0</v>
      </c>
      <c r="G23" s="21">
        <f t="shared" si="1"/>
        <v>0</v>
      </c>
      <c r="H23" s="21">
        <f t="shared" ref="H23" si="13">SUM(H24:H35)</f>
        <v>0</v>
      </c>
      <c r="I23" s="21">
        <f t="shared" ref="I23" si="14">SUM(I24:I35)</f>
        <v>0</v>
      </c>
      <c r="J23" s="21">
        <f t="shared" si="2"/>
        <v>0</v>
      </c>
      <c r="K23" s="21">
        <f t="shared" ref="K23" si="15">SUM(K24:K35)</f>
        <v>0</v>
      </c>
      <c r="L23" s="21">
        <f t="shared" ref="L23" si="16">SUM(L24:L35)</f>
        <v>0</v>
      </c>
      <c r="M23" s="21">
        <f t="shared" si="3"/>
        <v>0</v>
      </c>
      <c r="N23" s="21">
        <f t="shared" ref="N23" si="17">SUM(N24:N35)</f>
        <v>0</v>
      </c>
      <c r="O23" s="21">
        <f t="shared" ref="O23" si="18">SUM(O24:O35)</f>
        <v>0</v>
      </c>
      <c r="P23" s="21">
        <f t="shared" si="4"/>
        <v>0</v>
      </c>
      <c r="Q23" s="21">
        <f t="shared" ref="Q23" si="19">SUM(Q24:Q35)</f>
        <v>125580</v>
      </c>
      <c r="R23" s="21">
        <f t="shared" ref="R23" si="20">SUM(R24:R35)</f>
        <v>125580</v>
      </c>
      <c r="S23" s="21">
        <f t="shared" si="5"/>
        <v>0</v>
      </c>
      <c r="T23" s="21">
        <f t="shared" ref="T23" si="21">SUM(T24:T35)</f>
        <v>294823</v>
      </c>
      <c r="U23" s="21">
        <f t="shared" ref="U23" si="22">SUM(U24:U35)</f>
        <v>294823</v>
      </c>
      <c r="V23" s="21">
        <f t="shared" si="6"/>
        <v>0</v>
      </c>
      <c r="W23" s="21">
        <f t="shared" ref="W23" si="23">SUM(W24:W35)</f>
        <v>0</v>
      </c>
      <c r="X23" s="21">
        <f t="shared" ref="X23" si="24">SUM(X24:X35)</f>
        <v>0</v>
      </c>
      <c r="Y23" s="21">
        <f t="shared" si="7"/>
        <v>0</v>
      </c>
      <c r="Z23" s="21">
        <f t="shared" ref="Z23" si="25">SUM(Z24:Z35)</f>
        <v>110000</v>
      </c>
      <c r="AA23" s="21">
        <f t="shared" ref="AA23" si="26">SUM(AA24:AA35)</f>
        <v>110000</v>
      </c>
      <c r="AB23" s="21">
        <f t="shared" si="8"/>
        <v>0</v>
      </c>
    </row>
    <row r="24" spans="1:29" s="20" customFormat="1" x14ac:dyDescent="0.25">
      <c r="A24" s="25" t="s">
        <v>18</v>
      </c>
      <c r="B24" s="26">
        <f t="shared" si="0"/>
        <v>110000</v>
      </c>
      <c r="C24" s="26">
        <f t="shared" si="0"/>
        <v>110000</v>
      </c>
      <c r="D24" s="26">
        <f t="shared" si="0"/>
        <v>0</v>
      </c>
      <c r="E24" s="26">
        <v>0</v>
      </c>
      <c r="F24" s="26">
        <v>0</v>
      </c>
      <c r="G24" s="26">
        <f t="shared" si="1"/>
        <v>0</v>
      </c>
      <c r="H24" s="26">
        <v>0</v>
      </c>
      <c r="I24" s="26">
        <v>0</v>
      </c>
      <c r="J24" s="26">
        <f t="shared" si="2"/>
        <v>0</v>
      </c>
      <c r="K24" s="26">
        <v>0</v>
      </c>
      <c r="L24" s="26">
        <v>0</v>
      </c>
      <c r="M24" s="26">
        <f t="shared" si="3"/>
        <v>0</v>
      </c>
      <c r="N24" s="26"/>
      <c r="O24" s="26"/>
      <c r="P24" s="26">
        <f t="shared" si="4"/>
        <v>0</v>
      </c>
      <c r="Q24" s="26"/>
      <c r="R24" s="26"/>
      <c r="S24" s="26">
        <f t="shared" si="5"/>
        <v>0</v>
      </c>
      <c r="T24" s="26">
        <v>0</v>
      </c>
      <c r="U24" s="26">
        <v>0</v>
      </c>
      <c r="V24" s="26">
        <f t="shared" si="6"/>
        <v>0</v>
      </c>
      <c r="W24" s="26"/>
      <c r="X24" s="26"/>
      <c r="Y24" s="26">
        <f t="shared" si="7"/>
        <v>0</v>
      </c>
      <c r="Z24" s="26">
        <v>110000</v>
      </c>
      <c r="AA24" s="26">
        <f>110000</f>
        <v>110000</v>
      </c>
      <c r="AB24" s="26">
        <f t="shared" si="8"/>
        <v>0</v>
      </c>
    </row>
    <row r="25" spans="1:29" s="20" customFormat="1" x14ac:dyDescent="0.25">
      <c r="A25" s="27" t="s">
        <v>19</v>
      </c>
      <c r="B25" s="26">
        <f t="shared" si="0"/>
        <v>54000</v>
      </c>
      <c r="C25" s="26">
        <f t="shared" si="0"/>
        <v>54000</v>
      </c>
      <c r="D25" s="26">
        <f t="shared" si="0"/>
        <v>0</v>
      </c>
      <c r="E25" s="26">
        <v>0</v>
      </c>
      <c r="F25" s="26">
        <v>0</v>
      </c>
      <c r="G25" s="26">
        <f t="shared" si="1"/>
        <v>0</v>
      </c>
      <c r="H25" s="26">
        <v>0</v>
      </c>
      <c r="I25" s="26">
        <v>0</v>
      </c>
      <c r="J25" s="26">
        <f t="shared" si="2"/>
        <v>0</v>
      </c>
      <c r="K25" s="26"/>
      <c r="L25" s="26"/>
      <c r="M25" s="26">
        <f t="shared" si="3"/>
        <v>0</v>
      </c>
      <c r="N25" s="26">
        <v>0</v>
      </c>
      <c r="O25" s="26">
        <v>0</v>
      </c>
      <c r="P25" s="26">
        <f t="shared" si="4"/>
        <v>0</v>
      </c>
      <c r="Q25" s="26">
        <v>54000</v>
      </c>
      <c r="R25" s="26">
        <v>54000</v>
      </c>
      <c r="S25" s="26">
        <f t="shared" si="5"/>
        <v>0</v>
      </c>
      <c r="T25" s="26">
        <v>0</v>
      </c>
      <c r="U25" s="26">
        <v>0</v>
      </c>
      <c r="V25" s="26">
        <f t="shared" si="6"/>
        <v>0</v>
      </c>
      <c r="W25" s="26">
        <v>0</v>
      </c>
      <c r="X25" s="26">
        <v>0</v>
      </c>
      <c r="Y25" s="26">
        <f t="shared" si="7"/>
        <v>0</v>
      </c>
      <c r="Z25" s="26"/>
      <c r="AA25" s="26"/>
      <c r="AB25" s="26">
        <f t="shared" si="8"/>
        <v>0</v>
      </c>
    </row>
    <row r="26" spans="1:29" s="20" customFormat="1" x14ac:dyDescent="0.25">
      <c r="A26" s="27" t="s">
        <v>20</v>
      </c>
      <c r="B26" s="26">
        <f t="shared" si="0"/>
        <v>39400</v>
      </c>
      <c r="C26" s="26">
        <f t="shared" si="0"/>
        <v>39400</v>
      </c>
      <c r="D26" s="26">
        <f t="shared" si="0"/>
        <v>0</v>
      </c>
      <c r="E26" s="26">
        <v>0</v>
      </c>
      <c r="F26" s="26">
        <v>0</v>
      </c>
      <c r="G26" s="26">
        <f t="shared" si="1"/>
        <v>0</v>
      </c>
      <c r="H26" s="26">
        <v>0</v>
      </c>
      <c r="I26" s="26">
        <v>0</v>
      </c>
      <c r="J26" s="26">
        <f t="shared" si="2"/>
        <v>0</v>
      </c>
      <c r="K26" s="26"/>
      <c r="L26" s="26"/>
      <c r="M26" s="26">
        <f t="shared" si="3"/>
        <v>0</v>
      </c>
      <c r="N26" s="26">
        <v>0</v>
      </c>
      <c r="O26" s="26">
        <v>0</v>
      </c>
      <c r="P26" s="26">
        <f t="shared" si="4"/>
        <v>0</v>
      </c>
      <c r="Q26" s="26">
        <v>39400</v>
      </c>
      <c r="R26" s="26">
        <v>39400</v>
      </c>
      <c r="S26" s="26">
        <f t="shared" si="5"/>
        <v>0</v>
      </c>
      <c r="T26" s="26">
        <v>0</v>
      </c>
      <c r="U26" s="26">
        <v>0</v>
      </c>
      <c r="V26" s="26">
        <f t="shared" si="6"/>
        <v>0</v>
      </c>
      <c r="W26" s="26">
        <v>0</v>
      </c>
      <c r="X26" s="26">
        <v>0</v>
      </c>
      <c r="Y26" s="26">
        <f t="shared" si="7"/>
        <v>0</v>
      </c>
      <c r="Z26" s="26"/>
      <c r="AA26" s="26"/>
      <c r="AB26" s="26">
        <f t="shared" si="8"/>
        <v>0</v>
      </c>
    </row>
    <row r="27" spans="1:29" s="20" customFormat="1" ht="31.5" x14ac:dyDescent="0.25">
      <c r="A27" s="27" t="s">
        <v>21</v>
      </c>
      <c r="B27" s="26">
        <f t="shared" si="0"/>
        <v>22180</v>
      </c>
      <c r="C27" s="26">
        <f t="shared" si="0"/>
        <v>22180</v>
      </c>
      <c r="D27" s="26">
        <f t="shared" si="0"/>
        <v>0</v>
      </c>
      <c r="E27" s="26">
        <v>0</v>
      </c>
      <c r="F27" s="26">
        <v>0</v>
      </c>
      <c r="G27" s="26">
        <f t="shared" si="1"/>
        <v>0</v>
      </c>
      <c r="H27" s="26">
        <v>0</v>
      </c>
      <c r="I27" s="26">
        <v>0</v>
      </c>
      <c r="J27" s="26">
        <f t="shared" si="2"/>
        <v>0</v>
      </c>
      <c r="K27" s="26"/>
      <c r="L27" s="26"/>
      <c r="M27" s="26">
        <f t="shared" si="3"/>
        <v>0</v>
      </c>
      <c r="N27" s="26">
        <v>0</v>
      </c>
      <c r="O27" s="26">
        <v>0</v>
      </c>
      <c r="P27" s="26">
        <f t="shared" si="4"/>
        <v>0</v>
      </c>
      <c r="Q27" s="26">
        <v>22180</v>
      </c>
      <c r="R27" s="26">
        <v>22180</v>
      </c>
      <c r="S27" s="26">
        <f t="shared" si="5"/>
        <v>0</v>
      </c>
      <c r="T27" s="26">
        <v>0</v>
      </c>
      <c r="U27" s="26">
        <v>0</v>
      </c>
      <c r="V27" s="26">
        <f t="shared" si="6"/>
        <v>0</v>
      </c>
      <c r="W27" s="26">
        <v>0</v>
      </c>
      <c r="X27" s="26">
        <v>0</v>
      </c>
      <c r="Y27" s="26">
        <f t="shared" si="7"/>
        <v>0</v>
      </c>
      <c r="Z27" s="26"/>
      <c r="AA27" s="26"/>
      <c r="AB27" s="26">
        <f t="shared" si="8"/>
        <v>0</v>
      </c>
    </row>
    <row r="28" spans="1:29" s="20" customFormat="1" x14ac:dyDescent="0.25">
      <c r="A28" s="25" t="s">
        <v>22</v>
      </c>
      <c r="B28" s="26">
        <f t="shared" si="0"/>
        <v>10000</v>
      </c>
      <c r="C28" s="26">
        <f t="shared" si="0"/>
        <v>10000</v>
      </c>
      <c r="D28" s="26">
        <f t="shared" si="0"/>
        <v>0</v>
      </c>
      <c r="E28" s="26">
        <v>0</v>
      </c>
      <c r="F28" s="26">
        <v>0</v>
      </c>
      <c r="G28" s="26">
        <f t="shared" si="1"/>
        <v>0</v>
      </c>
      <c r="H28" s="26">
        <v>0</v>
      </c>
      <c r="I28" s="26">
        <v>0</v>
      </c>
      <c r="J28" s="26">
        <f t="shared" si="2"/>
        <v>0</v>
      </c>
      <c r="K28" s="26">
        <v>0</v>
      </c>
      <c r="L28" s="26">
        <v>0</v>
      </c>
      <c r="M28" s="26">
        <f t="shared" si="3"/>
        <v>0</v>
      </c>
      <c r="N28" s="26"/>
      <c r="O28" s="26"/>
      <c r="P28" s="26">
        <f t="shared" si="4"/>
        <v>0</v>
      </c>
      <c r="Q28" s="26">
        <v>10000</v>
      </c>
      <c r="R28" s="26">
        <v>10000</v>
      </c>
      <c r="S28" s="26">
        <f t="shared" si="5"/>
        <v>0</v>
      </c>
      <c r="T28" s="26">
        <v>0</v>
      </c>
      <c r="U28" s="26">
        <v>0</v>
      </c>
      <c r="V28" s="26">
        <f t="shared" si="6"/>
        <v>0</v>
      </c>
      <c r="W28" s="26"/>
      <c r="X28" s="26"/>
      <c r="Y28" s="26">
        <f t="shared" si="7"/>
        <v>0</v>
      </c>
      <c r="Z28" s="26">
        <v>0</v>
      </c>
      <c r="AA28" s="26">
        <v>0</v>
      </c>
      <c r="AB28" s="26">
        <f t="shared" si="8"/>
        <v>0</v>
      </c>
      <c r="AC28" s="12"/>
    </row>
    <row r="29" spans="1:29" s="20" customFormat="1" ht="31.5" x14ac:dyDescent="0.25">
      <c r="A29" s="28" t="s">
        <v>23</v>
      </c>
      <c r="B29" s="26">
        <f t="shared" si="0"/>
        <v>21270</v>
      </c>
      <c r="C29" s="26">
        <f t="shared" si="0"/>
        <v>21270</v>
      </c>
      <c r="D29" s="26">
        <f t="shared" si="0"/>
        <v>0</v>
      </c>
      <c r="E29" s="26">
        <v>0</v>
      </c>
      <c r="F29" s="26">
        <v>0</v>
      </c>
      <c r="G29" s="26">
        <f t="shared" si="1"/>
        <v>0</v>
      </c>
      <c r="H29" s="26">
        <v>0</v>
      </c>
      <c r="I29" s="26">
        <v>0</v>
      </c>
      <c r="J29" s="26">
        <f t="shared" si="2"/>
        <v>0</v>
      </c>
      <c r="K29" s="26">
        <v>0</v>
      </c>
      <c r="L29" s="26">
        <v>0</v>
      </c>
      <c r="M29" s="26">
        <f t="shared" si="3"/>
        <v>0</v>
      </c>
      <c r="N29" s="26"/>
      <c r="O29" s="26"/>
      <c r="P29" s="26">
        <f t="shared" si="4"/>
        <v>0</v>
      </c>
      <c r="Q29" s="26"/>
      <c r="R29" s="26"/>
      <c r="S29" s="26">
        <f t="shared" si="5"/>
        <v>0</v>
      </c>
      <c r="T29" s="26">
        <v>21270</v>
      </c>
      <c r="U29" s="26">
        <v>21270</v>
      </c>
      <c r="V29" s="26">
        <f t="shared" si="6"/>
        <v>0</v>
      </c>
      <c r="W29" s="26"/>
      <c r="X29" s="26"/>
      <c r="Y29" s="26">
        <f t="shared" si="7"/>
        <v>0</v>
      </c>
      <c r="Z29" s="26"/>
      <c r="AA29" s="26"/>
      <c r="AB29" s="26">
        <f t="shared" si="8"/>
        <v>0</v>
      </c>
    </row>
    <row r="30" spans="1:29" s="20" customFormat="1" ht="47.25" x14ac:dyDescent="0.25">
      <c r="A30" s="28" t="s">
        <v>24</v>
      </c>
      <c r="B30" s="26">
        <f t="shared" si="0"/>
        <v>1645</v>
      </c>
      <c r="C30" s="26">
        <f t="shared" si="0"/>
        <v>1645</v>
      </c>
      <c r="D30" s="26">
        <f t="shared" si="0"/>
        <v>0</v>
      </c>
      <c r="E30" s="26">
        <v>0</v>
      </c>
      <c r="F30" s="26">
        <v>0</v>
      </c>
      <c r="G30" s="26">
        <f t="shared" si="1"/>
        <v>0</v>
      </c>
      <c r="H30" s="26">
        <v>0</v>
      </c>
      <c r="I30" s="26">
        <v>0</v>
      </c>
      <c r="J30" s="26">
        <f t="shared" si="2"/>
        <v>0</v>
      </c>
      <c r="K30" s="26">
        <v>0</v>
      </c>
      <c r="L30" s="26">
        <v>0</v>
      </c>
      <c r="M30" s="26">
        <f t="shared" si="3"/>
        <v>0</v>
      </c>
      <c r="N30" s="26"/>
      <c r="O30" s="26"/>
      <c r="P30" s="26">
        <f t="shared" si="4"/>
        <v>0</v>
      </c>
      <c r="Q30" s="26"/>
      <c r="R30" s="26"/>
      <c r="S30" s="26">
        <f t="shared" si="5"/>
        <v>0</v>
      </c>
      <c r="T30" s="26">
        <v>1645</v>
      </c>
      <c r="U30" s="26">
        <v>1645</v>
      </c>
      <c r="V30" s="26">
        <f t="shared" si="6"/>
        <v>0</v>
      </c>
      <c r="W30" s="26"/>
      <c r="X30" s="26"/>
      <c r="Y30" s="26">
        <f t="shared" si="7"/>
        <v>0</v>
      </c>
      <c r="Z30" s="26"/>
      <c r="AA30" s="26"/>
      <c r="AB30" s="26">
        <f t="shared" si="8"/>
        <v>0</v>
      </c>
    </row>
    <row r="31" spans="1:29" s="20" customFormat="1" ht="31.5" x14ac:dyDescent="0.25">
      <c r="A31" s="28" t="s">
        <v>25</v>
      </c>
      <c r="B31" s="26">
        <f t="shared" si="0"/>
        <v>79916</v>
      </c>
      <c r="C31" s="26">
        <f t="shared" si="0"/>
        <v>79916</v>
      </c>
      <c r="D31" s="26">
        <f t="shared" si="0"/>
        <v>0</v>
      </c>
      <c r="E31" s="26">
        <v>0</v>
      </c>
      <c r="F31" s="26">
        <v>0</v>
      </c>
      <c r="G31" s="26">
        <f t="shared" si="1"/>
        <v>0</v>
      </c>
      <c r="H31" s="26">
        <v>0</v>
      </c>
      <c r="I31" s="26">
        <v>0</v>
      </c>
      <c r="J31" s="26">
        <f t="shared" si="2"/>
        <v>0</v>
      </c>
      <c r="K31" s="26">
        <v>0</v>
      </c>
      <c r="L31" s="26">
        <v>0</v>
      </c>
      <c r="M31" s="26">
        <f t="shared" si="3"/>
        <v>0</v>
      </c>
      <c r="N31" s="26"/>
      <c r="O31" s="26"/>
      <c r="P31" s="26">
        <f t="shared" si="4"/>
        <v>0</v>
      </c>
      <c r="Q31" s="26"/>
      <c r="R31" s="26"/>
      <c r="S31" s="26">
        <f t="shared" si="5"/>
        <v>0</v>
      </c>
      <c r="T31" s="26">
        <v>79916</v>
      </c>
      <c r="U31" s="26">
        <v>79916</v>
      </c>
      <c r="V31" s="26">
        <f t="shared" si="6"/>
        <v>0</v>
      </c>
      <c r="W31" s="26"/>
      <c r="X31" s="26"/>
      <c r="Y31" s="26">
        <f t="shared" si="7"/>
        <v>0</v>
      </c>
      <c r="Z31" s="26"/>
      <c r="AA31" s="26"/>
      <c r="AB31" s="26">
        <f t="shared" si="8"/>
        <v>0</v>
      </c>
    </row>
    <row r="32" spans="1:29" s="20" customFormat="1" ht="78.75" x14ac:dyDescent="0.25">
      <c r="A32" s="28" t="s">
        <v>26</v>
      </c>
      <c r="B32" s="26">
        <f t="shared" si="0"/>
        <v>15596</v>
      </c>
      <c r="C32" s="26">
        <f t="shared" si="0"/>
        <v>15596</v>
      </c>
      <c r="D32" s="26">
        <f t="shared" si="0"/>
        <v>0</v>
      </c>
      <c r="E32" s="26">
        <v>0</v>
      </c>
      <c r="F32" s="26">
        <v>0</v>
      </c>
      <c r="G32" s="26">
        <f t="shared" si="1"/>
        <v>0</v>
      </c>
      <c r="H32" s="26">
        <v>0</v>
      </c>
      <c r="I32" s="26">
        <v>0</v>
      </c>
      <c r="J32" s="26">
        <f t="shared" si="2"/>
        <v>0</v>
      </c>
      <c r="K32" s="26">
        <v>0</v>
      </c>
      <c r="L32" s="26">
        <v>0</v>
      </c>
      <c r="M32" s="26">
        <f t="shared" si="3"/>
        <v>0</v>
      </c>
      <c r="N32" s="26"/>
      <c r="O32" s="26"/>
      <c r="P32" s="26">
        <f t="shared" si="4"/>
        <v>0</v>
      </c>
      <c r="Q32" s="26"/>
      <c r="R32" s="26"/>
      <c r="S32" s="26">
        <f t="shared" si="5"/>
        <v>0</v>
      </c>
      <c r="T32" s="26">
        <v>15596</v>
      </c>
      <c r="U32" s="26">
        <v>15596</v>
      </c>
      <c r="V32" s="26">
        <f t="shared" si="6"/>
        <v>0</v>
      </c>
      <c r="W32" s="26"/>
      <c r="X32" s="26"/>
      <c r="Y32" s="26">
        <f t="shared" si="7"/>
        <v>0</v>
      </c>
      <c r="Z32" s="26"/>
      <c r="AA32" s="26"/>
      <c r="AB32" s="26">
        <f t="shared" si="8"/>
        <v>0</v>
      </c>
    </row>
    <row r="33" spans="1:187" s="20" customFormat="1" ht="63" x14ac:dyDescent="0.25">
      <c r="A33" s="25" t="s">
        <v>27</v>
      </c>
      <c r="B33" s="23">
        <f t="shared" si="0"/>
        <v>1526</v>
      </c>
      <c r="C33" s="23">
        <f t="shared" si="0"/>
        <v>1526</v>
      </c>
      <c r="D33" s="23">
        <f t="shared" si="0"/>
        <v>0</v>
      </c>
      <c r="E33" s="23">
        <v>0</v>
      </c>
      <c r="F33" s="23">
        <v>0</v>
      </c>
      <c r="G33" s="23">
        <f t="shared" si="1"/>
        <v>0</v>
      </c>
      <c r="H33" s="23">
        <v>0</v>
      </c>
      <c r="I33" s="23">
        <v>0</v>
      </c>
      <c r="J33" s="23">
        <f t="shared" si="2"/>
        <v>0</v>
      </c>
      <c r="K33" s="23">
        <v>0</v>
      </c>
      <c r="L33" s="23">
        <v>0</v>
      </c>
      <c r="M33" s="23">
        <f t="shared" si="3"/>
        <v>0</v>
      </c>
      <c r="N33" s="23"/>
      <c r="O33" s="23"/>
      <c r="P33" s="23">
        <f t="shared" si="4"/>
        <v>0</v>
      </c>
      <c r="Q33" s="23"/>
      <c r="R33" s="23"/>
      <c r="S33" s="23">
        <f t="shared" si="5"/>
        <v>0</v>
      </c>
      <c r="T33" s="23">
        <f>9516-7990</f>
        <v>1526</v>
      </c>
      <c r="U33" s="23">
        <f>9516-7990</f>
        <v>1526</v>
      </c>
      <c r="V33" s="23">
        <f t="shared" si="6"/>
        <v>0</v>
      </c>
      <c r="W33" s="23"/>
      <c r="X33" s="23"/>
      <c r="Y33" s="23">
        <f t="shared" si="7"/>
        <v>0</v>
      </c>
      <c r="Z33" s="23"/>
      <c r="AA33" s="23"/>
      <c r="AB33" s="23">
        <f t="shared" si="8"/>
        <v>0</v>
      </c>
    </row>
    <row r="34" spans="1:187" s="20" customFormat="1" ht="94.5" x14ac:dyDescent="0.25">
      <c r="A34" s="28" t="s">
        <v>28</v>
      </c>
      <c r="B34" s="26">
        <f t="shared" si="0"/>
        <v>122493</v>
      </c>
      <c r="C34" s="26">
        <f t="shared" si="0"/>
        <v>122493</v>
      </c>
      <c r="D34" s="26">
        <f t="shared" si="0"/>
        <v>0</v>
      </c>
      <c r="E34" s="26">
        <f>50000-50000</f>
        <v>0</v>
      </c>
      <c r="F34" s="26">
        <f>50000-50000</f>
        <v>0</v>
      </c>
      <c r="G34" s="26">
        <f t="shared" si="1"/>
        <v>0</v>
      </c>
      <c r="H34" s="26">
        <v>0</v>
      </c>
      <c r="I34" s="26">
        <v>0</v>
      </c>
      <c r="J34" s="26">
        <f t="shared" si="2"/>
        <v>0</v>
      </c>
      <c r="K34" s="26">
        <v>0</v>
      </c>
      <c r="L34" s="26">
        <v>0</v>
      </c>
      <c r="M34" s="26">
        <f t="shared" si="3"/>
        <v>0</v>
      </c>
      <c r="N34" s="26"/>
      <c r="O34" s="26"/>
      <c r="P34" s="26">
        <f t="shared" si="4"/>
        <v>0</v>
      </c>
      <c r="Q34" s="26"/>
      <c r="R34" s="26"/>
      <c r="S34" s="26">
        <f t="shared" si="5"/>
        <v>0</v>
      </c>
      <c r="T34" s="26">
        <f>72493+50000</f>
        <v>122493</v>
      </c>
      <c r="U34" s="26">
        <f>72493+50000</f>
        <v>122493</v>
      </c>
      <c r="V34" s="26">
        <f t="shared" si="6"/>
        <v>0</v>
      </c>
      <c r="W34" s="26"/>
      <c r="X34" s="26"/>
      <c r="Y34" s="26">
        <f t="shared" si="7"/>
        <v>0</v>
      </c>
      <c r="Z34" s="26"/>
      <c r="AA34" s="26"/>
      <c r="AB34" s="26">
        <f t="shared" si="8"/>
        <v>0</v>
      </c>
    </row>
    <row r="35" spans="1:187" s="20" customFormat="1" ht="47.25" x14ac:dyDescent="0.25">
      <c r="A35" s="25" t="s">
        <v>29</v>
      </c>
      <c r="B35" s="23">
        <f t="shared" si="0"/>
        <v>52377</v>
      </c>
      <c r="C35" s="23">
        <f t="shared" si="0"/>
        <v>52377</v>
      </c>
      <c r="D35" s="23">
        <f t="shared" si="0"/>
        <v>0</v>
      </c>
      <c r="E35" s="23">
        <v>0</v>
      </c>
      <c r="F35" s="23">
        <v>0</v>
      </c>
      <c r="G35" s="23">
        <f t="shared" si="1"/>
        <v>0</v>
      </c>
      <c r="H35" s="23">
        <v>0</v>
      </c>
      <c r="I35" s="23">
        <v>0</v>
      </c>
      <c r="J35" s="23">
        <f t="shared" si="2"/>
        <v>0</v>
      </c>
      <c r="K35" s="23">
        <v>0</v>
      </c>
      <c r="L35" s="23">
        <v>0</v>
      </c>
      <c r="M35" s="23">
        <f t="shared" si="3"/>
        <v>0</v>
      </c>
      <c r="N35" s="23"/>
      <c r="O35" s="23"/>
      <c r="P35" s="23">
        <f t="shared" si="4"/>
        <v>0</v>
      </c>
      <c r="Q35" s="23"/>
      <c r="R35" s="23"/>
      <c r="S35" s="23">
        <f t="shared" si="5"/>
        <v>0</v>
      </c>
      <c r="T35" s="23">
        <f>2066+50311</f>
        <v>52377</v>
      </c>
      <c r="U35" s="23">
        <f>2066+50311</f>
        <v>52377</v>
      </c>
      <c r="V35" s="23">
        <f t="shared" si="6"/>
        <v>0</v>
      </c>
      <c r="W35" s="23">
        <f>50311-50311</f>
        <v>0</v>
      </c>
      <c r="X35" s="23">
        <f>50311-50311</f>
        <v>0</v>
      </c>
      <c r="Y35" s="23">
        <f t="shared" si="7"/>
        <v>0</v>
      </c>
      <c r="Z35" s="23">
        <f>50312-50312</f>
        <v>0</v>
      </c>
      <c r="AA35" s="23">
        <f>50312-50312</f>
        <v>0</v>
      </c>
      <c r="AB35" s="23">
        <f t="shared" si="8"/>
        <v>0</v>
      </c>
    </row>
    <row r="36" spans="1:187" s="20" customFormat="1" x14ac:dyDescent="0.25">
      <c r="A36" s="18" t="s">
        <v>30</v>
      </c>
      <c r="B36" s="19">
        <f t="shared" si="0"/>
        <v>2567192</v>
      </c>
      <c r="C36" s="19">
        <f t="shared" si="0"/>
        <v>2574892</v>
      </c>
      <c r="D36" s="19">
        <f t="shared" si="0"/>
        <v>7700</v>
      </c>
      <c r="E36" s="19">
        <f t="shared" ref="E36:AA36" si="27">SUM(E37)</f>
        <v>0</v>
      </c>
      <c r="F36" s="19">
        <f t="shared" si="27"/>
        <v>0</v>
      </c>
      <c r="G36" s="19">
        <f t="shared" si="1"/>
        <v>0</v>
      </c>
      <c r="H36" s="19">
        <f t="shared" si="27"/>
        <v>0</v>
      </c>
      <c r="I36" s="19">
        <f t="shared" si="27"/>
        <v>0</v>
      </c>
      <c r="J36" s="19">
        <f t="shared" si="2"/>
        <v>0</v>
      </c>
      <c r="K36" s="19">
        <f t="shared" si="27"/>
        <v>0</v>
      </c>
      <c r="L36" s="19">
        <f t="shared" si="27"/>
        <v>7700</v>
      </c>
      <c r="M36" s="19">
        <f t="shared" si="3"/>
        <v>7700</v>
      </c>
      <c r="N36" s="19">
        <f t="shared" si="27"/>
        <v>0</v>
      </c>
      <c r="O36" s="19">
        <f t="shared" si="27"/>
        <v>0</v>
      </c>
      <c r="P36" s="19">
        <f t="shared" si="4"/>
        <v>0</v>
      </c>
      <c r="Q36" s="19">
        <f t="shared" si="27"/>
        <v>436571</v>
      </c>
      <c r="R36" s="19">
        <f t="shared" si="27"/>
        <v>436571</v>
      </c>
      <c r="S36" s="19">
        <f t="shared" si="5"/>
        <v>0</v>
      </c>
      <c r="T36" s="19">
        <f t="shared" si="27"/>
        <v>17769</v>
      </c>
      <c r="U36" s="19">
        <f t="shared" si="27"/>
        <v>17769</v>
      </c>
      <c r="V36" s="19">
        <f t="shared" si="6"/>
        <v>0</v>
      </c>
      <c r="W36" s="19">
        <f t="shared" si="27"/>
        <v>299953</v>
      </c>
      <c r="X36" s="19">
        <f t="shared" si="27"/>
        <v>710654</v>
      </c>
      <c r="Y36" s="19">
        <f t="shared" si="7"/>
        <v>410701</v>
      </c>
      <c r="Z36" s="19">
        <f t="shared" si="27"/>
        <v>1812899</v>
      </c>
      <c r="AA36" s="19">
        <f t="shared" si="27"/>
        <v>1402198</v>
      </c>
      <c r="AB36" s="19">
        <f t="shared" si="8"/>
        <v>-410701</v>
      </c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</row>
    <row r="37" spans="1:187" s="20" customFormat="1" x14ac:dyDescent="0.25">
      <c r="A37" s="18" t="s">
        <v>13</v>
      </c>
      <c r="B37" s="19">
        <f t="shared" si="0"/>
        <v>2567192</v>
      </c>
      <c r="C37" s="19">
        <f t="shared" si="0"/>
        <v>2574892</v>
      </c>
      <c r="D37" s="19">
        <f t="shared" si="0"/>
        <v>7700</v>
      </c>
      <c r="E37" s="19">
        <f t="shared" ref="E37" si="28">SUM(E38:E42)</f>
        <v>0</v>
      </c>
      <c r="F37" s="19">
        <f t="shared" ref="F37" si="29">SUM(F38:F42)</f>
        <v>0</v>
      </c>
      <c r="G37" s="19">
        <f t="shared" si="1"/>
        <v>0</v>
      </c>
      <c r="H37" s="19">
        <f t="shared" ref="H37" si="30">SUM(H38:H42)</f>
        <v>0</v>
      </c>
      <c r="I37" s="19">
        <f t="shared" ref="I37:X37" si="31">SUM(I38:I42)</f>
        <v>0</v>
      </c>
      <c r="J37" s="19">
        <f t="shared" si="2"/>
        <v>0</v>
      </c>
      <c r="K37" s="19">
        <f t="shared" ref="K37" si="32">SUM(K38:K42)</f>
        <v>0</v>
      </c>
      <c r="L37" s="19">
        <f t="shared" ref="L37" si="33">SUM(L38:L42)</f>
        <v>7700</v>
      </c>
      <c r="M37" s="19">
        <f t="shared" si="3"/>
        <v>7700</v>
      </c>
      <c r="N37" s="19">
        <f t="shared" ref="N37" si="34">SUM(N38:N42)</f>
        <v>0</v>
      </c>
      <c r="O37" s="19">
        <f t="shared" ref="O37" si="35">SUM(O38:O42)</f>
        <v>0</v>
      </c>
      <c r="P37" s="19">
        <f t="shared" si="4"/>
        <v>0</v>
      </c>
      <c r="Q37" s="19">
        <f t="shared" ref="Q37" si="36">SUM(Q38:Q42)</f>
        <v>436571</v>
      </c>
      <c r="R37" s="19">
        <f t="shared" ref="R37" si="37">SUM(R38:R42)</f>
        <v>436571</v>
      </c>
      <c r="S37" s="19">
        <f t="shared" si="5"/>
        <v>0</v>
      </c>
      <c r="T37" s="19">
        <f t="shared" ref="T37" si="38">SUM(T38:T42)</f>
        <v>17769</v>
      </c>
      <c r="U37" s="19">
        <f t="shared" ref="U37" si="39">SUM(U38:U42)</f>
        <v>17769</v>
      </c>
      <c r="V37" s="19">
        <f t="shared" si="6"/>
        <v>0</v>
      </c>
      <c r="W37" s="19">
        <f t="shared" ref="W37" si="40">SUM(W38:W42)</f>
        <v>299953</v>
      </c>
      <c r="X37" s="19">
        <f t="shared" si="31"/>
        <v>710654</v>
      </c>
      <c r="Y37" s="19">
        <f t="shared" si="7"/>
        <v>410701</v>
      </c>
      <c r="Z37" s="19">
        <f t="shared" ref="Z37" si="41">SUM(Z38:Z42)</f>
        <v>1812899</v>
      </c>
      <c r="AA37" s="19">
        <f t="shared" ref="AA37" si="42">SUM(AA38:AA42)</f>
        <v>1402198</v>
      </c>
      <c r="AB37" s="19">
        <f t="shared" si="8"/>
        <v>-410701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</row>
    <row r="38" spans="1:187" s="20" customFormat="1" ht="31.5" x14ac:dyDescent="0.25">
      <c r="A38" s="29" t="s">
        <v>31</v>
      </c>
      <c r="B38" s="26">
        <f t="shared" si="0"/>
        <v>1365800</v>
      </c>
      <c r="C38" s="26">
        <f t="shared" si="0"/>
        <v>1365800</v>
      </c>
      <c r="D38" s="26">
        <f t="shared" si="0"/>
        <v>0</v>
      </c>
      <c r="E38" s="26">
        <v>0</v>
      </c>
      <c r="F38" s="26">
        <v>0</v>
      </c>
      <c r="G38" s="26">
        <f t="shared" si="1"/>
        <v>0</v>
      </c>
      <c r="H38" s="26"/>
      <c r="I38" s="26"/>
      <c r="J38" s="26">
        <f t="shared" si="2"/>
        <v>0</v>
      </c>
      <c r="K38" s="26">
        <v>0</v>
      </c>
      <c r="L38" s="26">
        <v>0</v>
      </c>
      <c r="M38" s="26">
        <f t="shared" si="3"/>
        <v>0</v>
      </c>
      <c r="N38" s="26"/>
      <c r="O38" s="26"/>
      <c r="P38" s="26">
        <f t="shared" si="4"/>
        <v>0</v>
      </c>
      <c r="Q38" s="26"/>
      <c r="R38" s="26"/>
      <c r="S38" s="26">
        <f t="shared" si="5"/>
        <v>0</v>
      </c>
      <c r="T38" s="26"/>
      <c r="U38" s="26"/>
      <c r="V38" s="26">
        <f t="shared" si="6"/>
        <v>0</v>
      </c>
      <c r="W38" s="26">
        <f>299953</f>
        <v>299953</v>
      </c>
      <c r="X38" s="26">
        <f>299953+410701</f>
        <v>710654</v>
      </c>
      <c r="Y38" s="26">
        <f t="shared" si="7"/>
        <v>410701</v>
      </c>
      <c r="Z38" s="26">
        <f>1365800-299953</f>
        <v>1065847</v>
      </c>
      <c r="AA38" s="26">
        <f>1365800-299953-410701</f>
        <v>655146</v>
      </c>
      <c r="AB38" s="26">
        <f t="shared" si="8"/>
        <v>-410701</v>
      </c>
    </row>
    <row r="39" spans="1:187" s="20" customFormat="1" ht="31.5" x14ac:dyDescent="0.25">
      <c r="A39" s="29" t="s">
        <v>32</v>
      </c>
      <c r="B39" s="26">
        <f t="shared" si="0"/>
        <v>100000</v>
      </c>
      <c r="C39" s="26">
        <f t="shared" si="0"/>
        <v>100000</v>
      </c>
      <c r="D39" s="26">
        <f t="shared" si="0"/>
        <v>0</v>
      </c>
      <c r="E39" s="26">
        <v>0</v>
      </c>
      <c r="F39" s="26">
        <v>0</v>
      </c>
      <c r="G39" s="26">
        <f t="shared" si="1"/>
        <v>0</v>
      </c>
      <c r="H39" s="26"/>
      <c r="I39" s="26"/>
      <c r="J39" s="26">
        <f t="shared" si="2"/>
        <v>0</v>
      </c>
      <c r="K39" s="26">
        <v>0</v>
      </c>
      <c r="L39" s="26">
        <v>0</v>
      </c>
      <c r="M39" s="26">
        <f t="shared" si="3"/>
        <v>0</v>
      </c>
      <c r="N39" s="26"/>
      <c r="O39" s="26"/>
      <c r="P39" s="26">
        <f t="shared" si="4"/>
        <v>0</v>
      </c>
      <c r="Q39" s="26"/>
      <c r="R39" s="26"/>
      <c r="S39" s="26">
        <f t="shared" si="5"/>
        <v>0</v>
      </c>
      <c r="T39" s="26"/>
      <c r="U39" s="26"/>
      <c r="V39" s="26">
        <f t="shared" si="6"/>
        <v>0</v>
      </c>
      <c r="W39" s="26"/>
      <c r="X39" s="26"/>
      <c r="Y39" s="26">
        <f t="shared" si="7"/>
        <v>0</v>
      </c>
      <c r="Z39" s="26">
        <v>100000</v>
      </c>
      <c r="AA39" s="26">
        <v>100000</v>
      </c>
      <c r="AB39" s="26">
        <f t="shared" si="8"/>
        <v>0</v>
      </c>
    </row>
    <row r="40" spans="1:187" s="20" customFormat="1" ht="47.25" x14ac:dyDescent="0.25">
      <c r="A40" s="29" t="s">
        <v>33</v>
      </c>
      <c r="B40" s="26">
        <f t="shared" si="0"/>
        <v>962096</v>
      </c>
      <c r="C40" s="26">
        <f t="shared" si="0"/>
        <v>962096</v>
      </c>
      <c r="D40" s="26">
        <f t="shared" si="0"/>
        <v>0</v>
      </c>
      <c r="E40" s="26">
        <f>15233-15233</f>
        <v>0</v>
      </c>
      <c r="F40" s="26">
        <f>15233-15233</f>
        <v>0</v>
      </c>
      <c r="G40" s="26">
        <f t="shared" si="1"/>
        <v>0</v>
      </c>
      <c r="H40" s="26"/>
      <c r="I40" s="26"/>
      <c r="J40" s="26">
        <f t="shared" si="2"/>
        <v>0</v>
      </c>
      <c r="K40" s="26"/>
      <c r="L40" s="26"/>
      <c r="M40" s="26">
        <f t="shared" si="3"/>
        <v>0</v>
      </c>
      <c r="N40" s="26"/>
      <c r="O40" s="26"/>
      <c r="P40" s="26">
        <f t="shared" si="4"/>
        <v>0</v>
      </c>
      <c r="Q40" s="26">
        <v>297275</v>
      </c>
      <c r="R40" s="26">
        <v>297275</v>
      </c>
      <c r="S40" s="26">
        <f t="shared" si="5"/>
        <v>0</v>
      </c>
      <c r="T40" s="26">
        <f>15233+2534+2</f>
        <v>17769</v>
      </c>
      <c r="U40" s="26">
        <f>15233+2534+2</f>
        <v>17769</v>
      </c>
      <c r="V40" s="26">
        <f t="shared" si="6"/>
        <v>0</v>
      </c>
      <c r="W40" s="26"/>
      <c r="X40" s="26"/>
      <c r="Y40" s="26">
        <f t="shared" si="7"/>
        <v>0</v>
      </c>
      <c r="Z40" s="26">
        <v>647052</v>
      </c>
      <c r="AA40" s="26">
        <v>647052</v>
      </c>
      <c r="AB40" s="26">
        <f t="shared" si="8"/>
        <v>0</v>
      </c>
    </row>
    <row r="41" spans="1:187" s="53" customFormat="1" ht="31.5" x14ac:dyDescent="0.25">
      <c r="A41" s="57" t="s">
        <v>249</v>
      </c>
      <c r="B41" s="52">
        <f t="shared" ref="B41" si="43">E41+H41+K41+N41+Q41+T41+W41+Z41</f>
        <v>0</v>
      </c>
      <c r="C41" s="52">
        <f t="shared" ref="C41" si="44">F41+I41+L41+O41+R41+U41+X41+AA41</f>
        <v>7700</v>
      </c>
      <c r="D41" s="52">
        <f t="shared" ref="D41" si="45">G41+J41+M41+P41+S41+V41+Y41+AB41</f>
        <v>7700</v>
      </c>
      <c r="E41" s="52">
        <v>0</v>
      </c>
      <c r="F41" s="52">
        <v>0</v>
      </c>
      <c r="G41" s="52">
        <f t="shared" ref="G41" si="46">F41-E41</f>
        <v>0</v>
      </c>
      <c r="H41" s="52"/>
      <c r="I41" s="52"/>
      <c r="J41" s="52">
        <f t="shared" ref="J41" si="47">I41-H41</f>
        <v>0</v>
      </c>
      <c r="K41" s="52">
        <v>0</v>
      </c>
      <c r="L41" s="52">
        <v>7700</v>
      </c>
      <c r="M41" s="52">
        <f t="shared" ref="M41" si="48">L41-K41</f>
        <v>7700</v>
      </c>
      <c r="N41" s="52"/>
      <c r="O41" s="52"/>
      <c r="P41" s="52">
        <f t="shared" ref="P41" si="49">O41-N41</f>
        <v>0</v>
      </c>
      <c r="Q41" s="52">
        <v>0</v>
      </c>
      <c r="R41" s="52">
        <v>0</v>
      </c>
      <c r="S41" s="52">
        <f t="shared" ref="S41" si="50">R41-Q41</f>
        <v>0</v>
      </c>
      <c r="T41" s="52"/>
      <c r="U41" s="52"/>
      <c r="V41" s="52">
        <f t="shared" ref="V41" si="51">U41-T41</f>
        <v>0</v>
      </c>
      <c r="W41" s="52"/>
      <c r="X41" s="52"/>
      <c r="Y41" s="52">
        <f t="shared" ref="Y41" si="52">X41-W41</f>
        <v>0</v>
      </c>
      <c r="Z41" s="52"/>
      <c r="AA41" s="52"/>
      <c r="AB41" s="52">
        <f t="shared" ref="AB41" si="53">AA41-Z41</f>
        <v>0</v>
      </c>
    </row>
    <row r="42" spans="1:187" s="20" customFormat="1" ht="31.5" x14ac:dyDescent="0.25">
      <c r="A42" s="29" t="s">
        <v>34</v>
      </c>
      <c r="B42" s="26">
        <f t="shared" si="0"/>
        <v>139296</v>
      </c>
      <c r="C42" s="26">
        <f t="shared" si="0"/>
        <v>139296</v>
      </c>
      <c r="D42" s="26">
        <f t="shared" si="0"/>
        <v>0</v>
      </c>
      <c r="E42" s="26">
        <v>0</v>
      </c>
      <c r="F42" s="26">
        <v>0</v>
      </c>
      <c r="G42" s="26">
        <f t="shared" si="1"/>
        <v>0</v>
      </c>
      <c r="H42" s="26"/>
      <c r="I42" s="26"/>
      <c r="J42" s="26">
        <f t="shared" si="2"/>
        <v>0</v>
      </c>
      <c r="K42" s="26">
        <v>0</v>
      </c>
      <c r="L42" s="26">
        <v>0</v>
      </c>
      <c r="M42" s="26">
        <f t="shared" si="3"/>
        <v>0</v>
      </c>
      <c r="N42" s="26"/>
      <c r="O42" s="26"/>
      <c r="P42" s="26">
        <f t="shared" si="4"/>
        <v>0</v>
      </c>
      <c r="Q42" s="26">
        <v>139296</v>
      </c>
      <c r="R42" s="26">
        <v>139296</v>
      </c>
      <c r="S42" s="26">
        <f t="shared" si="5"/>
        <v>0</v>
      </c>
      <c r="T42" s="26"/>
      <c r="U42" s="26"/>
      <c r="V42" s="26">
        <f t="shared" si="6"/>
        <v>0</v>
      </c>
      <c r="W42" s="26"/>
      <c r="X42" s="26"/>
      <c r="Y42" s="26">
        <f t="shared" si="7"/>
        <v>0</v>
      </c>
      <c r="Z42" s="26"/>
      <c r="AA42" s="26"/>
      <c r="AB42" s="26">
        <f t="shared" si="8"/>
        <v>0</v>
      </c>
    </row>
    <row r="43" spans="1:187" s="20" customFormat="1" x14ac:dyDescent="0.25">
      <c r="A43" s="18" t="s">
        <v>35</v>
      </c>
      <c r="B43" s="19">
        <f t="shared" si="0"/>
        <v>605422</v>
      </c>
      <c r="C43" s="19">
        <f t="shared" si="0"/>
        <v>605422</v>
      </c>
      <c r="D43" s="19">
        <f t="shared" si="0"/>
        <v>0</v>
      </c>
      <c r="E43" s="19">
        <f t="shared" ref="E43:AA43" si="54">SUM(E44)</f>
        <v>0</v>
      </c>
      <c r="F43" s="19">
        <f t="shared" si="54"/>
        <v>0</v>
      </c>
      <c r="G43" s="19">
        <f t="shared" si="1"/>
        <v>0</v>
      </c>
      <c r="H43" s="19">
        <f t="shared" si="54"/>
        <v>0</v>
      </c>
      <c r="I43" s="19">
        <f t="shared" si="54"/>
        <v>0</v>
      </c>
      <c r="J43" s="19">
        <f t="shared" si="2"/>
        <v>0</v>
      </c>
      <c r="K43" s="19">
        <f t="shared" si="54"/>
        <v>0</v>
      </c>
      <c r="L43" s="19">
        <f t="shared" si="54"/>
        <v>0</v>
      </c>
      <c r="M43" s="19">
        <f t="shared" si="3"/>
        <v>0</v>
      </c>
      <c r="N43" s="19">
        <f t="shared" si="54"/>
        <v>0</v>
      </c>
      <c r="O43" s="19">
        <f t="shared" si="54"/>
        <v>0</v>
      </c>
      <c r="P43" s="19">
        <f t="shared" si="4"/>
        <v>0</v>
      </c>
      <c r="Q43" s="19">
        <f t="shared" si="54"/>
        <v>426323</v>
      </c>
      <c r="R43" s="19">
        <f t="shared" si="54"/>
        <v>426323</v>
      </c>
      <c r="S43" s="19">
        <f t="shared" si="5"/>
        <v>0</v>
      </c>
      <c r="T43" s="19">
        <f t="shared" si="54"/>
        <v>0</v>
      </c>
      <c r="U43" s="19">
        <f t="shared" si="54"/>
        <v>0</v>
      </c>
      <c r="V43" s="19">
        <f t="shared" si="6"/>
        <v>0</v>
      </c>
      <c r="W43" s="19">
        <f t="shared" si="54"/>
        <v>0</v>
      </c>
      <c r="X43" s="19">
        <f t="shared" si="54"/>
        <v>0</v>
      </c>
      <c r="Y43" s="19">
        <f t="shared" si="7"/>
        <v>0</v>
      </c>
      <c r="Z43" s="19">
        <f t="shared" si="54"/>
        <v>179099</v>
      </c>
      <c r="AA43" s="19">
        <f t="shared" si="54"/>
        <v>179099</v>
      </c>
      <c r="AB43" s="19">
        <f t="shared" si="8"/>
        <v>0</v>
      </c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</row>
    <row r="44" spans="1:187" s="17" customFormat="1" x14ac:dyDescent="0.25">
      <c r="A44" s="18" t="s">
        <v>13</v>
      </c>
      <c r="B44" s="19">
        <f t="shared" si="0"/>
        <v>605422</v>
      </c>
      <c r="C44" s="19">
        <f t="shared" si="0"/>
        <v>605422</v>
      </c>
      <c r="D44" s="19">
        <f t="shared" si="0"/>
        <v>0</v>
      </c>
      <c r="E44" s="19">
        <f t="shared" ref="E44" si="55">SUM(E45:E47)</f>
        <v>0</v>
      </c>
      <c r="F44" s="19">
        <f t="shared" ref="F44:AA44" si="56">SUM(F45:F47)</f>
        <v>0</v>
      </c>
      <c r="G44" s="19">
        <f t="shared" si="1"/>
        <v>0</v>
      </c>
      <c r="H44" s="19">
        <f t="shared" ref="H44" si="57">SUM(H45:H47)</f>
        <v>0</v>
      </c>
      <c r="I44" s="19">
        <f t="shared" si="56"/>
        <v>0</v>
      </c>
      <c r="J44" s="19">
        <f t="shared" si="2"/>
        <v>0</v>
      </c>
      <c r="K44" s="19">
        <f t="shared" ref="K44" si="58">SUM(K45:K47)</f>
        <v>0</v>
      </c>
      <c r="L44" s="19">
        <f t="shared" si="56"/>
        <v>0</v>
      </c>
      <c r="M44" s="19">
        <f t="shared" si="3"/>
        <v>0</v>
      </c>
      <c r="N44" s="19">
        <f t="shared" ref="N44" si="59">SUM(N45:N47)</f>
        <v>0</v>
      </c>
      <c r="O44" s="19">
        <f t="shared" si="56"/>
        <v>0</v>
      </c>
      <c r="P44" s="19">
        <f t="shared" si="4"/>
        <v>0</v>
      </c>
      <c r="Q44" s="19">
        <f t="shared" ref="Q44" si="60">SUM(Q45:Q47)</f>
        <v>426323</v>
      </c>
      <c r="R44" s="19">
        <f t="shared" si="56"/>
        <v>426323</v>
      </c>
      <c r="S44" s="19">
        <f t="shared" si="5"/>
        <v>0</v>
      </c>
      <c r="T44" s="19">
        <f t="shared" ref="T44" si="61">SUM(T45:T47)</f>
        <v>0</v>
      </c>
      <c r="U44" s="19">
        <f t="shared" si="56"/>
        <v>0</v>
      </c>
      <c r="V44" s="19">
        <f t="shared" si="6"/>
        <v>0</v>
      </c>
      <c r="W44" s="19">
        <f t="shared" ref="W44" si="62">SUM(W45:W47)</f>
        <v>0</v>
      </c>
      <c r="X44" s="19">
        <f t="shared" si="56"/>
        <v>0</v>
      </c>
      <c r="Y44" s="19">
        <f t="shared" si="7"/>
        <v>0</v>
      </c>
      <c r="Z44" s="19">
        <f t="shared" ref="Z44" si="63">SUM(Z45:Z47)</f>
        <v>179099</v>
      </c>
      <c r="AA44" s="19">
        <f t="shared" si="56"/>
        <v>179099</v>
      </c>
      <c r="AB44" s="19">
        <f t="shared" si="8"/>
        <v>0</v>
      </c>
    </row>
    <row r="45" spans="1:187" s="20" customFormat="1" x14ac:dyDescent="0.25">
      <c r="A45" s="25" t="s">
        <v>36</v>
      </c>
      <c r="B45" s="26">
        <f t="shared" si="0"/>
        <v>350000</v>
      </c>
      <c r="C45" s="26">
        <f t="shared" si="0"/>
        <v>350000</v>
      </c>
      <c r="D45" s="26">
        <f t="shared" si="0"/>
        <v>0</v>
      </c>
      <c r="E45" s="26">
        <v>0</v>
      </c>
      <c r="F45" s="26">
        <v>0</v>
      </c>
      <c r="G45" s="26">
        <f t="shared" si="1"/>
        <v>0</v>
      </c>
      <c r="H45" s="26"/>
      <c r="I45" s="26"/>
      <c r="J45" s="26">
        <f t="shared" si="2"/>
        <v>0</v>
      </c>
      <c r="K45" s="26"/>
      <c r="L45" s="26"/>
      <c r="M45" s="26">
        <f t="shared" si="3"/>
        <v>0</v>
      </c>
      <c r="N45" s="26"/>
      <c r="O45" s="26"/>
      <c r="P45" s="26">
        <f t="shared" si="4"/>
        <v>0</v>
      </c>
      <c r="Q45" s="26">
        <f>170901</f>
        <v>170901</v>
      </c>
      <c r="R45" s="26">
        <f>170901</f>
        <v>170901</v>
      </c>
      <c r="S45" s="26">
        <f t="shared" si="5"/>
        <v>0</v>
      </c>
      <c r="T45" s="26"/>
      <c r="U45" s="26"/>
      <c r="V45" s="26">
        <f t="shared" si="6"/>
        <v>0</v>
      </c>
      <c r="W45" s="26"/>
      <c r="X45" s="26"/>
      <c r="Y45" s="26">
        <f t="shared" si="7"/>
        <v>0</v>
      </c>
      <c r="Z45" s="26">
        <v>179099</v>
      </c>
      <c r="AA45" s="26">
        <v>179099</v>
      </c>
      <c r="AB45" s="26">
        <f t="shared" si="8"/>
        <v>0</v>
      </c>
    </row>
    <row r="46" spans="1:187" s="20" customFormat="1" ht="31.5" x14ac:dyDescent="0.25">
      <c r="A46" s="25" t="s">
        <v>37</v>
      </c>
      <c r="B46" s="26">
        <f t="shared" si="0"/>
        <v>133000</v>
      </c>
      <c r="C46" s="26">
        <f t="shared" si="0"/>
        <v>133000</v>
      </c>
      <c r="D46" s="26">
        <f t="shared" si="0"/>
        <v>0</v>
      </c>
      <c r="E46" s="26"/>
      <c r="F46" s="26"/>
      <c r="G46" s="26">
        <f t="shared" si="1"/>
        <v>0</v>
      </c>
      <c r="H46" s="26"/>
      <c r="I46" s="26"/>
      <c r="J46" s="26">
        <f t="shared" si="2"/>
        <v>0</v>
      </c>
      <c r="K46" s="26"/>
      <c r="L46" s="26"/>
      <c r="M46" s="26">
        <f t="shared" si="3"/>
        <v>0</v>
      </c>
      <c r="N46" s="26"/>
      <c r="O46" s="26"/>
      <c r="P46" s="26">
        <f t="shared" si="4"/>
        <v>0</v>
      </c>
      <c r="Q46" s="26">
        <v>133000</v>
      </c>
      <c r="R46" s="26">
        <v>133000</v>
      </c>
      <c r="S46" s="26">
        <f t="shared" si="5"/>
        <v>0</v>
      </c>
      <c r="T46" s="26"/>
      <c r="U46" s="26"/>
      <c r="V46" s="26">
        <f t="shared" si="6"/>
        <v>0</v>
      </c>
      <c r="W46" s="26"/>
      <c r="X46" s="26"/>
      <c r="Y46" s="26">
        <f t="shared" si="7"/>
        <v>0</v>
      </c>
      <c r="Z46" s="26"/>
      <c r="AA46" s="26"/>
      <c r="AB46" s="26">
        <f t="shared" si="8"/>
        <v>0</v>
      </c>
    </row>
    <row r="47" spans="1:187" s="20" customFormat="1" ht="31.5" x14ac:dyDescent="0.25">
      <c r="A47" s="25" t="s">
        <v>38</v>
      </c>
      <c r="B47" s="26">
        <f t="shared" si="0"/>
        <v>122422</v>
      </c>
      <c r="C47" s="26">
        <f t="shared" si="0"/>
        <v>122422</v>
      </c>
      <c r="D47" s="26">
        <f t="shared" si="0"/>
        <v>0</v>
      </c>
      <c r="E47" s="26">
        <v>0</v>
      </c>
      <c r="F47" s="26">
        <v>0</v>
      </c>
      <c r="G47" s="26">
        <f t="shared" si="1"/>
        <v>0</v>
      </c>
      <c r="H47" s="26"/>
      <c r="I47" s="26"/>
      <c r="J47" s="26">
        <f t="shared" si="2"/>
        <v>0</v>
      </c>
      <c r="K47" s="26"/>
      <c r="L47" s="26"/>
      <c r="M47" s="26">
        <f t="shared" si="3"/>
        <v>0</v>
      </c>
      <c r="N47" s="26"/>
      <c r="O47" s="26"/>
      <c r="P47" s="26">
        <f t="shared" si="4"/>
        <v>0</v>
      </c>
      <c r="Q47" s="26">
        <v>122422</v>
      </c>
      <c r="R47" s="26">
        <v>122422</v>
      </c>
      <c r="S47" s="26">
        <f t="shared" si="5"/>
        <v>0</v>
      </c>
      <c r="T47" s="26"/>
      <c r="U47" s="26"/>
      <c r="V47" s="26">
        <f t="shared" si="6"/>
        <v>0</v>
      </c>
      <c r="W47" s="26"/>
      <c r="X47" s="26"/>
      <c r="Y47" s="26">
        <f t="shared" si="7"/>
        <v>0</v>
      </c>
      <c r="Z47" s="26"/>
      <c r="AA47" s="26"/>
      <c r="AB47" s="26">
        <f t="shared" si="8"/>
        <v>0</v>
      </c>
    </row>
    <row r="48" spans="1:187" s="20" customFormat="1" ht="31.5" x14ac:dyDescent="0.25">
      <c r="A48" s="18" t="s">
        <v>39</v>
      </c>
      <c r="B48" s="19">
        <f t="shared" si="0"/>
        <v>1283066</v>
      </c>
      <c r="C48" s="19">
        <f t="shared" si="0"/>
        <v>1283066</v>
      </c>
      <c r="D48" s="19">
        <f t="shared" si="0"/>
        <v>0</v>
      </c>
      <c r="E48" s="19">
        <f t="shared" ref="E48:AA48" si="64">SUM(E49)</f>
        <v>0</v>
      </c>
      <c r="F48" s="19">
        <f t="shared" si="64"/>
        <v>0</v>
      </c>
      <c r="G48" s="19">
        <f t="shared" si="1"/>
        <v>0</v>
      </c>
      <c r="H48" s="19">
        <f t="shared" si="64"/>
        <v>0</v>
      </c>
      <c r="I48" s="19">
        <f t="shared" si="64"/>
        <v>0</v>
      </c>
      <c r="J48" s="19">
        <f t="shared" si="2"/>
        <v>0</v>
      </c>
      <c r="K48" s="19">
        <f t="shared" si="64"/>
        <v>38005</v>
      </c>
      <c r="L48" s="19">
        <f t="shared" si="64"/>
        <v>38005</v>
      </c>
      <c r="M48" s="19">
        <f t="shared" si="3"/>
        <v>0</v>
      </c>
      <c r="N48" s="19">
        <f t="shared" si="64"/>
        <v>1063405</v>
      </c>
      <c r="O48" s="19">
        <f t="shared" si="64"/>
        <v>1063405</v>
      </c>
      <c r="P48" s="19">
        <f t="shared" si="4"/>
        <v>0</v>
      </c>
      <c r="Q48" s="19">
        <f t="shared" si="64"/>
        <v>181656</v>
      </c>
      <c r="R48" s="19">
        <f t="shared" si="64"/>
        <v>181656</v>
      </c>
      <c r="S48" s="19">
        <f t="shared" si="5"/>
        <v>0</v>
      </c>
      <c r="T48" s="19">
        <f t="shared" si="64"/>
        <v>0</v>
      </c>
      <c r="U48" s="19">
        <f t="shared" si="64"/>
        <v>0</v>
      </c>
      <c r="V48" s="19">
        <f t="shared" si="6"/>
        <v>0</v>
      </c>
      <c r="W48" s="19">
        <f t="shared" si="64"/>
        <v>0</v>
      </c>
      <c r="X48" s="19">
        <f t="shared" si="64"/>
        <v>0</v>
      </c>
      <c r="Y48" s="19">
        <f t="shared" si="7"/>
        <v>0</v>
      </c>
      <c r="Z48" s="19">
        <f t="shared" si="64"/>
        <v>0</v>
      </c>
      <c r="AA48" s="19">
        <f t="shared" si="64"/>
        <v>0</v>
      </c>
      <c r="AB48" s="19">
        <f t="shared" si="8"/>
        <v>0</v>
      </c>
    </row>
    <row r="49" spans="1:187" s="20" customFormat="1" x14ac:dyDescent="0.25">
      <c r="A49" s="18" t="s">
        <v>13</v>
      </c>
      <c r="B49" s="19">
        <f t="shared" si="0"/>
        <v>1283066</v>
      </c>
      <c r="C49" s="19">
        <f t="shared" si="0"/>
        <v>1283066</v>
      </c>
      <c r="D49" s="19">
        <f t="shared" si="0"/>
        <v>0</v>
      </c>
      <c r="E49" s="19">
        <f t="shared" ref="E49" si="65">SUM(E50:E55)</f>
        <v>0</v>
      </c>
      <c r="F49" s="19">
        <f t="shared" ref="F49" si="66">SUM(F50:F55)</f>
        <v>0</v>
      </c>
      <c r="G49" s="19">
        <f t="shared" si="1"/>
        <v>0</v>
      </c>
      <c r="H49" s="19">
        <f t="shared" ref="H49" si="67">SUM(H50:H55)</f>
        <v>0</v>
      </c>
      <c r="I49" s="19">
        <f t="shared" ref="I49" si="68">SUM(I50:I55)</f>
        <v>0</v>
      </c>
      <c r="J49" s="19">
        <f t="shared" si="2"/>
        <v>0</v>
      </c>
      <c r="K49" s="19">
        <f t="shared" ref="K49" si="69">SUM(K50:K55)</f>
        <v>38005</v>
      </c>
      <c r="L49" s="19">
        <f t="shared" ref="L49" si="70">SUM(L50:L55)</f>
        <v>38005</v>
      </c>
      <c r="M49" s="19">
        <f t="shared" si="3"/>
        <v>0</v>
      </c>
      <c r="N49" s="19">
        <f t="shared" ref="N49" si="71">SUM(N50:N55)</f>
        <v>1063405</v>
      </c>
      <c r="O49" s="19">
        <f t="shared" ref="O49" si="72">SUM(O50:O55)</f>
        <v>1063405</v>
      </c>
      <c r="P49" s="19">
        <f t="shared" si="4"/>
        <v>0</v>
      </c>
      <c r="Q49" s="19">
        <f t="shared" ref="Q49" si="73">SUM(Q50:Q55)</f>
        <v>181656</v>
      </c>
      <c r="R49" s="19">
        <f t="shared" ref="R49" si="74">SUM(R50:R55)</f>
        <v>181656</v>
      </c>
      <c r="S49" s="19">
        <f t="shared" si="5"/>
        <v>0</v>
      </c>
      <c r="T49" s="19">
        <f t="shared" ref="T49" si="75">SUM(T50:T55)</f>
        <v>0</v>
      </c>
      <c r="U49" s="19">
        <f t="shared" ref="U49" si="76">SUM(U50:U55)</f>
        <v>0</v>
      </c>
      <c r="V49" s="19">
        <f t="shared" si="6"/>
        <v>0</v>
      </c>
      <c r="W49" s="19">
        <f t="shared" ref="W49" si="77">SUM(W50:W55)</f>
        <v>0</v>
      </c>
      <c r="X49" s="19">
        <f t="shared" ref="X49" si="78">SUM(X50:X55)</f>
        <v>0</v>
      </c>
      <c r="Y49" s="19">
        <f t="shared" si="7"/>
        <v>0</v>
      </c>
      <c r="Z49" s="19">
        <f t="shared" ref="Z49" si="79">SUM(Z50:Z55)</f>
        <v>0</v>
      </c>
      <c r="AA49" s="19">
        <f t="shared" ref="AA49" si="80">SUM(AA50:AA55)</f>
        <v>0</v>
      </c>
      <c r="AB49" s="19">
        <f t="shared" si="8"/>
        <v>0</v>
      </c>
    </row>
    <row r="50" spans="1:187" s="17" customFormat="1" ht="110.25" x14ac:dyDescent="0.25">
      <c r="A50" s="28" t="s">
        <v>40</v>
      </c>
      <c r="B50" s="30">
        <f t="shared" si="0"/>
        <v>399465</v>
      </c>
      <c r="C50" s="30">
        <f t="shared" si="0"/>
        <v>399465</v>
      </c>
      <c r="D50" s="30">
        <f t="shared" si="0"/>
        <v>0</v>
      </c>
      <c r="E50" s="30">
        <v>0</v>
      </c>
      <c r="F50" s="30">
        <v>0</v>
      </c>
      <c r="G50" s="30">
        <f t="shared" si="1"/>
        <v>0</v>
      </c>
      <c r="H50" s="30"/>
      <c r="I50" s="30"/>
      <c r="J50" s="30">
        <f t="shared" si="2"/>
        <v>0</v>
      </c>
      <c r="K50" s="30">
        <v>0</v>
      </c>
      <c r="L50" s="30">
        <v>0</v>
      </c>
      <c r="M50" s="30">
        <f t="shared" si="3"/>
        <v>0</v>
      </c>
      <c r="N50" s="30">
        <v>399465</v>
      </c>
      <c r="O50" s="30">
        <v>399465</v>
      </c>
      <c r="P50" s="30">
        <f t="shared" si="4"/>
        <v>0</v>
      </c>
      <c r="Q50" s="30"/>
      <c r="R50" s="30"/>
      <c r="S50" s="30">
        <f t="shared" si="5"/>
        <v>0</v>
      </c>
      <c r="T50" s="30"/>
      <c r="U50" s="30"/>
      <c r="V50" s="30">
        <f t="shared" si="6"/>
        <v>0</v>
      </c>
      <c r="W50" s="30"/>
      <c r="X50" s="30"/>
      <c r="Y50" s="30">
        <f t="shared" si="7"/>
        <v>0</v>
      </c>
      <c r="Z50" s="30"/>
      <c r="AA50" s="30"/>
      <c r="AB50" s="30">
        <f t="shared" si="8"/>
        <v>0</v>
      </c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</row>
    <row r="51" spans="1:187" s="20" customFormat="1" ht="63" x14ac:dyDescent="0.25">
      <c r="A51" s="28" t="s">
        <v>41</v>
      </c>
      <c r="B51" s="23">
        <f t="shared" si="0"/>
        <v>106380</v>
      </c>
      <c r="C51" s="23">
        <f t="shared" si="0"/>
        <v>106380</v>
      </c>
      <c r="D51" s="23">
        <f t="shared" si="0"/>
        <v>0</v>
      </c>
      <c r="E51" s="23">
        <v>0</v>
      </c>
      <c r="F51" s="23">
        <v>0</v>
      </c>
      <c r="G51" s="23">
        <f t="shared" si="1"/>
        <v>0</v>
      </c>
      <c r="H51" s="23"/>
      <c r="I51" s="23"/>
      <c r="J51" s="23">
        <f t="shared" si="2"/>
        <v>0</v>
      </c>
      <c r="K51" s="23">
        <v>0</v>
      </c>
      <c r="L51" s="23">
        <v>0</v>
      </c>
      <c r="M51" s="23">
        <f t="shared" si="3"/>
        <v>0</v>
      </c>
      <c r="N51" s="23">
        <v>106380</v>
      </c>
      <c r="O51" s="23">
        <v>106380</v>
      </c>
      <c r="P51" s="23">
        <f t="shared" si="4"/>
        <v>0</v>
      </c>
      <c r="Q51" s="23"/>
      <c r="R51" s="23"/>
      <c r="S51" s="23">
        <f t="shared" si="5"/>
        <v>0</v>
      </c>
      <c r="T51" s="23"/>
      <c r="U51" s="23"/>
      <c r="V51" s="23">
        <f t="shared" si="6"/>
        <v>0</v>
      </c>
      <c r="W51" s="23"/>
      <c r="X51" s="23"/>
      <c r="Y51" s="23">
        <f t="shared" si="7"/>
        <v>0</v>
      </c>
      <c r="Z51" s="23"/>
      <c r="AA51" s="23"/>
      <c r="AB51" s="23">
        <f t="shared" si="8"/>
        <v>0</v>
      </c>
    </row>
    <row r="52" spans="1:187" s="20" customFormat="1" ht="41.25" customHeight="1" x14ac:dyDescent="0.25">
      <c r="A52" s="28" t="s">
        <v>42</v>
      </c>
      <c r="B52" s="23">
        <f t="shared" si="0"/>
        <v>2939</v>
      </c>
      <c r="C52" s="23">
        <f t="shared" si="0"/>
        <v>2939</v>
      </c>
      <c r="D52" s="23">
        <f t="shared" si="0"/>
        <v>0</v>
      </c>
      <c r="E52" s="23">
        <v>0</v>
      </c>
      <c r="F52" s="23">
        <v>0</v>
      </c>
      <c r="G52" s="23">
        <f t="shared" si="1"/>
        <v>0</v>
      </c>
      <c r="H52" s="23"/>
      <c r="I52" s="23"/>
      <c r="J52" s="23">
        <f t="shared" si="2"/>
        <v>0</v>
      </c>
      <c r="K52" s="23">
        <v>2939</v>
      </c>
      <c r="L52" s="23">
        <v>2939</v>
      </c>
      <c r="M52" s="23">
        <f t="shared" si="3"/>
        <v>0</v>
      </c>
      <c r="N52" s="23"/>
      <c r="O52" s="23"/>
      <c r="P52" s="23">
        <f t="shared" si="4"/>
        <v>0</v>
      </c>
      <c r="Q52" s="23"/>
      <c r="R52" s="23"/>
      <c r="S52" s="23">
        <f t="shared" si="5"/>
        <v>0</v>
      </c>
      <c r="T52" s="23"/>
      <c r="U52" s="23"/>
      <c r="V52" s="23">
        <f t="shared" si="6"/>
        <v>0</v>
      </c>
      <c r="W52" s="23"/>
      <c r="X52" s="23"/>
      <c r="Y52" s="23">
        <f t="shared" si="7"/>
        <v>0</v>
      </c>
      <c r="Z52" s="23"/>
      <c r="AA52" s="23"/>
      <c r="AB52" s="23">
        <f t="shared" si="8"/>
        <v>0</v>
      </c>
    </row>
    <row r="53" spans="1:187" s="20" customFormat="1" ht="63" x14ac:dyDescent="0.25">
      <c r="A53" s="22" t="s">
        <v>211</v>
      </c>
      <c r="B53" s="23">
        <f>E53+H53+K53+N53+Q53+T53+W53+Z53</f>
        <v>12886</v>
      </c>
      <c r="C53" s="23">
        <f>F53+I53+L53+O53+R53+U53+X53+AA53</f>
        <v>12886</v>
      </c>
      <c r="D53" s="23">
        <f>G53+J53+M53+P53+S53+V53+Y53+AB53</f>
        <v>0</v>
      </c>
      <c r="E53" s="23">
        <v>0</v>
      </c>
      <c r="F53" s="23">
        <v>0</v>
      </c>
      <c r="G53" s="23">
        <f>F53-E53</f>
        <v>0</v>
      </c>
      <c r="H53" s="23">
        <v>0</v>
      </c>
      <c r="I53" s="23">
        <v>0</v>
      </c>
      <c r="J53" s="23">
        <f>I53-H53</f>
        <v>0</v>
      </c>
      <c r="K53" s="23">
        <v>12886</v>
      </c>
      <c r="L53" s="23">
        <v>12886</v>
      </c>
      <c r="M53" s="23">
        <f>L53-K53</f>
        <v>0</v>
      </c>
      <c r="N53" s="23"/>
      <c r="O53" s="23"/>
      <c r="P53" s="23">
        <f>O53-N53</f>
        <v>0</v>
      </c>
      <c r="Q53" s="23"/>
      <c r="R53" s="23"/>
      <c r="S53" s="23">
        <f>R53-Q53</f>
        <v>0</v>
      </c>
      <c r="T53" s="23"/>
      <c r="U53" s="23"/>
      <c r="V53" s="23">
        <f>U53-T53</f>
        <v>0</v>
      </c>
      <c r="W53" s="23"/>
      <c r="X53" s="23"/>
      <c r="Y53" s="23">
        <f>X53-W53</f>
        <v>0</v>
      </c>
      <c r="Z53" s="23"/>
      <c r="AA53" s="23"/>
      <c r="AB53" s="23">
        <f>AA53-Z53</f>
        <v>0</v>
      </c>
    </row>
    <row r="54" spans="1:187" s="20" customFormat="1" ht="31.5" x14ac:dyDescent="0.25">
      <c r="A54" s="22" t="s">
        <v>43</v>
      </c>
      <c r="B54" s="23">
        <f t="shared" si="0"/>
        <v>181656</v>
      </c>
      <c r="C54" s="23">
        <f t="shared" si="0"/>
        <v>181656</v>
      </c>
      <c r="D54" s="23">
        <f t="shared" si="0"/>
        <v>0</v>
      </c>
      <c r="E54" s="23">
        <v>0</v>
      </c>
      <c r="F54" s="23">
        <v>0</v>
      </c>
      <c r="G54" s="23">
        <f t="shared" si="1"/>
        <v>0</v>
      </c>
      <c r="H54" s="23"/>
      <c r="I54" s="23"/>
      <c r="J54" s="23">
        <f t="shared" si="2"/>
        <v>0</v>
      </c>
      <c r="K54" s="23">
        <v>0</v>
      </c>
      <c r="L54" s="23">
        <v>0</v>
      </c>
      <c r="M54" s="23">
        <f t="shared" si="3"/>
        <v>0</v>
      </c>
      <c r="N54" s="23"/>
      <c r="O54" s="23"/>
      <c r="P54" s="23">
        <f t="shared" si="4"/>
        <v>0</v>
      </c>
      <c r="Q54" s="23">
        <v>181656</v>
      </c>
      <c r="R54" s="23">
        <v>181656</v>
      </c>
      <c r="S54" s="23">
        <f t="shared" si="5"/>
        <v>0</v>
      </c>
      <c r="T54" s="23"/>
      <c r="U54" s="23"/>
      <c r="V54" s="23">
        <f t="shared" si="6"/>
        <v>0</v>
      </c>
      <c r="W54" s="23"/>
      <c r="X54" s="23"/>
      <c r="Y54" s="23">
        <f t="shared" si="7"/>
        <v>0</v>
      </c>
      <c r="Z54" s="23"/>
      <c r="AA54" s="23"/>
      <c r="AB54" s="23">
        <f t="shared" si="8"/>
        <v>0</v>
      </c>
    </row>
    <row r="55" spans="1:187" s="20" customFormat="1" ht="78.75" x14ac:dyDescent="0.25">
      <c r="A55" s="28" t="s">
        <v>44</v>
      </c>
      <c r="B55" s="23">
        <f t="shared" si="0"/>
        <v>579740</v>
      </c>
      <c r="C55" s="23">
        <f t="shared" si="0"/>
        <v>579740</v>
      </c>
      <c r="D55" s="23">
        <f t="shared" si="0"/>
        <v>0</v>
      </c>
      <c r="E55" s="23">
        <v>0</v>
      </c>
      <c r="F55" s="23">
        <v>0</v>
      </c>
      <c r="G55" s="23">
        <f t="shared" si="1"/>
        <v>0</v>
      </c>
      <c r="H55" s="23"/>
      <c r="I55" s="23"/>
      <c r="J55" s="23">
        <f t="shared" si="2"/>
        <v>0</v>
      </c>
      <c r="K55" s="23">
        <v>22180</v>
      </c>
      <c r="L55" s="23">
        <v>22180</v>
      </c>
      <c r="M55" s="23">
        <f t="shared" si="3"/>
        <v>0</v>
      </c>
      <c r="N55" s="23">
        <v>557560</v>
      </c>
      <c r="O55" s="23">
        <v>557560</v>
      </c>
      <c r="P55" s="23">
        <f t="shared" si="4"/>
        <v>0</v>
      </c>
      <c r="Q55" s="23"/>
      <c r="R55" s="23"/>
      <c r="S55" s="23">
        <f t="shared" si="5"/>
        <v>0</v>
      </c>
      <c r="T55" s="23"/>
      <c r="U55" s="23"/>
      <c r="V55" s="23">
        <f t="shared" si="6"/>
        <v>0</v>
      </c>
      <c r="W55" s="23"/>
      <c r="X55" s="23"/>
      <c r="Y55" s="23">
        <f t="shared" si="7"/>
        <v>0</v>
      </c>
      <c r="Z55" s="23"/>
      <c r="AA55" s="23"/>
      <c r="AB55" s="23">
        <f t="shared" si="8"/>
        <v>0</v>
      </c>
    </row>
    <row r="56" spans="1:187" s="20" customFormat="1" ht="31.5" x14ac:dyDescent="0.25">
      <c r="A56" s="18" t="s">
        <v>45</v>
      </c>
      <c r="B56" s="19">
        <f t="shared" si="0"/>
        <v>16650149</v>
      </c>
      <c r="C56" s="19">
        <f t="shared" si="0"/>
        <v>16668150</v>
      </c>
      <c r="D56" s="19">
        <f t="shared" si="0"/>
        <v>18001</v>
      </c>
      <c r="E56" s="19">
        <f t="shared" ref="E56:AA56" si="81">SUM(E57)</f>
        <v>622420</v>
      </c>
      <c r="F56" s="19">
        <f t="shared" si="81"/>
        <v>622420</v>
      </c>
      <c r="G56" s="19">
        <f t="shared" si="1"/>
        <v>0</v>
      </c>
      <c r="H56" s="19">
        <f t="shared" si="81"/>
        <v>948355</v>
      </c>
      <c r="I56" s="19">
        <f t="shared" si="81"/>
        <v>948355</v>
      </c>
      <c r="J56" s="19">
        <f t="shared" si="2"/>
        <v>0</v>
      </c>
      <c r="K56" s="19">
        <f t="shared" si="81"/>
        <v>5152388</v>
      </c>
      <c r="L56" s="19">
        <f t="shared" si="81"/>
        <v>5170389</v>
      </c>
      <c r="M56" s="19">
        <f t="shared" si="3"/>
        <v>18001</v>
      </c>
      <c r="N56" s="19">
        <f t="shared" si="81"/>
        <v>7754338</v>
      </c>
      <c r="O56" s="19">
        <f t="shared" si="81"/>
        <v>7754338</v>
      </c>
      <c r="P56" s="19">
        <f t="shared" si="4"/>
        <v>0</v>
      </c>
      <c r="Q56" s="19">
        <f t="shared" si="81"/>
        <v>0</v>
      </c>
      <c r="R56" s="19">
        <f t="shared" si="81"/>
        <v>0</v>
      </c>
      <c r="S56" s="19">
        <f t="shared" si="5"/>
        <v>0</v>
      </c>
      <c r="T56" s="19">
        <f t="shared" si="81"/>
        <v>2172648</v>
      </c>
      <c r="U56" s="19">
        <f t="shared" si="81"/>
        <v>2172648</v>
      </c>
      <c r="V56" s="19">
        <f t="shared" si="6"/>
        <v>0</v>
      </c>
      <c r="W56" s="19">
        <f t="shared" si="81"/>
        <v>0</v>
      </c>
      <c r="X56" s="19">
        <f t="shared" si="81"/>
        <v>0</v>
      </c>
      <c r="Y56" s="19">
        <f t="shared" si="7"/>
        <v>0</v>
      </c>
      <c r="Z56" s="19">
        <f t="shared" si="81"/>
        <v>0</v>
      </c>
      <c r="AA56" s="19">
        <f t="shared" si="81"/>
        <v>0</v>
      </c>
      <c r="AB56" s="19">
        <f t="shared" si="8"/>
        <v>0</v>
      </c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</row>
    <row r="57" spans="1:187" s="20" customFormat="1" x14ac:dyDescent="0.25">
      <c r="A57" s="18" t="s">
        <v>13</v>
      </c>
      <c r="B57" s="19">
        <f t="shared" si="0"/>
        <v>16650149</v>
      </c>
      <c r="C57" s="19">
        <f t="shared" si="0"/>
        <v>16668150</v>
      </c>
      <c r="D57" s="19">
        <f t="shared" si="0"/>
        <v>18001</v>
      </c>
      <c r="E57" s="19">
        <f t="shared" ref="E57" si="82">SUM(E58:E71)</f>
        <v>622420</v>
      </c>
      <c r="F57" s="19">
        <f t="shared" ref="F57:AA57" si="83">SUM(F58:F71)</f>
        <v>622420</v>
      </c>
      <c r="G57" s="19">
        <f t="shared" si="1"/>
        <v>0</v>
      </c>
      <c r="H57" s="19">
        <f t="shared" ref="H57" si="84">SUM(H58:H71)</f>
        <v>948355</v>
      </c>
      <c r="I57" s="19">
        <f t="shared" si="83"/>
        <v>948355</v>
      </c>
      <c r="J57" s="19">
        <f t="shared" si="2"/>
        <v>0</v>
      </c>
      <c r="K57" s="19">
        <f t="shared" ref="K57" si="85">SUM(K58:K71)</f>
        <v>5152388</v>
      </c>
      <c r="L57" s="19">
        <f t="shared" si="83"/>
        <v>5170389</v>
      </c>
      <c r="M57" s="19">
        <f t="shared" si="3"/>
        <v>18001</v>
      </c>
      <c r="N57" s="19">
        <f t="shared" ref="N57" si="86">SUM(N58:N71)</f>
        <v>7754338</v>
      </c>
      <c r="O57" s="19">
        <f t="shared" si="83"/>
        <v>7754338</v>
      </c>
      <c r="P57" s="19">
        <f t="shared" si="4"/>
        <v>0</v>
      </c>
      <c r="Q57" s="19">
        <f t="shared" ref="Q57" si="87">SUM(Q58:Q71)</f>
        <v>0</v>
      </c>
      <c r="R57" s="19">
        <f t="shared" si="83"/>
        <v>0</v>
      </c>
      <c r="S57" s="19">
        <f t="shared" si="5"/>
        <v>0</v>
      </c>
      <c r="T57" s="19">
        <f t="shared" ref="T57" si="88">SUM(T58:T71)</f>
        <v>2172648</v>
      </c>
      <c r="U57" s="19">
        <f t="shared" si="83"/>
        <v>2172648</v>
      </c>
      <c r="V57" s="19">
        <f t="shared" si="6"/>
        <v>0</v>
      </c>
      <c r="W57" s="19">
        <f t="shared" ref="W57" si="89">SUM(W58:W71)</f>
        <v>0</v>
      </c>
      <c r="X57" s="19">
        <f t="shared" si="83"/>
        <v>0</v>
      </c>
      <c r="Y57" s="19">
        <f t="shared" si="7"/>
        <v>0</v>
      </c>
      <c r="Z57" s="19">
        <f t="shared" ref="Z57" si="90">SUM(Z58:Z71)</f>
        <v>0</v>
      </c>
      <c r="AA57" s="19">
        <f t="shared" si="83"/>
        <v>0</v>
      </c>
      <c r="AB57" s="19">
        <f t="shared" si="8"/>
        <v>0</v>
      </c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</row>
    <row r="58" spans="1:187" s="20" customFormat="1" ht="47.25" x14ac:dyDescent="0.25">
      <c r="A58" s="27" t="s">
        <v>320</v>
      </c>
      <c r="B58" s="26">
        <f t="shared" si="0"/>
        <v>0</v>
      </c>
      <c r="C58" s="26">
        <f t="shared" si="0"/>
        <v>18001</v>
      </c>
      <c r="D58" s="26">
        <f t="shared" si="0"/>
        <v>18001</v>
      </c>
      <c r="E58" s="26">
        <v>0</v>
      </c>
      <c r="F58" s="26">
        <v>0</v>
      </c>
      <c r="G58" s="26">
        <f t="shared" si="1"/>
        <v>0</v>
      </c>
      <c r="H58" s="26">
        <f>14588-14588</f>
        <v>0</v>
      </c>
      <c r="I58" s="26">
        <f>14588-14588</f>
        <v>0</v>
      </c>
      <c r="J58" s="26">
        <f t="shared" si="2"/>
        <v>0</v>
      </c>
      <c r="K58" s="26">
        <f>3183-3183</f>
        <v>0</v>
      </c>
      <c r="L58" s="26">
        <v>18001</v>
      </c>
      <c r="M58" s="26">
        <f t="shared" si="3"/>
        <v>18001</v>
      </c>
      <c r="N58" s="26">
        <v>0</v>
      </c>
      <c r="O58" s="26">
        <v>0</v>
      </c>
      <c r="P58" s="26">
        <f t="shared" si="4"/>
        <v>0</v>
      </c>
      <c r="Q58" s="26">
        <v>0</v>
      </c>
      <c r="R58" s="26">
        <v>0</v>
      </c>
      <c r="S58" s="26">
        <f t="shared" si="5"/>
        <v>0</v>
      </c>
      <c r="T58" s="26">
        <v>0</v>
      </c>
      <c r="U58" s="26">
        <v>0</v>
      </c>
      <c r="V58" s="26">
        <f t="shared" si="6"/>
        <v>0</v>
      </c>
      <c r="W58" s="26">
        <v>0</v>
      </c>
      <c r="X58" s="26">
        <v>0</v>
      </c>
      <c r="Y58" s="26">
        <f t="shared" si="7"/>
        <v>0</v>
      </c>
      <c r="Z58" s="26"/>
      <c r="AA58" s="26"/>
      <c r="AB58" s="26">
        <f t="shared" si="8"/>
        <v>0</v>
      </c>
    </row>
    <row r="59" spans="1:187" s="20" customFormat="1" ht="31.5" x14ac:dyDescent="0.25">
      <c r="A59" s="27" t="s">
        <v>46</v>
      </c>
      <c r="B59" s="26">
        <f t="shared" si="0"/>
        <v>0</v>
      </c>
      <c r="C59" s="26">
        <f t="shared" si="0"/>
        <v>0</v>
      </c>
      <c r="D59" s="26">
        <f t="shared" si="0"/>
        <v>0</v>
      </c>
      <c r="E59" s="26">
        <v>0</v>
      </c>
      <c r="F59" s="26">
        <v>0</v>
      </c>
      <c r="G59" s="26">
        <f t="shared" si="1"/>
        <v>0</v>
      </c>
      <c r="H59" s="26">
        <v>0</v>
      </c>
      <c r="I59" s="26">
        <v>0</v>
      </c>
      <c r="J59" s="26">
        <f t="shared" si="2"/>
        <v>0</v>
      </c>
      <c r="K59" s="26">
        <f>7607-7607</f>
        <v>0</v>
      </c>
      <c r="L59" s="26">
        <f>7607-7607</f>
        <v>0</v>
      </c>
      <c r="M59" s="26">
        <f t="shared" si="3"/>
        <v>0</v>
      </c>
      <c r="N59" s="26">
        <v>0</v>
      </c>
      <c r="O59" s="26">
        <v>0</v>
      </c>
      <c r="P59" s="26">
        <f t="shared" si="4"/>
        <v>0</v>
      </c>
      <c r="Q59" s="26">
        <v>0</v>
      </c>
      <c r="R59" s="26">
        <v>0</v>
      </c>
      <c r="S59" s="26">
        <f t="shared" si="5"/>
        <v>0</v>
      </c>
      <c r="T59" s="26">
        <v>0</v>
      </c>
      <c r="U59" s="26">
        <v>0</v>
      </c>
      <c r="V59" s="26">
        <f t="shared" si="6"/>
        <v>0</v>
      </c>
      <c r="W59" s="26">
        <v>0</v>
      </c>
      <c r="X59" s="26">
        <v>0</v>
      </c>
      <c r="Y59" s="26">
        <f t="shared" si="7"/>
        <v>0</v>
      </c>
      <c r="Z59" s="26"/>
      <c r="AA59" s="26"/>
      <c r="AB59" s="26">
        <f t="shared" si="8"/>
        <v>0</v>
      </c>
    </row>
    <row r="60" spans="1:187" s="20" customFormat="1" ht="31.5" x14ac:dyDescent="0.25">
      <c r="A60" s="27" t="s">
        <v>47</v>
      </c>
      <c r="B60" s="26">
        <f t="shared" si="0"/>
        <v>0</v>
      </c>
      <c r="C60" s="26">
        <f t="shared" si="0"/>
        <v>0</v>
      </c>
      <c r="D60" s="26">
        <f t="shared" si="0"/>
        <v>0</v>
      </c>
      <c r="E60" s="26">
        <v>0</v>
      </c>
      <c r="F60" s="26">
        <v>0</v>
      </c>
      <c r="G60" s="26">
        <f t="shared" si="1"/>
        <v>0</v>
      </c>
      <c r="H60" s="26">
        <v>0</v>
      </c>
      <c r="I60" s="26">
        <v>0</v>
      </c>
      <c r="J60" s="26">
        <f t="shared" si="2"/>
        <v>0</v>
      </c>
      <c r="K60" s="26">
        <f>7000-7000</f>
        <v>0</v>
      </c>
      <c r="L60" s="26">
        <f>7000-7000</f>
        <v>0</v>
      </c>
      <c r="M60" s="26">
        <f t="shared" si="3"/>
        <v>0</v>
      </c>
      <c r="N60" s="26">
        <v>0</v>
      </c>
      <c r="O60" s="26">
        <v>0</v>
      </c>
      <c r="P60" s="26">
        <f t="shared" si="4"/>
        <v>0</v>
      </c>
      <c r="Q60" s="26">
        <v>0</v>
      </c>
      <c r="R60" s="26">
        <v>0</v>
      </c>
      <c r="S60" s="26">
        <f t="shared" si="5"/>
        <v>0</v>
      </c>
      <c r="T60" s="26">
        <v>0</v>
      </c>
      <c r="U60" s="26">
        <v>0</v>
      </c>
      <c r="V60" s="26">
        <f t="shared" si="6"/>
        <v>0</v>
      </c>
      <c r="W60" s="26">
        <v>0</v>
      </c>
      <c r="X60" s="26">
        <v>0</v>
      </c>
      <c r="Y60" s="26">
        <f t="shared" si="7"/>
        <v>0</v>
      </c>
      <c r="Z60" s="26"/>
      <c r="AA60" s="26"/>
      <c r="AB60" s="26">
        <f t="shared" si="8"/>
        <v>0</v>
      </c>
    </row>
    <row r="61" spans="1:187" s="20" customFormat="1" ht="31.5" x14ac:dyDescent="0.25">
      <c r="A61" s="27" t="s">
        <v>48</v>
      </c>
      <c r="B61" s="26">
        <f t="shared" si="0"/>
        <v>46230</v>
      </c>
      <c r="C61" s="26">
        <f t="shared" si="0"/>
        <v>46230</v>
      </c>
      <c r="D61" s="26">
        <f t="shared" si="0"/>
        <v>0</v>
      </c>
      <c r="E61" s="26">
        <v>0</v>
      </c>
      <c r="F61" s="26">
        <v>0</v>
      </c>
      <c r="G61" s="26">
        <f t="shared" si="1"/>
        <v>0</v>
      </c>
      <c r="H61" s="26">
        <v>0</v>
      </c>
      <c r="I61" s="26">
        <v>0</v>
      </c>
      <c r="J61" s="26">
        <f t="shared" si="2"/>
        <v>0</v>
      </c>
      <c r="K61" s="26">
        <f>41100+5130</f>
        <v>46230</v>
      </c>
      <c r="L61" s="26">
        <f>41100+5130</f>
        <v>46230</v>
      </c>
      <c r="M61" s="26">
        <f t="shared" si="3"/>
        <v>0</v>
      </c>
      <c r="N61" s="26">
        <v>0</v>
      </c>
      <c r="O61" s="26">
        <v>0</v>
      </c>
      <c r="P61" s="26">
        <f t="shared" si="4"/>
        <v>0</v>
      </c>
      <c r="Q61" s="26">
        <v>0</v>
      </c>
      <c r="R61" s="26">
        <v>0</v>
      </c>
      <c r="S61" s="26">
        <f t="shared" si="5"/>
        <v>0</v>
      </c>
      <c r="T61" s="26">
        <v>0</v>
      </c>
      <c r="U61" s="26">
        <v>0</v>
      </c>
      <c r="V61" s="26">
        <f t="shared" si="6"/>
        <v>0</v>
      </c>
      <c r="W61" s="26">
        <v>0</v>
      </c>
      <c r="X61" s="26">
        <v>0</v>
      </c>
      <c r="Y61" s="26">
        <f t="shared" si="7"/>
        <v>0</v>
      </c>
      <c r="Z61" s="26"/>
      <c r="AA61" s="26"/>
      <c r="AB61" s="26">
        <f t="shared" si="8"/>
        <v>0</v>
      </c>
    </row>
    <row r="62" spans="1:187" s="20" customFormat="1" ht="47.25" x14ac:dyDescent="0.25">
      <c r="A62" s="27" t="s">
        <v>49</v>
      </c>
      <c r="B62" s="26">
        <f t="shared" si="0"/>
        <v>292420</v>
      </c>
      <c r="C62" s="26">
        <f t="shared" si="0"/>
        <v>292420</v>
      </c>
      <c r="D62" s="26">
        <f t="shared" si="0"/>
        <v>0</v>
      </c>
      <c r="E62" s="26">
        <v>292420</v>
      </c>
      <c r="F62" s="26">
        <v>292420</v>
      </c>
      <c r="G62" s="26">
        <f t="shared" si="1"/>
        <v>0</v>
      </c>
      <c r="H62" s="26">
        <v>0</v>
      </c>
      <c r="I62" s="26">
        <v>0</v>
      </c>
      <c r="J62" s="26">
        <f t="shared" si="2"/>
        <v>0</v>
      </c>
      <c r="K62" s="26"/>
      <c r="L62" s="26"/>
      <c r="M62" s="26">
        <f t="shared" si="3"/>
        <v>0</v>
      </c>
      <c r="N62" s="26">
        <v>0</v>
      </c>
      <c r="O62" s="26">
        <v>0</v>
      </c>
      <c r="P62" s="26">
        <f t="shared" si="4"/>
        <v>0</v>
      </c>
      <c r="Q62" s="26">
        <v>0</v>
      </c>
      <c r="R62" s="26">
        <v>0</v>
      </c>
      <c r="S62" s="26">
        <f t="shared" si="5"/>
        <v>0</v>
      </c>
      <c r="T62" s="26">
        <v>0</v>
      </c>
      <c r="U62" s="26">
        <v>0</v>
      </c>
      <c r="V62" s="26">
        <f t="shared" si="6"/>
        <v>0</v>
      </c>
      <c r="W62" s="26">
        <v>0</v>
      </c>
      <c r="X62" s="26">
        <v>0</v>
      </c>
      <c r="Y62" s="26">
        <f t="shared" si="7"/>
        <v>0</v>
      </c>
      <c r="Z62" s="26"/>
      <c r="AA62" s="26"/>
      <c r="AB62" s="26">
        <f t="shared" si="8"/>
        <v>0</v>
      </c>
    </row>
    <row r="63" spans="1:187" s="20" customFormat="1" ht="126" x14ac:dyDescent="0.25">
      <c r="A63" s="28" t="s">
        <v>50</v>
      </c>
      <c r="B63" s="26">
        <f t="shared" si="0"/>
        <v>805296</v>
      </c>
      <c r="C63" s="26">
        <f t="shared" si="0"/>
        <v>805296</v>
      </c>
      <c r="D63" s="26">
        <f t="shared" si="0"/>
        <v>0</v>
      </c>
      <c r="E63" s="26">
        <v>0</v>
      </c>
      <c r="F63" s="26">
        <v>0</v>
      </c>
      <c r="G63" s="26">
        <f t="shared" si="1"/>
        <v>0</v>
      </c>
      <c r="H63" s="26"/>
      <c r="I63" s="26"/>
      <c r="J63" s="26">
        <f t="shared" si="2"/>
        <v>0</v>
      </c>
      <c r="K63" s="26">
        <v>0</v>
      </c>
      <c r="L63" s="26">
        <v>0</v>
      </c>
      <c r="M63" s="26">
        <f t="shared" si="3"/>
        <v>0</v>
      </c>
      <c r="N63" s="26">
        <v>805296</v>
      </c>
      <c r="O63" s="26">
        <v>805296</v>
      </c>
      <c r="P63" s="26">
        <f t="shared" si="4"/>
        <v>0</v>
      </c>
      <c r="Q63" s="26"/>
      <c r="R63" s="26"/>
      <c r="S63" s="26">
        <f t="shared" si="5"/>
        <v>0</v>
      </c>
      <c r="T63" s="26"/>
      <c r="U63" s="26"/>
      <c r="V63" s="26">
        <f t="shared" si="6"/>
        <v>0</v>
      </c>
      <c r="W63" s="26"/>
      <c r="X63" s="26"/>
      <c r="Y63" s="26">
        <f t="shared" si="7"/>
        <v>0</v>
      </c>
      <c r="Z63" s="26"/>
      <c r="AA63" s="26"/>
      <c r="AB63" s="26">
        <f t="shared" si="8"/>
        <v>0</v>
      </c>
    </row>
    <row r="64" spans="1:187" s="20" customFormat="1" x14ac:dyDescent="0.25">
      <c r="A64" s="27" t="s">
        <v>51</v>
      </c>
      <c r="B64" s="26">
        <f t="shared" si="0"/>
        <v>130942</v>
      </c>
      <c r="C64" s="26">
        <f t="shared" si="0"/>
        <v>130942</v>
      </c>
      <c r="D64" s="26">
        <f t="shared" si="0"/>
        <v>0</v>
      </c>
      <c r="E64" s="26">
        <f>130942-130942</f>
        <v>0</v>
      </c>
      <c r="F64" s="26">
        <f>130942-130942</f>
        <v>0</v>
      </c>
      <c r="G64" s="26">
        <f t="shared" si="1"/>
        <v>0</v>
      </c>
      <c r="H64" s="26"/>
      <c r="I64" s="26"/>
      <c r="J64" s="26">
        <f t="shared" si="2"/>
        <v>0</v>
      </c>
      <c r="K64" s="26">
        <v>0</v>
      </c>
      <c r="L64" s="26">
        <v>0</v>
      </c>
      <c r="M64" s="26">
        <f t="shared" si="3"/>
        <v>0</v>
      </c>
      <c r="N64" s="26"/>
      <c r="O64" s="26"/>
      <c r="P64" s="26">
        <f t="shared" si="4"/>
        <v>0</v>
      </c>
      <c r="Q64" s="26"/>
      <c r="R64" s="26"/>
      <c r="S64" s="26">
        <f t="shared" si="5"/>
        <v>0</v>
      </c>
      <c r="T64" s="26">
        <f>130942</f>
        <v>130942</v>
      </c>
      <c r="U64" s="26">
        <f>130942</f>
        <v>130942</v>
      </c>
      <c r="V64" s="26">
        <f t="shared" si="6"/>
        <v>0</v>
      </c>
      <c r="W64" s="26"/>
      <c r="X64" s="26"/>
      <c r="Y64" s="26">
        <f t="shared" si="7"/>
        <v>0</v>
      </c>
      <c r="Z64" s="26"/>
      <c r="AA64" s="26"/>
      <c r="AB64" s="26">
        <f t="shared" si="8"/>
        <v>0</v>
      </c>
    </row>
    <row r="65" spans="1:187" s="20" customFormat="1" ht="63" x14ac:dyDescent="0.25">
      <c r="A65" s="22" t="s">
        <v>52</v>
      </c>
      <c r="B65" s="26">
        <f t="shared" si="0"/>
        <v>2936444</v>
      </c>
      <c r="C65" s="26">
        <f t="shared" si="0"/>
        <v>2936444</v>
      </c>
      <c r="D65" s="26">
        <f t="shared" si="0"/>
        <v>0</v>
      </c>
      <c r="E65" s="26">
        <v>0</v>
      </c>
      <c r="F65" s="26">
        <v>0</v>
      </c>
      <c r="G65" s="26">
        <f t="shared" si="1"/>
        <v>0</v>
      </c>
      <c r="H65" s="26"/>
      <c r="I65" s="26"/>
      <c r="J65" s="26">
        <f t="shared" si="2"/>
        <v>0</v>
      </c>
      <c r="K65" s="26">
        <v>2936444</v>
      </c>
      <c r="L65" s="26">
        <v>2936444</v>
      </c>
      <c r="M65" s="26">
        <f t="shared" si="3"/>
        <v>0</v>
      </c>
      <c r="N65" s="26"/>
      <c r="O65" s="26"/>
      <c r="P65" s="26">
        <f t="shared" si="4"/>
        <v>0</v>
      </c>
      <c r="Q65" s="26"/>
      <c r="R65" s="26"/>
      <c r="S65" s="26">
        <f t="shared" si="5"/>
        <v>0</v>
      </c>
      <c r="T65" s="26">
        <f>2534-2534</f>
        <v>0</v>
      </c>
      <c r="U65" s="26">
        <f>2534-2534</f>
        <v>0</v>
      </c>
      <c r="V65" s="26">
        <f t="shared" si="6"/>
        <v>0</v>
      </c>
      <c r="W65" s="26"/>
      <c r="X65" s="26"/>
      <c r="Y65" s="26">
        <f t="shared" si="7"/>
        <v>0</v>
      </c>
      <c r="Z65" s="26"/>
      <c r="AA65" s="26"/>
      <c r="AB65" s="26">
        <f t="shared" si="8"/>
        <v>0</v>
      </c>
    </row>
    <row r="66" spans="1:187" s="20" customFormat="1" ht="31.5" x14ac:dyDescent="0.25">
      <c r="A66" s="22" t="s">
        <v>53</v>
      </c>
      <c r="B66" s="26">
        <f t="shared" si="0"/>
        <v>2169714</v>
      </c>
      <c r="C66" s="26">
        <f t="shared" si="0"/>
        <v>2169714</v>
      </c>
      <c r="D66" s="26">
        <f t="shared" si="0"/>
        <v>0</v>
      </c>
      <c r="E66" s="26">
        <v>0</v>
      </c>
      <c r="F66" s="26">
        <v>0</v>
      </c>
      <c r="G66" s="26">
        <f t="shared" si="1"/>
        <v>0</v>
      </c>
      <c r="H66" s="26"/>
      <c r="I66" s="26"/>
      <c r="J66" s="26">
        <f t="shared" si="2"/>
        <v>0</v>
      </c>
      <c r="K66" s="26">
        <v>2169714</v>
      </c>
      <c r="L66" s="26">
        <v>2169714</v>
      </c>
      <c r="M66" s="26">
        <f t="shared" si="3"/>
        <v>0</v>
      </c>
      <c r="N66" s="26"/>
      <c r="O66" s="26"/>
      <c r="P66" s="26">
        <f t="shared" si="4"/>
        <v>0</v>
      </c>
      <c r="Q66" s="26"/>
      <c r="R66" s="26"/>
      <c r="S66" s="26">
        <f t="shared" si="5"/>
        <v>0</v>
      </c>
      <c r="T66" s="26">
        <v>0</v>
      </c>
      <c r="U66" s="26">
        <v>0</v>
      </c>
      <c r="V66" s="26">
        <f t="shared" si="6"/>
        <v>0</v>
      </c>
      <c r="W66" s="26"/>
      <c r="X66" s="26"/>
      <c r="Y66" s="26">
        <f t="shared" si="7"/>
        <v>0</v>
      </c>
      <c r="Z66" s="26"/>
      <c r="AA66" s="26"/>
      <c r="AB66" s="26">
        <f t="shared" si="8"/>
        <v>0</v>
      </c>
    </row>
    <row r="67" spans="1:187" s="20" customFormat="1" ht="157.5" x14ac:dyDescent="0.25">
      <c r="A67" s="22" t="s">
        <v>54</v>
      </c>
      <c r="B67" s="26">
        <f t="shared" si="0"/>
        <v>6949042</v>
      </c>
      <c r="C67" s="26">
        <f t="shared" si="0"/>
        <v>6949042</v>
      </c>
      <c r="D67" s="26">
        <f t="shared" si="0"/>
        <v>0</v>
      </c>
      <c r="E67" s="26">
        <v>0</v>
      </c>
      <c r="F67" s="26">
        <v>0</v>
      </c>
      <c r="G67" s="26">
        <f t="shared" si="1"/>
        <v>0</v>
      </c>
      <c r="H67" s="26"/>
      <c r="I67" s="26"/>
      <c r="J67" s="26">
        <f t="shared" si="2"/>
        <v>0</v>
      </c>
      <c r="K67" s="26">
        <v>0</v>
      </c>
      <c r="L67" s="26">
        <v>0</v>
      </c>
      <c r="M67" s="26">
        <f t="shared" si="3"/>
        <v>0</v>
      </c>
      <c r="N67" s="26">
        <v>6949042</v>
      </c>
      <c r="O67" s="26">
        <v>6949042</v>
      </c>
      <c r="P67" s="26">
        <f t="shared" si="4"/>
        <v>0</v>
      </c>
      <c r="Q67" s="26"/>
      <c r="R67" s="26"/>
      <c r="S67" s="26">
        <f t="shared" si="5"/>
        <v>0</v>
      </c>
      <c r="T67" s="26">
        <v>0</v>
      </c>
      <c r="U67" s="26">
        <v>0</v>
      </c>
      <c r="V67" s="26">
        <f t="shared" si="6"/>
        <v>0</v>
      </c>
      <c r="W67" s="26"/>
      <c r="X67" s="26"/>
      <c r="Y67" s="26">
        <f t="shared" si="7"/>
        <v>0</v>
      </c>
      <c r="Z67" s="26"/>
      <c r="AA67" s="26"/>
      <c r="AB67" s="26">
        <f t="shared" si="8"/>
        <v>0</v>
      </c>
    </row>
    <row r="68" spans="1:187" s="20" customFormat="1" ht="31.5" x14ac:dyDescent="0.25">
      <c r="A68" s="25" t="s">
        <v>55</v>
      </c>
      <c r="B68" s="26">
        <f t="shared" si="0"/>
        <v>50000</v>
      </c>
      <c r="C68" s="26">
        <f t="shared" si="0"/>
        <v>50000</v>
      </c>
      <c r="D68" s="26">
        <f t="shared" si="0"/>
        <v>0</v>
      </c>
      <c r="E68" s="26">
        <f>18700-18700</f>
        <v>0</v>
      </c>
      <c r="F68" s="26">
        <f>18700-18700</f>
        <v>0</v>
      </c>
      <c r="G68" s="26">
        <f t="shared" si="1"/>
        <v>0</v>
      </c>
      <c r="H68" s="26"/>
      <c r="I68" s="26"/>
      <c r="J68" s="26">
        <f t="shared" si="2"/>
        <v>0</v>
      </c>
      <c r="K68" s="26">
        <v>0</v>
      </c>
      <c r="L68" s="26">
        <v>0</v>
      </c>
      <c r="M68" s="26">
        <f t="shared" si="3"/>
        <v>0</v>
      </c>
      <c r="N68" s="26"/>
      <c r="O68" s="26"/>
      <c r="P68" s="26">
        <f t="shared" si="4"/>
        <v>0</v>
      </c>
      <c r="Q68" s="26"/>
      <c r="R68" s="26"/>
      <c r="S68" s="26">
        <f t="shared" si="5"/>
        <v>0</v>
      </c>
      <c r="T68" s="26">
        <f>31300+18700</f>
        <v>50000</v>
      </c>
      <c r="U68" s="26">
        <f>31300+18700</f>
        <v>50000</v>
      </c>
      <c r="V68" s="26">
        <f t="shared" si="6"/>
        <v>0</v>
      </c>
      <c r="W68" s="26"/>
      <c r="X68" s="26"/>
      <c r="Y68" s="26">
        <f t="shared" si="7"/>
        <v>0</v>
      </c>
      <c r="Z68" s="26"/>
      <c r="AA68" s="26"/>
      <c r="AB68" s="26">
        <f t="shared" si="8"/>
        <v>0</v>
      </c>
    </row>
    <row r="69" spans="1:187" s="20" customFormat="1" ht="31.5" x14ac:dyDescent="0.25">
      <c r="A69" s="27" t="s">
        <v>56</v>
      </c>
      <c r="B69" s="26">
        <f t="shared" si="0"/>
        <v>330000</v>
      </c>
      <c r="C69" s="26">
        <f t="shared" si="0"/>
        <v>330000</v>
      </c>
      <c r="D69" s="26">
        <f t="shared" si="0"/>
        <v>0</v>
      </c>
      <c r="E69" s="26">
        <v>330000</v>
      </c>
      <c r="F69" s="26">
        <v>330000</v>
      </c>
      <c r="G69" s="26">
        <f t="shared" si="1"/>
        <v>0</v>
      </c>
      <c r="H69" s="26">
        <v>0</v>
      </c>
      <c r="I69" s="26">
        <v>0</v>
      </c>
      <c r="J69" s="26">
        <f t="shared" si="2"/>
        <v>0</v>
      </c>
      <c r="K69" s="26"/>
      <c r="L69" s="26"/>
      <c r="M69" s="26">
        <f t="shared" si="3"/>
        <v>0</v>
      </c>
      <c r="N69" s="26">
        <v>0</v>
      </c>
      <c r="O69" s="26">
        <v>0</v>
      </c>
      <c r="P69" s="26">
        <f t="shared" si="4"/>
        <v>0</v>
      </c>
      <c r="Q69" s="26"/>
      <c r="R69" s="26"/>
      <c r="S69" s="26">
        <f t="shared" si="5"/>
        <v>0</v>
      </c>
      <c r="T69" s="26">
        <v>0</v>
      </c>
      <c r="U69" s="26">
        <v>0</v>
      </c>
      <c r="V69" s="26">
        <f t="shared" si="6"/>
        <v>0</v>
      </c>
      <c r="W69" s="26">
        <v>0</v>
      </c>
      <c r="X69" s="26">
        <v>0</v>
      </c>
      <c r="Y69" s="26">
        <f t="shared" si="7"/>
        <v>0</v>
      </c>
      <c r="Z69" s="26"/>
      <c r="AA69" s="26"/>
      <c r="AB69" s="26">
        <f t="shared" si="8"/>
        <v>0</v>
      </c>
    </row>
    <row r="70" spans="1:187" s="20" customFormat="1" ht="47.25" x14ac:dyDescent="0.25">
      <c r="A70" s="25" t="s">
        <v>57</v>
      </c>
      <c r="B70" s="26">
        <f t="shared" si="0"/>
        <v>2755061</v>
      </c>
      <c r="C70" s="26">
        <f t="shared" si="0"/>
        <v>2755061</v>
      </c>
      <c r="D70" s="26">
        <f t="shared" si="0"/>
        <v>0</v>
      </c>
      <c r="E70" s="26">
        <v>0</v>
      </c>
      <c r="F70" s="26">
        <v>0</v>
      </c>
      <c r="G70" s="26">
        <f t="shared" si="1"/>
        <v>0</v>
      </c>
      <c r="H70" s="26">
        <f>698588+44818+19949</f>
        <v>763355</v>
      </c>
      <c r="I70" s="26">
        <f>698588+44818+19949</f>
        <v>763355</v>
      </c>
      <c r="J70" s="26">
        <f t="shared" si="2"/>
        <v>0</v>
      </c>
      <c r="K70" s="26">
        <f>763355-698588-44818-19949</f>
        <v>0</v>
      </c>
      <c r="L70" s="26">
        <f>763355-698588-44818-19949</f>
        <v>0</v>
      </c>
      <c r="M70" s="26">
        <f t="shared" si="3"/>
        <v>0</v>
      </c>
      <c r="N70" s="26"/>
      <c r="O70" s="26"/>
      <c r="P70" s="26">
        <f t="shared" si="4"/>
        <v>0</v>
      </c>
      <c r="Q70" s="26"/>
      <c r="R70" s="26"/>
      <c r="S70" s="26">
        <f t="shared" si="5"/>
        <v>0</v>
      </c>
      <c r="T70" s="26">
        <v>1991706</v>
      </c>
      <c r="U70" s="26">
        <v>1991706</v>
      </c>
      <c r="V70" s="26">
        <f t="shared" si="6"/>
        <v>0</v>
      </c>
      <c r="W70" s="26"/>
      <c r="X70" s="26"/>
      <c r="Y70" s="26">
        <f t="shared" si="7"/>
        <v>0</v>
      </c>
      <c r="Z70" s="26"/>
      <c r="AA70" s="26"/>
      <c r="AB70" s="26">
        <f t="shared" si="8"/>
        <v>0</v>
      </c>
    </row>
    <row r="71" spans="1:187" s="20" customFormat="1" ht="31.5" x14ac:dyDescent="0.25">
      <c r="A71" s="27" t="s">
        <v>58</v>
      </c>
      <c r="B71" s="26">
        <f t="shared" si="0"/>
        <v>185000</v>
      </c>
      <c r="C71" s="26">
        <f t="shared" si="0"/>
        <v>185000</v>
      </c>
      <c r="D71" s="26">
        <f t="shared" si="0"/>
        <v>0</v>
      </c>
      <c r="E71" s="26">
        <f>185000-185000</f>
        <v>0</v>
      </c>
      <c r="F71" s="26">
        <f>185000-185000</f>
        <v>0</v>
      </c>
      <c r="G71" s="26">
        <f t="shared" si="1"/>
        <v>0</v>
      </c>
      <c r="H71" s="26">
        <v>185000</v>
      </c>
      <c r="I71" s="26">
        <v>185000</v>
      </c>
      <c r="J71" s="26">
        <f t="shared" si="2"/>
        <v>0</v>
      </c>
      <c r="K71" s="26">
        <f>185000-185000</f>
        <v>0</v>
      </c>
      <c r="L71" s="26">
        <f>185000-185000</f>
        <v>0</v>
      </c>
      <c r="M71" s="26">
        <f t="shared" si="3"/>
        <v>0</v>
      </c>
      <c r="N71" s="26">
        <v>0</v>
      </c>
      <c r="O71" s="26">
        <v>0</v>
      </c>
      <c r="P71" s="26">
        <f t="shared" si="4"/>
        <v>0</v>
      </c>
      <c r="Q71" s="26"/>
      <c r="R71" s="26"/>
      <c r="S71" s="26">
        <f t="shared" si="5"/>
        <v>0</v>
      </c>
      <c r="T71" s="26">
        <v>0</v>
      </c>
      <c r="U71" s="26">
        <v>0</v>
      </c>
      <c r="V71" s="26">
        <f t="shared" si="6"/>
        <v>0</v>
      </c>
      <c r="W71" s="26">
        <v>0</v>
      </c>
      <c r="X71" s="26">
        <v>0</v>
      </c>
      <c r="Y71" s="26">
        <f t="shared" si="7"/>
        <v>0</v>
      </c>
      <c r="Z71" s="26"/>
      <c r="AA71" s="26"/>
      <c r="AB71" s="26">
        <f t="shared" si="8"/>
        <v>0</v>
      </c>
    </row>
    <row r="72" spans="1:187" s="17" customFormat="1" ht="31.5" x14ac:dyDescent="0.25">
      <c r="A72" s="18" t="s">
        <v>59</v>
      </c>
      <c r="B72" s="19">
        <f t="shared" si="0"/>
        <v>3040025</v>
      </c>
      <c r="C72" s="19">
        <f t="shared" si="0"/>
        <v>3145105</v>
      </c>
      <c r="D72" s="19">
        <f t="shared" si="0"/>
        <v>105080</v>
      </c>
      <c r="E72" s="19">
        <f t="shared" ref="E72:AA72" si="91">SUM(E73)</f>
        <v>214000</v>
      </c>
      <c r="F72" s="19">
        <f t="shared" si="91"/>
        <v>319080</v>
      </c>
      <c r="G72" s="19">
        <f t="shared" si="1"/>
        <v>105080</v>
      </c>
      <c r="H72" s="19">
        <f t="shared" si="91"/>
        <v>13080</v>
      </c>
      <c r="I72" s="19">
        <f t="shared" si="91"/>
        <v>13080</v>
      </c>
      <c r="J72" s="19">
        <f t="shared" si="2"/>
        <v>0</v>
      </c>
      <c r="K72" s="19">
        <f t="shared" si="91"/>
        <v>59000</v>
      </c>
      <c r="L72" s="19">
        <f t="shared" si="91"/>
        <v>59000</v>
      </c>
      <c r="M72" s="19">
        <f t="shared" si="3"/>
        <v>0</v>
      </c>
      <c r="N72" s="19">
        <f t="shared" si="91"/>
        <v>2657945</v>
      </c>
      <c r="O72" s="19">
        <f t="shared" si="91"/>
        <v>2657945</v>
      </c>
      <c r="P72" s="19">
        <f t="shared" si="4"/>
        <v>0</v>
      </c>
      <c r="Q72" s="19">
        <f t="shared" si="91"/>
        <v>96000</v>
      </c>
      <c r="R72" s="19">
        <f t="shared" si="91"/>
        <v>96000</v>
      </c>
      <c r="S72" s="19">
        <f t="shared" si="5"/>
        <v>0</v>
      </c>
      <c r="T72" s="19">
        <f t="shared" si="91"/>
        <v>0</v>
      </c>
      <c r="U72" s="19">
        <f t="shared" si="91"/>
        <v>0</v>
      </c>
      <c r="V72" s="19">
        <f t="shared" si="6"/>
        <v>0</v>
      </c>
      <c r="W72" s="19">
        <f t="shared" si="91"/>
        <v>0</v>
      </c>
      <c r="X72" s="19">
        <f t="shared" si="91"/>
        <v>0</v>
      </c>
      <c r="Y72" s="19">
        <f t="shared" si="7"/>
        <v>0</v>
      </c>
      <c r="Z72" s="19">
        <f t="shared" si="91"/>
        <v>0</v>
      </c>
      <c r="AA72" s="19">
        <f t="shared" si="91"/>
        <v>0</v>
      </c>
      <c r="AB72" s="19">
        <f t="shared" si="8"/>
        <v>0</v>
      </c>
    </row>
    <row r="73" spans="1:187" s="20" customFormat="1" x14ac:dyDescent="0.25">
      <c r="A73" s="18" t="s">
        <v>13</v>
      </c>
      <c r="B73" s="19">
        <f t="shared" si="0"/>
        <v>3040025</v>
      </c>
      <c r="C73" s="19">
        <f t="shared" si="0"/>
        <v>3145105</v>
      </c>
      <c r="D73" s="19">
        <f t="shared" si="0"/>
        <v>105080</v>
      </c>
      <c r="E73" s="19">
        <f t="shared" ref="E73" si="92">SUM(E74:E84)</f>
        <v>214000</v>
      </c>
      <c r="F73" s="19">
        <f t="shared" ref="F73:AA73" si="93">SUM(F74:F84)</f>
        <v>319080</v>
      </c>
      <c r="G73" s="19">
        <f t="shared" si="1"/>
        <v>105080</v>
      </c>
      <c r="H73" s="19">
        <f t="shared" ref="H73" si="94">SUM(H74:H84)</f>
        <v>13080</v>
      </c>
      <c r="I73" s="19">
        <f t="shared" si="93"/>
        <v>13080</v>
      </c>
      <c r="J73" s="19">
        <f t="shared" si="2"/>
        <v>0</v>
      </c>
      <c r="K73" s="19">
        <f t="shared" ref="K73" si="95">SUM(K74:K84)</f>
        <v>59000</v>
      </c>
      <c r="L73" s="19">
        <f t="shared" si="93"/>
        <v>59000</v>
      </c>
      <c r="M73" s="19">
        <f t="shared" si="3"/>
        <v>0</v>
      </c>
      <c r="N73" s="19">
        <f t="shared" ref="N73" si="96">SUM(N74:N84)</f>
        <v>2657945</v>
      </c>
      <c r="O73" s="19">
        <f t="shared" si="93"/>
        <v>2657945</v>
      </c>
      <c r="P73" s="19">
        <f t="shared" si="4"/>
        <v>0</v>
      </c>
      <c r="Q73" s="19">
        <f t="shared" ref="Q73" si="97">SUM(Q74:Q84)</f>
        <v>96000</v>
      </c>
      <c r="R73" s="19">
        <f t="shared" si="93"/>
        <v>96000</v>
      </c>
      <c r="S73" s="19">
        <f t="shared" si="5"/>
        <v>0</v>
      </c>
      <c r="T73" s="19">
        <f t="shared" ref="T73" si="98">SUM(T74:T84)</f>
        <v>0</v>
      </c>
      <c r="U73" s="19">
        <f t="shared" si="93"/>
        <v>0</v>
      </c>
      <c r="V73" s="19">
        <f t="shared" si="6"/>
        <v>0</v>
      </c>
      <c r="W73" s="19">
        <f t="shared" ref="W73" si="99">SUM(W74:W84)</f>
        <v>0</v>
      </c>
      <c r="X73" s="19">
        <f t="shared" si="93"/>
        <v>0</v>
      </c>
      <c r="Y73" s="19">
        <f t="shared" si="7"/>
        <v>0</v>
      </c>
      <c r="Z73" s="19">
        <f t="shared" ref="Z73" si="100">SUM(Z74:Z84)</f>
        <v>0</v>
      </c>
      <c r="AA73" s="19">
        <f t="shared" si="93"/>
        <v>0</v>
      </c>
      <c r="AB73" s="19">
        <f t="shared" si="8"/>
        <v>0</v>
      </c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</row>
    <row r="74" spans="1:187" s="20" customFormat="1" x14ac:dyDescent="0.25">
      <c r="A74" s="27" t="s">
        <v>60</v>
      </c>
      <c r="B74" s="26">
        <f t="shared" si="0"/>
        <v>33000</v>
      </c>
      <c r="C74" s="26">
        <f t="shared" si="0"/>
        <v>33000</v>
      </c>
      <c r="D74" s="26">
        <f t="shared" si="0"/>
        <v>0</v>
      </c>
      <c r="E74" s="26">
        <v>33000</v>
      </c>
      <c r="F74" s="26">
        <v>33000</v>
      </c>
      <c r="G74" s="26">
        <f t="shared" si="1"/>
        <v>0</v>
      </c>
      <c r="H74" s="26"/>
      <c r="I74" s="26"/>
      <c r="J74" s="26">
        <f t="shared" si="2"/>
        <v>0</v>
      </c>
      <c r="K74" s="26">
        <v>0</v>
      </c>
      <c r="L74" s="26">
        <v>0</v>
      </c>
      <c r="M74" s="26">
        <f t="shared" si="3"/>
        <v>0</v>
      </c>
      <c r="N74" s="26"/>
      <c r="O74" s="26"/>
      <c r="P74" s="26">
        <f t="shared" si="4"/>
        <v>0</v>
      </c>
      <c r="Q74" s="26"/>
      <c r="R74" s="26"/>
      <c r="S74" s="26">
        <f t="shared" si="5"/>
        <v>0</v>
      </c>
      <c r="T74" s="26"/>
      <c r="U74" s="26"/>
      <c r="V74" s="26">
        <f t="shared" si="6"/>
        <v>0</v>
      </c>
      <c r="W74" s="26"/>
      <c r="X74" s="26"/>
      <c r="Y74" s="26">
        <f t="shared" si="7"/>
        <v>0</v>
      </c>
      <c r="Z74" s="26"/>
      <c r="AA74" s="26"/>
      <c r="AB74" s="26">
        <f t="shared" si="8"/>
        <v>0</v>
      </c>
    </row>
    <row r="75" spans="1:187" s="20" customFormat="1" ht="31.5" x14ac:dyDescent="0.25">
      <c r="A75" s="22" t="s">
        <v>61</v>
      </c>
      <c r="B75" s="23">
        <f t="shared" si="0"/>
        <v>0</v>
      </c>
      <c r="C75" s="23">
        <f t="shared" si="0"/>
        <v>0</v>
      </c>
      <c r="D75" s="23">
        <f t="shared" si="0"/>
        <v>0</v>
      </c>
      <c r="E75" s="23">
        <v>0</v>
      </c>
      <c r="F75" s="23">
        <v>0</v>
      </c>
      <c r="G75" s="23">
        <f t="shared" si="1"/>
        <v>0</v>
      </c>
      <c r="H75" s="23"/>
      <c r="I75" s="23"/>
      <c r="J75" s="23">
        <f t="shared" si="2"/>
        <v>0</v>
      </c>
      <c r="K75" s="23">
        <f>6497-6497</f>
        <v>0</v>
      </c>
      <c r="L75" s="23">
        <f>6497-6497</f>
        <v>0</v>
      </c>
      <c r="M75" s="23">
        <f t="shared" si="3"/>
        <v>0</v>
      </c>
      <c r="N75" s="23"/>
      <c r="O75" s="23"/>
      <c r="P75" s="23">
        <f t="shared" si="4"/>
        <v>0</v>
      </c>
      <c r="Q75" s="23"/>
      <c r="R75" s="23"/>
      <c r="S75" s="23">
        <f t="shared" si="5"/>
        <v>0</v>
      </c>
      <c r="T75" s="23"/>
      <c r="U75" s="23"/>
      <c r="V75" s="23">
        <f t="shared" si="6"/>
        <v>0</v>
      </c>
      <c r="W75" s="23"/>
      <c r="X75" s="23"/>
      <c r="Y75" s="23">
        <f t="shared" si="7"/>
        <v>0</v>
      </c>
      <c r="Z75" s="23"/>
      <c r="AA75" s="23"/>
      <c r="AB75" s="23">
        <f t="shared" si="8"/>
        <v>0</v>
      </c>
    </row>
    <row r="76" spans="1:187" s="20" customFormat="1" ht="31.5" x14ac:dyDescent="0.25">
      <c r="A76" s="22" t="s">
        <v>202</v>
      </c>
      <c r="B76" s="23">
        <f t="shared" si="0"/>
        <v>32000</v>
      </c>
      <c r="C76" s="23">
        <f t="shared" si="0"/>
        <v>32000</v>
      </c>
      <c r="D76" s="23">
        <f t="shared" si="0"/>
        <v>0</v>
      </c>
      <c r="E76" s="23">
        <v>0</v>
      </c>
      <c r="F76" s="23">
        <v>0</v>
      </c>
      <c r="G76" s="23">
        <f t="shared" si="1"/>
        <v>0</v>
      </c>
      <c r="H76" s="23"/>
      <c r="I76" s="23"/>
      <c r="J76" s="23">
        <f t="shared" si="2"/>
        <v>0</v>
      </c>
      <c r="K76" s="23">
        <v>32000</v>
      </c>
      <c r="L76" s="23">
        <v>32000</v>
      </c>
      <c r="M76" s="23">
        <f t="shared" si="3"/>
        <v>0</v>
      </c>
      <c r="N76" s="23"/>
      <c r="O76" s="23"/>
      <c r="P76" s="23">
        <f t="shared" si="4"/>
        <v>0</v>
      </c>
      <c r="Q76" s="23"/>
      <c r="R76" s="23"/>
      <c r="S76" s="23">
        <f t="shared" si="5"/>
        <v>0</v>
      </c>
      <c r="T76" s="23"/>
      <c r="U76" s="23"/>
      <c r="V76" s="23">
        <f t="shared" si="6"/>
        <v>0</v>
      </c>
      <c r="W76" s="23"/>
      <c r="X76" s="23"/>
      <c r="Y76" s="23">
        <f t="shared" si="7"/>
        <v>0</v>
      </c>
      <c r="Z76" s="23"/>
      <c r="AA76" s="23"/>
      <c r="AB76" s="23">
        <f t="shared" si="8"/>
        <v>0</v>
      </c>
    </row>
    <row r="77" spans="1:187" s="20" customFormat="1" ht="31.5" x14ac:dyDescent="0.25">
      <c r="A77" s="22" t="s">
        <v>62</v>
      </c>
      <c r="B77" s="23">
        <f t="shared" si="0"/>
        <v>0</v>
      </c>
      <c r="C77" s="23">
        <f t="shared" si="0"/>
        <v>0</v>
      </c>
      <c r="D77" s="23">
        <f t="shared" si="0"/>
        <v>0</v>
      </c>
      <c r="E77" s="23">
        <v>0</v>
      </c>
      <c r="F77" s="23">
        <v>0</v>
      </c>
      <c r="G77" s="23">
        <f t="shared" si="1"/>
        <v>0</v>
      </c>
      <c r="H77" s="23">
        <f>5362-5362</f>
        <v>0</v>
      </c>
      <c r="I77" s="23">
        <f>5362-5362</f>
        <v>0</v>
      </c>
      <c r="J77" s="23">
        <f t="shared" si="2"/>
        <v>0</v>
      </c>
      <c r="K77" s="23">
        <v>0</v>
      </c>
      <c r="L77" s="23">
        <v>0</v>
      </c>
      <c r="M77" s="23">
        <f t="shared" si="3"/>
        <v>0</v>
      </c>
      <c r="N77" s="23"/>
      <c r="O77" s="23"/>
      <c r="P77" s="23">
        <f t="shared" si="4"/>
        <v>0</v>
      </c>
      <c r="Q77" s="23"/>
      <c r="R77" s="23"/>
      <c r="S77" s="23">
        <f t="shared" si="5"/>
        <v>0</v>
      </c>
      <c r="T77" s="23"/>
      <c r="U77" s="23"/>
      <c r="V77" s="23">
        <f t="shared" si="6"/>
        <v>0</v>
      </c>
      <c r="W77" s="23"/>
      <c r="X77" s="23"/>
      <c r="Y77" s="23">
        <f t="shared" si="7"/>
        <v>0</v>
      </c>
      <c r="Z77" s="23"/>
      <c r="AA77" s="23"/>
      <c r="AB77" s="23">
        <f t="shared" si="8"/>
        <v>0</v>
      </c>
    </row>
    <row r="78" spans="1:187" s="20" customFormat="1" x14ac:dyDescent="0.25">
      <c r="A78" s="22" t="s">
        <v>63</v>
      </c>
      <c r="B78" s="23">
        <f t="shared" si="0"/>
        <v>96000</v>
      </c>
      <c r="C78" s="23">
        <f t="shared" si="0"/>
        <v>96000</v>
      </c>
      <c r="D78" s="23">
        <f t="shared" si="0"/>
        <v>0</v>
      </c>
      <c r="E78" s="23">
        <v>0</v>
      </c>
      <c r="F78" s="23">
        <v>0</v>
      </c>
      <c r="G78" s="23">
        <f t="shared" si="1"/>
        <v>0</v>
      </c>
      <c r="H78" s="23"/>
      <c r="I78" s="23"/>
      <c r="J78" s="23">
        <f t="shared" si="2"/>
        <v>0</v>
      </c>
      <c r="K78" s="23">
        <v>0</v>
      </c>
      <c r="L78" s="23">
        <v>0</v>
      </c>
      <c r="M78" s="23">
        <f t="shared" si="3"/>
        <v>0</v>
      </c>
      <c r="N78" s="23"/>
      <c r="O78" s="23"/>
      <c r="P78" s="23">
        <f t="shared" si="4"/>
        <v>0</v>
      </c>
      <c r="Q78" s="23">
        <v>96000</v>
      </c>
      <c r="R78" s="23">
        <v>96000</v>
      </c>
      <c r="S78" s="23">
        <f t="shared" si="5"/>
        <v>0</v>
      </c>
      <c r="T78" s="23"/>
      <c r="U78" s="23"/>
      <c r="V78" s="23">
        <f t="shared" si="6"/>
        <v>0</v>
      </c>
      <c r="W78" s="23"/>
      <c r="X78" s="23"/>
      <c r="Y78" s="23">
        <f t="shared" si="7"/>
        <v>0</v>
      </c>
      <c r="Z78" s="23"/>
      <c r="AA78" s="23"/>
      <c r="AB78" s="23">
        <f t="shared" si="8"/>
        <v>0</v>
      </c>
    </row>
    <row r="79" spans="1:187" s="20" customFormat="1" ht="47.25" x14ac:dyDescent="0.25">
      <c r="A79" s="22" t="s">
        <v>194</v>
      </c>
      <c r="B79" s="23">
        <f t="shared" si="0"/>
        <v>13080</v>
      </c>
      <c r="C79" s="23">
        <f t="shared" si="0"/>
        <v>13080</v>
      </c>
      <c r="D79" s="23">
        <f t="shared" si="0"/>
        <v>0</v>
      </c>
      <c r="E79" s="23">
        <v>0</v>
      </c>
      <c r="F79" s="23">
        <v>0</v>
      </c>
      <c r="G79" s="23">
        <f t="shared" si="1"/>
        <v>0</v>
      </c>
      <c r="H79" s="23">
        <v>13080</v>
      </c>
      <c r="I79" s="23">
        <v>13080</v>
      </c>
      <c r="J79" s="23">
        <f t="shared" si="2"/>
        <v>0</v>
      </c>
      <c r="K79" s="23">
        <v>0</v>
      </c>
      <c r="L79" s="23">
        <v>0</v>
      </c>
      <c r="M79" s="23">
        <f t="shared" si="3"/>
        <v>0</v>
      </c>
      <c r="N79" s="23"/>
      <c r="O79" s="23"/>
      <c r="P79" s="23">
        <f t="shared" si="4"/>
        <v>0</v>
      </c>
      <c r="Q79" s="23"/>
      <c r="R79" s="23"/>
      <c r="S79" s="23">
        <f t="shared" si="5"/>
        <v>0</v>
      </c>
      <c r="T79" s="23"/>
      <c r="U79" s="23"/>
      <c r="V79" s="23">
        <f t="shared" si="6"/>
        <v>0</v>
      </c>
      <c r="W79" s="23"/>
      <c r="X79" s="23"/>
      <c r="Y79" s="23">
        <f t="shared" si="7"/>
        <v>0</v>
      </c>
      <c r="Z79" s="23"/>
      <c r="AA79" s="23"/>
      <c r="AB79" s="23">
        <f t="shared" si="8"/>
        <v>0</v>
      </c>
    </row>
    <row r="80" spans="1:187" s="20" customFormat="1" ht="47.25" x14ac:dyDescent="0.25">
      <c r="A80" s="27" t="s">
        <v>64</v>
      </c>
      <c r="B80" s="26">
        <f t="shared" si="0"/>
        <v>150000</v>
      </c>
      <c r="C80" s="26">
        <f t="shared" si="0"/>
        <v>150000</v>
      </c>
      <c r="D80" s="26">
        <f t="shared" si="0"/>
        <v>0</v>
      </c>
      <c r="E80" s="26">
        <v>130000</v>
      </c>
      <c r="F80" s="26">
        <v>130000</v>
      </c>
      <c r="G80" s="26">
        <f t="shared" si="1"/>
        <v>0</v>
      </c>
      <c r="H80" s="26"/>
      <c r="I80" s="26"/>
      <c r="J80" s="26">
        <f t="shared" si="2"/>
        <v>0</v>
      </c>
      <c r="K80" s="26">
        <v>20000</v>
      </c>
      <c r="L80" s="26">
        <v>20000</v>
      </c>
      <c r="M80" s="26">
        <f t="shared" si="3"/>
        <v>0</v>
      </c>
      <c r="N80" s="26"/>
      <c r="O80" s="26"/>
      <c r="P80" s="26">
        <f t="shared" si="4"/>
        <v>0</v>
      </c>
      <c r="Q80" s="26"/>
      <c r="R80" s="26"/>
      <c r="S80" s="26">
        <f t="shared" si="5"/>
        <v>0</v>
      </c>
      <c r="T80" s="26"/>
      <c r="U80" s="26"/>
      <c r="V80" s="26">
        <f t="shared" si="6"/>
        <v>0</v>
      </c>
      <c r="W80" s="26"/>
      <c r="X80" s="26"/>
      <c r="Y80" s="26">
        <f t="shared" si="7"/>
        <v>0</v>
      </c>
      <c r="Z80" s="26"/>
      <c r="AA80" s="26"/>
      <c r="AB80" s="26">
        <f t="shared" si="8"/>
        <v>0</v>
      </c>
    </row>
    <row r="81" spans="1:187" s="20" customFormat="1" ht="31.5" x14ac:dyDescent="0.25">
      <c r="A81" s="27" t="s">
        <v>65</v>
      </c>
      <c r="B81" s="26">
        <f t="shared" ref="B81:D167" si="101">E81+H81+K81+N81+Q81+T81+W81+Z81</f>
        <v>51000</v>
      </c>
      <c r="C81" s="26">
        <f t="shared" si="101"/>
        <v>51000</v>
      </c>
      <c r="D81" s="26">
        <f t="shared" si="101"/>
        <v>0</v>
      </c>
      <c r="E81" s="26">
        <v>51000</v>
      </c>
      <c r="F81" s="26">
        <v>51000</v>
      </c>
      <c r="G81" s="26">
        <f t="shared" si="1"/>
        <v>0</v>
      </c>
      <c r="H81" s="26">
        <v>0</v>
      </c>
      <c r="I81" s="26">
        <v>0</v>
      </c>
      <c r="J81" s="26">
        <f t="shared" si="2"/>
        <v>0</v>
      </c>
      <c r="K81" s="26"/>
      <c r="L81" s="26"/>
      <c r="M81" s="26">
        <f t="shared" si="3"/>
        <v>0</v>
      </c>
      <c r="N81" s="26"/>
      <c r="O81" s="26"/>
      <c r="P81" s="26">
        <f t="shared" si="4"/>
        <v>0</v>
      </c>
      <c r="Q81" s="26"/>
      <c r="R81" s="26"/>
      <c r="S81" s="26">
        <f t="shared" si="5"/>
        <v>0</v>
      </c>
      <c r="T81" s="26"/>
      <c r="U81" s="26"/>
      <c r="V81" s="26">
        <f t="shared" si="6"/>
        <v>0</v>
      </c>
      <c r="W81" s="26"/>
      <c r="X81" s="26"/>
      <c r="Y81" s="26">
        <f t="shared" si="7"/>
        <v>0</v>
      </c>
      <c r="Z81" s="26"/>
      <c r="AA81" s="26"/>
      <c r="AB81" s="26">
        <f t="shared" si="8"/>
        <v>0</v>
      </c>
    </row>
    <row r="82" spans="1:187" s="20" customFormat="1" ht="63" x14ac:dyDescent="0.25">
      <c r="A82" s="31" t="s">
        <v>66</v>
      </c>
      <c r="B82" s="26">
        <f t="shared" si="101"/>
        <v>316301</v>
      </c>
      <c r="C82" s="26">
        <f t="shared" si="101"/>
        <v>421381</v>
      </c>
      <c r="D82" s="26">
        <f t="shared" si="101"/>
        <v>105080</v>
      </c>
      <c r="E82" s="26">
        <v>0</v>
      </c>
      <c r="F82" s="26">
        <f>105080</f>
        <v>105080</v>
      </c>
      <c r="G82" s="26">
        <f t="shared" ref="G82:G168" si="102">F82-E82</f>
        <v>105080</v>
      </c>
      <c r="H82" s="26">
        <v>0</v>
      </c>
      <c r="I82" s="26">
        <v>0</v>
      </c>
      <c r="J82" s="26">
        <f t="shared" ref="J82:J168" si="103">I82-H82</f>
        <v>0</v>
      </c>
      <c r="K82" s="26">
        <v>0</v>
      </c>
      <c r="L82" s="26">
        <v>0</v>
      </c>
      <c r="M82" s="26">
        <f t="shared" ref="M82:M168" si="104">L82-K82</f>
        <v>0</v>
      </c>
      <c r="N82" s="26">
        <v>316301</v>
      </c>
      <c r="O82" s="26">
        <v>316301</v>
      </c>
      <c r="P82" s="26">
        <f t="shared" ref="P82:P168" si="105">O82-N82</f>
        <v>0</v>
      </c>
      <c r="Q82" s="26"/>
      <c r="R82" s="26"/>
      <c r="S82" s="26">
        <f t="shared" ref="S82:S168" si="106">R82-Q82</f>
        <v>0</v>
      </c>
      <c r="T82" s="26"/>
      <c r="U82" s="26"/>
      <c r="V82" s="26">
        <f t="shared" ref="V82:V168" si="107">U82-T82</f>
        <v>0</v>
      </c>
      <c r="W82" s="26"/>
      <c r="X82" s="26"/>
      <c r="Y82" s="26">
        <f t="shared" ref="Y82:Y168" si="108">X82-W82</f>
        <v>0</v>
      </c>
      <c r="Z82" s="26"/>
      <c r="AA82" s="26"/>
      <c r="AB82" s="26">
        <f t="shared" ref="AB82:AB168" si="109">AA82-Z82</f>
        <v>0</v>
      </c>
    </row>
    <row r="83" spans="1:187" s="20" customFormat="1" ht="78.75" x14ac:dyDescent="0.25">
      <c r="A83" s="31" t="s">
        <v>67</v>
      </c>
      <c r="B83" s="26">
        <f t="shared" si="101"/>
        <v>2341644</v>
      </c>
      <c r="C83" s="26">
        <f t="shared" si="101"/>
        <v>2341644</v>
      </c>
      <c r="D83" s="26">
        <f t="shared" si="101"/>
        <v>0</v>
      </c>
      <c r="E83" s="26">
        <v>0</v>
      </c>
      <c r="F83" s="26">
        <v>0</v>
      </c>
      <c r="G83" s="26">
        <f t="shared" si="102"/>
        <v>0</v>
      </c>
      <c r="H83" s="26">
        <v>0</v>
      </c>
      <c r="I83" s="26">
        <v>0</v>
      </c>
      <c r="J83" s="26">
        <f t="shared" si="103"/>
        <v>0</v>
      </c>
      <c r="K83" s="26">
        <v>0</v>
      </c>
      <c r="L83" s="26">
        <v>0</v>
      </c>
      <c r="M83" s="26">
        <f t="shared" si="104"/>
        <v>0</v>
      </c>
      <c r="N83" s="26">
        <v>2341644</v>
      </c>
      <c r="O83" s="26">
        <v>2341644</v>
      </c>
      <c r="P83" s="26">
        <f t="shared" si="105"/>
        <v>0</v>
      </c>
      <c r="Q83" s="26"/>
      <c r="R83" s="26"/>
      <c r="S83" s="26">
        <f t="shared" si="106"/>
        <v>0</v>
      </c>
      <c r="T83" s="26"/>
      <c r="U83" s="26"/>
      <c r="V83" s="26">
        <f t="shared" si="107"/>
        <v>0</v>
      </c>
      <c r="W83" s="26"/>
      <c r="X83" s="26"/>
      <c r="Y83" s="26">
        <f t="shared" si="108"/>
        <v>0</v>
      </c>
      <c r="Z83" s="26"/>
      <c r="AA83" s="26"/>
      <c r="AB83" s="26">
        <f t="shared" si="109"/>
        <v>0</v>
      </c>
    </row>
    <row r="84" spans="1:187" s="20" customFormat="1" x14ac:dyDescent="0.25">
      <c r="A84" s="31" t="s">
        <v>68</v>
      </c>
      <c r="B84" s="26">
        <f t="shared" si="101"/>
        <v>7000</v>
      </c>
      <c r="C84" s="26">
        <f t="shared" si="101"/>
        <v>7000</v>
      </c>
      <c r="D84" s="26">
        <f t="shared" si="101"/>
        <v>0</v>
      </c>
      <c r="E84" s="26">
        <v>0</v>
      </c>
      <c r="F84" s="26">
        <v>0</v>
      </c>
      <c r="G84" s="26">
        <f t="shared" si="102"/>
        <v>0</v>
      </c>
      <c r="H84" s="26">
        <v>0</v>
      </c>
      <c r="I84" s="26">
        <v>0</v>
      </c>
      <c r="J84" s="26">
        <f t="shared" si="103"/>
        <v>0</v>
      </c>
      <c r="K84" s="26">
        <v>7000</v>
      </c>
      <c r="L84" s="26">
        <v>7000</v>
      </c>
      <c r="M84" s="26">
        <f t="shared" si="104"/>
        <v>0</v>
      </c>
      <c r="N84" s="26">
        <v>0</v>
      </c>
      <c r="O84" s="26">
        <v>0</v>
      </c>
      <c r="P84" s="26">
        <f t="shared" si="105"/>
        <v>0</v>
      </c>
      <c r="Q84" s="26"/>
      <c r="R84" s="26"/>
      <c r="S84" s="26">
        <f t="shared" si="106"/>
        <v>0</v>
      </c>
      <c r="T84" s="26"/>
      <c r="U84" s="26"/>
      <c r="V84" s="26">
        <f t="shared" si="107"/>
        <v>0</v>
      </c>
      <c r="W84" s="26"/>
      <c r="X84" s="26"/>
      <c r="Y84" s="26">
        <f t="shared" si="108"/>
        <v>0</v>
      </c>
      <c r="Z84" s="26"/>
      <c r="AA84" s="26"/>
      <c r="AB84" s="26">
        <f t="shared" si="109"/>
        <v>0</v>
      </c>
    </row>
    <row r="85" spans="1:187" s="20" customFormat="1" x14ac:dyDescent="0.25">
      <c r="A85" s="18" t="s">
        <v>69</v>
      </c>
      <c r="B85" s="19">
        <f t="shared" si="101"/>
        <v>2398071</v>
      </c>
      <c r="C85" s="19">
        <f t="shared" si="101"/>
        <v>4176031</v>
      </c>
      <c r="D85" s="19">
        <f t="shared" si="101"/>
        <v>1777960</v>
      </c>
      <c r="E85" s="19">
        <f t="shared" ref="E85:AA85" si="110">SUM(E86)</f>
        <v>0</v>
      </c>
      <c r="F85" s="19">
        <f t="shared" si="110"/>
        <v>1908860</v>
      </c>
      <c r="G85" s="19">
        <f t="shared" si="102"/>
        <v>1908860</v>
      </c>
      <c r="H85" s="19">
        <f t="shared" si="110"/>
        <v>0</v>
      </c>
      <c r="I85" s="19">
        <f t="shared" si="110"/>
        <v>0</v>
      </c>
      <c r="J85" s="19">
        <f t="shared" si="103"/>
        <v>0</v>
      </c>
      <c r="K85" s="19">
        <f t="shared" si="110"/>
        <v>0</v>
      </c>
      <c r="L85" s="19">
        <f t="shared" si="110"/>
        <v>0</v>
      </c>
      <c r="M85" s="19">
        <f t="shared" si="104"/>
        <v>0</v>
      </c>
      <c r="N85" s="19">
        <f t="shared" si="110"/>
        <v>2398071</v>
      </c>
      <c r="O85" s="19">
        <f t="shared" si="110"/>
        <v>1252491</v>
      </c>
      <c r="P85" s="19">
        <f t="shared" si="105"/>
        <v>-1145580</v>
      </c>
      <c r="Q85" s="19">
        <f t="shared" si="110"/>
        <v>0</v>
      </c>
      <c r="R85" s="19">
        <f t="shared" si="110"/>
        <v>0</v>
      </c>
      <c r="S85" s="19">
        <f t="shared" si="106"/>
        <v>0</v>
      </c>
      <c r="T85" s="19">
        <f t="shared" si="110"/>
        <v>0</v>
      </c>
      <c r="U85" s="19">
        <f t="shared" si="110"/>
        <v>0</v>
      </c>
      <c r="V85" s="19">
        <f t="shared" si="107"/>
        <v>0</v>
      </c>
      <c r="W85" s="19">
        <f t="shared" si="110"/>
        <v>0</v>
      </c>
      <c r="X85" s="19">
        <f t="shared" si="110"/>
        <v>0</v>
      </c>
      <c r="Y85" s="19">
        <f t="shared" si="108"/>
        <v>0</v>
      </c>
      <c r="Z85" s="19">
        <f t="shared" si="110"/>
        <v>0</v>
      </c>
      <c r="AA85" s="19">
        <f t="shared" si="110"/>
        <v>1014680</v>
      </c>
      <c r="AB85" s="19">
        <f t="shared" si="109"/>
        <v>1014680</v>
      </c>
    </row>
    <row r="86" spans="1:187" s="20" customFormat="1" x14ac:dyDescent="0.25">
      <c r="A86" s="18" t="s">
        <v>13</v>
      </c>
      <c r="B86" s="19">
        <f t="shared" si="101"/>
        <v>2398071</v>
      </c>
      <c r="C86" s="19">
        <f t="shared" si="101"/>
        <v>4176031</v>
      </c>
      <c r="D86" s="19">
        <f t="shared" si="101"/>
        <v>1777960</v>
      </c>
      <c r="E86" s="19">
        <f>SUM(E87:E88)</f>
        <v>0</v>
      </c>
      <c r="F86" s="19">
        <f>SUM(F87:F88)</f>
        <v>1908860</v>
      </c>
      <c r="G86" s="19">
        <f t="shared" si="102"/>
        <v>1908860</v>
      </c>
      <c r="H86" s="19">
        <f t="shared" ref="H86:I86" si="111">SUM(H87:H88)</f>
        <v>0</v>
      </c>
      <c r="I86" s="19">
        <f t="shared" si="111"/>
        <v>0</v>
      </c>
      <c r="J86" s="19">
        <f t="shared" si="103"/>
        <v>0</v>
      </c>
      <c r="K86" s="19">
        <f t="shared" ref="K86:L86" si="112">SUM(K87:K88)</f>
        <v>0</v>
      </c>
      <c r="L86" s="19">
        <f t="shared" si="112"/>
        <v>0</v>
      </c>
      <c r="M86" s="19">
        <f t="shared" si="104"/>
        <v>0</v>
      </c>
      <c r="N86" s="19">
        <f t="shared" ref="N86:O86" si="113">SUM(N87:N88)</f>
        <v>2398071</v>
      </c>
      <c r="O86" s="19">
        <f t="shared" si="113"/>
        <v>1252491</v>
      </c>
      <c r="P86" s="19">
        <f t="shared" si="105"/>
        <v>-1145580</v>
      </c>
      <c r="Q86" s="19">
        <f t="shared" ref="Q86:R86" si="114">SUM(Q87:Q88)</f>
        <v>0</v>
      </c>
      <c r="R86" s="19">
        <f t="shared" si="114"/>
        <v>0</v>
      </c>
      <c r="S86" s="19">
        <f t="shared" si="106"/>
        <v>0</v>
      </c>
      <c r="T86" s="19">
        <f t="shared" ref="T86:U86" si="115">SUM(T87:T88)</f>
        <v>0</v>
      </c>
      <c r="U86" s="19">
        <f t="shared" si="115"/>
        <v>0</v>
      </c>
      <c r="V86" s="19">
        <f t="shared" si="107"/>
        <v>0</v>
      </c>
      <c r="W86" s="19">
        <f t="shared" ref="W86:X86" si="116">SUM(W87:W88)</f>
        <v>0</v>
      </c>
      <c r="X86" s="19">
        <f t="shared" si="116"/>
        <v>0</v>
      </c>
      <c r="Y86" s="19">
        <f t="shared" si="108"/>
        <v>0</v>
      </c>
      <c r="Z86" s="19">
        <f t="shared" ref="Z86:AA86" si="117">SUM(Z87:Z88)</f>
        <v>0</v>
      </c>
      <c r="AA86" s="19">
        <f t="shared" si="117"/>
        <v>1014680</v>
      </c>
      <c r="AB86" s="19">
        <f t="shared" si="109"/>
        <v>1014680</v>
      </c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</row>
    <row r="87" spans="1:187" s="114" customFormat="1" ht="47.25" x14ac:dyDescent="0.25">
      <c r="A87" s="112" t="s">
        <v>321</v>
      </c>
      <c r="B87" s="113">
        <f t="shared" ref="B87" si="118">E87+H87+K87+N87+Q87+T87+W87+Z87</f>
        <v>0</v>
      </c>
      <c r="C87" s="113">
        <f t="shared" ref="C87" si="119">F87+I87+L87+O87+R87+U87+X87+AA87</f>
        <v>1908860</v>
      </c>
      <c r="D87" s="113">
        <f t="shared" ref="D87" si="120">G87+J87+M87+P87+S87+V87+Y87+AB87</f>
        <v>1908860</v>
      </c>
      <c r="E87" s="113">
        <v>0</v>
      </c>
      <c r="F87" s="113">
        <f>1032700+876160</f>
        <v>1908860</v>
      </c>
      <c r="G87" s="113">
        <f t="shared" ref="G87" si="121">F87-E87</f>
        <v>1908860</v>
      </c>
      <c r="H87" s="113"/>
      <c r="I87" s="113"/>
      <c r="J87" s="113">
        <f t="shared" ref="J87" si="122">I87-H87</f>
        <v>0</v>
      </c>
      <c r="K87" s="113"/>
      <c r="L87" s="113"/>
      <c r="M87" s="113">
        <f t="shared" ref="M87" si="123">L87-K87</f>
        <v>0</v>
      </c>
      <c r="N87" s="113"/>
      <c r="O87" s="113"/>
      <c r="P87" s="113">
        <f t="shared" ref="P87" si="124">O87-N87</f>
        <v>0</v>
      </c>
      <c r="Q87" s="113"/>
      <c r="R87" s="113"/>
      <c r="S87" s="113">
        <f t="shared" ref="S87" si="125">R87-Q87</f>
        <v>0</v>
      </c>
      <c r="T87" s="113"/>
      <c r="U87" s="113"/>
      <c r="V87" s="113">
        <f t="shared" ref="V87" si="126">U87-T87</f>
        <v>0</v>
      </c>
      <c r="W87" s="113"/>
      <c r="X87" s="113"/>
      <c r="Y87" s="113">
        <f t="shared" ref="Y87" si="127">X87-W87</f>
        <v>0</v>
      </c>
      <c r="Z87" s="113"/>
      <c r="AA87" s="113"/>
      <c r="AB87" s="113">
        <f t="shared" ref="AB87" si="128">AA87-Z87</f>
        <v>0</v>
      </c>
    </row>
    <row r="88" spans="1:187" s="20" customFormat="1" ht="94.5" x14ac:dyDescent="0.25">
      <c r="A88" s="25" t="s">
        <v>70</v>
      </c>
      <c r="B88" s="26">
        <f t="shared" si="101"/>
        <v>2398071</v>
      </c>
      <c r="C88" s="26">
        <f t="shared" si="101"/>
        <v>2267171</v>
      </c>
      <c r="D88" s="26">
        <f t="shared" si="101"/>
        <v>-130900</v>
      </c>
      <c r="E88" s="26">
        <v>0</v>
      </c>
      <c r="F88" s="26">
        <v>0</v>
      </c>
      <c r="G88" s="26">
        <f t="shared" si="102"/>
        <v>0</v>
      </c>
      <c r="H88" s="26">
        <v>0</v>
      </c>
      <c r="I88" s="26">
        <v>0</v>
      </c>
      <c r="J88" s="26">
        <f t="shared" si="103"/>
        <v>0</v>
      </c>
      <c r="K88" s="26">
        <v>0</v>
      </c>
      <c r="L88" s="26">
        <v>0</v>
      </c>
      <c r="M88" s="26">
        <f t="shared" si="104"/>
        <v>0</v>
      </c>
      <c r="N88" s="26">
        <v>2398071</v>
      </c>
      <c r="O88" s="26">
        <f>2398071-105080-876160-33440-130900</f>
        <v>1252491</v>
      </c>
      <c r="P88" s="26">
        <f t="shared" si="105"/>
        <v>-1145580</v>
      </c>
      <c r="Q88" s="26"/>
      <c r="R88" s="26"/>
      <c r="S88" s="26">
        <f t="shared" si="106"/>
        <v>0</v>
      </c>
      <c r="T88" s="26"/>
      <c r="U88" s="26"/>
      <c r="V88" s="26">
        <f t="shared" si="107"/>
        <v>0</v>
      </c>
      <c r="W88" s="26"/>
      <c r="X88" s="26"/>
      <c r="Y88" s="26">
        <f t="shared" si="108"/>
        <v>0</v>
      </c>
      <c r="Z88" s="26"/>
      <c r="AA88" s="26">
        <f>105080+876160+33440</f>
        <v>1014680</v>
      </c>
      <c r="AB88" s="26">
        <f t="shared" si="109"/>
        <v>1014680</v>
      </c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</row>
    <row r="89" spans="1:187" s="20" customFormat="1" x14ac:dyDescent="0.25">
      <c r="A89" s="18" t="s">
        <v>71</v>
      </c>
      <c r="B89" s="19">
        <f t="shared" si="101"/>
        <v>23072865</v>
      </c>
      <c r="C89" s="19">
        <f t="shared" si="101"/>
        <v>22006367</v>
      </c>
      <c r="D89" s="19">
        <f t="shared" si="101"/>
        <v>-1066498</v>
      </c>
      <c r="E89" s="19">
        <f>SUM(E90,E102,E114,E167,E213,E240,E264,E151)</f>
        <v>1229531</v>
      </c>
      <c r="F89" s="19">
        <f>SUM(F90,F102,F114,F167,F213,F240,F264,F151)</f>
        <v>454651</v>
      </c>
      <c r="G89" s="19">
        <f t="shared" si="102"/>
        <v>-774880</v>
      </c>
      <c r="H89" s="19">
        <f>SUM(H90,H102,H114,H167,H213,H240,H264,H151)</f>
        <v>31336</v>
      </c>
      <c r="I89" s="19">
        <f>SUM(I90,I102,I114,I167,I213,I240,I264,I151)</f>
        <v>31336</v>
      </c>
      <c r="J89" s="19">
        <f t="shared" si="103"/>
        <v>0</v>
      </c>
      <c r="K89" s="19">
        <f>SUM(K90,K102,K114,K167,K213,K240,K264,K151)</f>
        <v>957222</v>
      </c>
      <c r="L89" s="19">
        <f>SUM(L90,L102,L114,L167,L213,L240,L264,L151)</f>
        <v>1094500</v>
      </c>
      <c r="M89" s="19">
        <f t="shared" si="104"/>
        <v>137278</v>
      </c>
      <c r="N89" s="19">
        <f>SUM(N90,N102,N114,N167,N213,N240,N264,N151)</f>
        <v>11354268</v>
      </c>
      <c r="O89" s="19">
        <f>SUM(O90,O102,O114,O167,O213,O240,O264,O151)</f>
        <v>10918001</v>
      </c>
      <c r="P89" s="19">
        <f t="shared" si="105"/>
        <v>-436267</v>
      </c>
      <c r="Q89" s="19">
        <f>SUM(Q90,Q102,Q114,Q167,Q213,Q240,Q264,Q151)</f>
        <v>675791</v>
      </c>
      <c r="R89" s="19">
        <f>SUM(R90,R102,R114,R167,R213,R240,R264,R151)</f>
        <v>675791</v>
      </c>
      <c r="S89" s="19">
        <f t="shared" si="106"/>
        <v>0</v>
      </c>
      <c r="T89" s="19">
        <f>SUM(T90,T102,T114,T167,T213,T240,T264,T151)</f>
        <v>5024692</v>
      </c>
      <c r="U89" s="19">
        <f>SUM(U90,U102,U114,U167,U213,U240,U264,U151)</f>
        <v>5024692</v>
      </c>
      <c r="V89" s="19">
        <f t="shared" si="107"/>
        <v>0</v>
      </c>
      <c r="W89" s="19">
        <f>SUM(W90,W102,W114,W167,W213,W240,W264,W151)</f>
        <v>5481</v>
      </c>
      <c r="X89" s="19">
        <f>SUM(X90,X102,X114,X167,X213,X240,X264,X151)</f>
        <v>12852</v>
      </c>
      <c r="Y89" s="19">
        <f t="shared" si="108"/>
        <v>7371</v>
      </c>
      <c r="Z89" s="19">
        <f>SUM(Z90,Z102,Z114,Z167,Z213,Z240,Z264,Z151)</f>
        <v>3794544</v>
      </c>
      <c r="AA89" s="19">
        <f>SUM(AA90,AA102,AA114,AA167,AA213,AA240,AA264,AA151)</f>
        <v>3794544</v>
      </c>
      <c r="AB89" s="19">
        <f t="shared" si="109"/>
        <v>0</v>
      </c>
    </row>
    <row r="90" spans="1:187" s="20" customFormat="1" x14ac:dyDescent="0.25">
      <c r="A90" s="18" t="s">
        <v>12</v>
      </c>
      <c r="B90" s="19">
        <f t="shared" si="101"/>
        <v>86703</v>
      </c>
      <c r="C90" s="19">
        <f t="shared" si="101"/>
        <v>362403</v>
      </c>
      <c r="D90" s="19">
        <f t="shared" si="101"/>
        <v>275700</v>
      </c>
      <c r="E90" s="19">
        <f>SUM(E91,E95,E97,E100)</f>
        <v>0</v>
      </c>
      <c r="F90" s="19">
        <f>SUM(F91,F95,F97,F100)</f>
        <v>239800</v>
      </c>
      <c r="G90" s="19">
        <f t="shared" si="102"/>
        <v>239800</v>
      </c>
      <c r="H90" s="19">
        <f t="shared" ref="H90:I90" si="129">SUM(H91,H95,H97,H100)</f>
        <v>0</v>
      </c>
      <c r="I90" s="19">
        <f t="shared" si="129"/>
        <v>0</v>
      </c>
      <c r="J90" s="19">
        <f t="shared" si="103"/>
        <v>0</v>
      </c>
      <c r="K90" s="19">
        <f t="shared" ref="K90:L90" si="130">SUM(K91,K95,K97,K100)</f>
        <v>42559</v>
      </c>
      <c r="L90" s="19">
        <f t="shared" si="130"/>
        <v>78459</v>
      </c>
      <c r="M90" s="19">
        <f t="shared" si="104"/>
        <v>35900</v>
      </c>
      <c r="N90" s="19">
        <f t="shared" ref="N90:O90" si="131">SUM(N91,N95,N97,N100)</f>
        <v>0</v>
      </c>
      <c r="O90" s="19">
        <f t="shared" si="131"/>
        <v>0</v>
      </c>
      <c r="P90" s="19">
        <f t="shared" si="105"/>
        <v>0</v>
      </c>
      <c r="Q90" s="19">
        <f t="shared" ref="Q90:R90" si="132">SUM(Q91,Q95,Q97,Q100)</f>
        <v>0</v>
      </c>
      <c r="R90" s="19">
        <f t="shared" si="132"/>
        <v>0</v>
      </c>
      <c r="S90" s="19">
        <f t="shared" si="106"/>
        <v>0</v>
      </c>
      <c r="T90" s="19">
        <f t="shared" ref="T90:U90" si="133">SUM(T91,T95,T97,T100)</f>
        <v>0</v>
      </c>
      <c r="U90" s="19">
        <f t="shared" si="133"/>
        <v>0</v>
      </c>
      <c r="V90" s="19">
        <f t="shared" si="107"/>
        <v>0</v>
      </c>
      <c r="W90" s="19">
        <f t="shared" ref="W90:X90" si="134">SUM(W91,W95,W97,W100)</f>
        <v>0</v>
      </c>
      <c r="X90" s="19">
        <f t="shared" si="134"/>
        <v>0</v>
      </c>
      <c r="Y90" s="19">
        <f t="shared" si="108"/>
        <v>0</v>
      </c>
      <c r="Z90" s="19">
        <f t="shared" ref="Z90:AA90" si="135">SUM(Z91,Z95,Z97,Z100)</f>
        <v>44144</v>
      </c>
      <c r="AA90" s="19">
        <f t="shared" si="135"/>
        <v>44144</v>
      </c>
      <c r="AB90" s="19">
        <f t="shared" si="109"/>
        <v>0</v>
      </c>
    </row>
    <row r="91" spans="1:187" s="20" customFormat="1" x14ac:dyDescent="0.25">
      <c r="A91" s="18" t="s">
        <v>72</v>
      </c>
      <c r="B91" s="19">
        <f t="shared" si="101"/>
        <v>22559</v>
      </c>
      <c r="C91" s="19">
        <f t="shared" si="101"/>
        <v>22559</v>
      </c>
      <c r="D91" s="19">
        <f t="shared" si="101"/>
        <v>0</v>
      </c>
      <c r="E91" s="19">
        <f>SUM(E92:E94)</f>
        <v>0</v>
      </c>
      <c r="F91" s="19">
        <f>SUM(F92:F94)</f>
        <v>0</v>
      </c>
      <c r="G91" s="19">
        <f t="shared" si="102"/>
        <v>0</v>
      </c>
      <c r="H91" s="19">
        <f>SUM(H92:H94)</f>
        <v>0</v>
      </c>
      <c r="I91" s="19">
        <f>SUM(I92:I94)</f>
        <v>0</v>
      </c>
      <c r="J91" s="19">
        <f t="shared" si="103"/>
        <v>0</v>
      </c>
      <c r="K91" s="19">
        <f>SUM(K92:K94)</f>
        <v>22559</v>
      </c>
      <c r="L91" s="19">
        <f>SUM(L92:L94)</f>
        <v>22559</v>
      </c>
      <c r="M91" s="19">
        <f t="shared" si="104"/>
        <v>0</v>
      </c>
      <c r="N91" s="19">
        <f>SUM(N92:N94)</f>
        <v>0</v>
      </c>
      <c r="O91" s="19">
        <f>SUM(O92:O94)</f>
        <v>0</v>
      </c>
      <c r="P91" s="19">
        <f t="shared" si="105"/>
        <v>0</v>
      </c>
      <c r="Q91" s="19">
        <f>SUM(Q92:Q94)</f>
        <v>0</v>
      </c>
      <c r="R91" s="19">
        <f>SUM(R92:R94)</f>
        <v>0</v>
      </c>
      <c r="S91" s="19">
        <f t="shared" si="106"/>
        <v>0</v>
      </c>
      <c r="T91" s="19">
        <f>SUM(T92:T94)</f>
        <v>0</v>
      </c>
      <c r="U91" s="19">
        <f>SUM(U92:U94)</f>
        <v>0</v>
      </c>
      <c r="V91" s="19">
        <f t="shared" si="107"/>
        <v>0</v>
      </c>
      <c r="W91" s="19">
        <f t="shared" ref="W91" si="136">SUM(W92:W94)</f>
        <v>0</v>
      </c>
      <c r="X91" s="19">
        <f t="shared" ref="X91" si="137">SUM(X92:X94)</f>
        <v>0</v>
      </c>
      <c r="Y91" s="19">
        <f t="shared" si="108"/>
        <v>0</v>
      </c>
      <c r="Z91" s="19">
        <f>SUM(Z92:Z94)</f>
        <v>0</v>
      </c>
      <c r="AA91" s="19">
        <f>SUM(AA92:AA94)</f>
        <v>0</v>
      </c>
      <c r="AB91" s="19">
        <f t="shared" si="109"/>
        <v>0</v>
      </c>
    </row>
    <row r="92" spans="1:187" s="20" customFormat="1" x14ac:dyDescent="0.25">
      <c r="A92" s="25" t="s">
        <v>73</v>
      </c>
      <c r="B92" s="26">
        <f t="shared" si="101"/>
        <v>20000</v>
      </c>
      <c r="C92" s="26">
        <f t="shared" si="101"/>
        <v>20000</v>
      </c>
      <c r="D92" s="26">
        <f t="shared" si="101"/>
        <v>0</v>
      </c>
      <c r="E92" s="26">
        <v>0</v>
      </c>
      <c r="F92" s="26">
        <v>0</v>
      </c>
      <c r="G92" s="26">
        <f t="shared" si="102"/>
        <v>0</v>
      </c>
      <c r="H92" s="26"/>
      <c r="I92" s="26"/>
      <c r="J92" s="26">
        <f t="shared" si="103"/>
        <v>0</v>
      </c>
      <c r="K92" s="26">
        <v>20000</v>
      </c>
      <c r="L92" s="26">
        <v>20000</v>
      </c>
      <c r="M92" s="26">
        <f t="shared" si="104"/>
        <v>0</v>
      </c>
      <c r="N92" s="26"/>
      <c r="O92" s="26"/>
      <c r="P92" s="26">
        <f t="shared" si="105"/>
        <v>0</v>
      </c>
      <c r="Q92" s="26"/>
      <c r="R92" s="26"/>
      <c r="S92" s="26">
        <f t="shared" si="106"/>
        <v>0</v>
      </c>
      <c r="T92" s="26"/>
      <c r="U92" s="26"/>
      <c r="V92" s="26">
        <f t="shared" si="107"/>
        <v>0</v>
      </c>
      <c r="W92" s="26"/>
      <c r="X92" s="26"/>
      <c r="Y92" s="26">
        <f t="shared" si="108"/>
        <v>0</v>
      </c>
      <c r="Z92" s="26"/>
      <c r="AA92" s="26"/>
      <c r="AB92" s="26">
        <f t="shared" si="109"/>
        <v>0</v>
      </c>
    </row>
    <row r="93" spans="1:187" s="20" customFormat="1" x14ac:dyDescent="0.25">
      <c r="A93" s="32" t="s">
        <v>199</v>
      </c>
      <c r="B93" s="26">
        <f t="shared" si="101"/>
        <v>1680</v>
      </c>
      <c r="C93" s="26">
        <f t="shared" si="101"/>
        <v>1680</v>
      </c>
      <c r="D93" s="26">
        <f t="shared" si="101"/>
        <v>0</v>
      </c>
      <c r="E93" s="26">
        <v>0</v>
      </c>
      <c r="F93" s="26">
        <v>0</v>
      </c>
      <c r="G93" s="26">
        <f t="shared" si="102"/>
        <v>0</v>
      </c>
      <c r="H93" s="26">
        <v>0</v>
      </c>
      <c r="I93" s="26">
        <v>0</v>
      </c>
      <c r="J93" s="26">
        <f t="shared" si="103"/>
        <v>0</v>
      </c>
      <c r="K93" s="26">
        <v>1680</v>
      </c>
      <c r="L93" s="26">
        <v>1680</v>
      </c>
      <c r="M93" s="26">
        <f t="shared" si="104"/>
        <v>0</v>
      </c>
      <c r="N93" s="26"/>
      <c r="O93" s="26"/>
      <c r="P93" s="26">
        <f t="shared" si="105"/>
        <v>0</v>
      </c>
      <c r="Q93" s="26"/>
      <c r="R93" s="26"/>
      <c r="S93" s="26">
        <f t="shared" si="106"/>
        <v>0</v>
      </c>
      <c r="T93" s="26"/>
      <c r="U93" s="26"/>
      <c r="V93" s="26">
        <f t="shared" si="107"/>
        <v>0</v>
      </c>
      <c r="W93" s="26"/>
      <c r="X93" s="26"/>
      <c r="Y93" s="26">
        <f t="shared" si="108"/>
        <v>0</v>
      </c>
      <c r="Z93" s="26"/>
      <c r="AA93" s="26"/>
      <c r="AB93" s="26">
        <f t="shared" si="109"/>
        <v>0</v>
      </c>
    </row>
    <row r="94" spans="1:187" s="20" customFormat="1" ht="31.5" x14ac:dyDescent="0.25">
      <c r="A94" s="32" t="s">
        <v>193</v>
      </c>
      <c r="B94" s="26">
        <f t="shared" si="101"/>
        <v>879</v>
      </c>
      <c r="C94" s="26">
        <f t="shared" si="101"/>
        <v>879</v>
      </c>
      <c r="D94" s="26">
        <f t="shared" si="101"/>
        <v>0</v>
      </c>
      <c r="E94" s="26">
        <v>0</v>
      </c>
      <c r="F94" s="26">
        <v>0</v>
      </c>
      <c r="G94" s="26">
        <f t="shared" si="102"/>
        <v>0</v>
      </c>
      <c r="H94" s="26">
        <v>0</v>
      </c>
      <c r="I94" s="26">
        <v>0</v>
      </c>
      <c r="J94" s="26">
        <f t="shared" si="103"/>
        <v>0</v>
      </c>
      <c r="K94" s="26">
        <v>879</v>
      </c>
      <c r="L94" s="26">
        <v>879</v>
      </c>
      <c r="M94" s="26">
        <f t="shared" si="104"/>
        <v>0</v>
      </c>
      <c r="N94" s="26"/>
      <c r="O94" s="26"/>
      <c r="P94" s="26">
        <f t="shared" si="105"/>
        <v>0</v>
      </c>
      <c r="Q94" s="26"/>
      <c r="R94" s="26"/>
      <c r="S94" s="26">
        <f t="shared" si="106"/>
        <v>0</v>
      </c>
      <c r="T94" s="26"/>
      <c r="U94" s="26"/>
      <c r="V94" s="26">
        <f t="shared" si="107"/>
        <v>0</v>
      </c>
      <c r="W94" s="26"/>
      <c r="X94" s="26"/>
      <c r="Y94" s="26">
        <f t="shared" si="108"/>
        <v>0</v>
      </c>
      <c r="Z94" s="26"/>
      <c r="AA94" s="26"/>
      <c r="AB94" s="26">
        <f t="shared" si="109"/>
        <v>0</v>
      </c>
    </row>
    <row r="95" spans="1:187" s="17" customFormat="1" x14ac:dyDescent="0.25">
      <c r="A95" s="18" t="s">
        <v>74</v>
      </c>
      <c r="B95" s="19">
        <f t="shared" si="101"/>
        <v>44144</v>
      </c>
      <c r="C95" s="19">
        <f t="shared" si="101"/>
        <v>44144</v>
      </c>
      <c r="D95" s="19">
        <f t="shared" si="101"/>
        <v>0</v>
      </c>
      <c r="E95" s="19">
        <f t="shared" ref="E95:AA95" si="138">SUM(E96:E96)</f>
        <v>0</v>
      </c>
      <c r="F95" s="19">
        <f t="shared" si="138"/>
        <v>0</v>
      </c>
      <c r="G95" s="19">
        <f t="shared" si="102"/>
        <v>0</v>
      </c>
      <c r="H95" s="19">
        <f t="shared" si="138"/>
        <v>0</v>
      </c>
      <c r="I95" s="19">
        <f t="shared" si="138"/>
        <v>0</v>
      </c>
      <c r="J95" s="19">
        <f t="shared" si="103"/>
        <v>0</v>
      </c>
      <c r="K95" s="19">
        <f t="shared" si="138"/>
        <v>0</v>
      </c>
      <c r="L95" s="19">
        <f t="shared" si="138"/>
        <v>0</v>
      </c>
      <c r="M95" s="19">
        <f t="shared" si="104"/>
        <v>0</v>
      </c>
      <c r="N95" s="19">
        <f t="shared" si="138"/>
        <v>0</v>
      </c>
      <c r="O95" s="19">
        <f t="shared" si="138"/>
        <v>0</v>
      </c>
      <c r="P95" s="19">
        <f t="shared" si="105"/>
        <v>0</v>
      </c>
      <c r="Q95" s="19">
        <f t="shared" si="138"/>
        <v>0</v>
      </c>
      <c r="R95" s="19">
        <f t="shared" si="138"/>
        <v>0</v>
      </c>
      <c r="S95" s="19">
        <f t="shared" si="106"/>
        <v>0</v>
      </c>
      <c r="T95" s="19">
        <f t="shared" si="138"/>
        <v>0</v>
      </c>
      <c r="U95" s="19">
        <f t="shared" si="138"/>
        <v>0</v>
      </c>
      <c r="V95" s="19">
        <f t="shared" si="107"/>
        <v>0</v>
      </c>
      <c r="W95" s="19">
        <f t="shared" si="138"/>
        <v>0</v>
      </c>
      <c r="X95" s="19">
        <f t="shared" si="138"/>
        <v>0</v>
      </c>
      <c r="Y95" s="19">
        <f t="shared" si="108"/>
        <v>0</v>
      </c>
      <c r="Z95" s="19">
        <f t="shared" si="138"/>
        <v>44144</v>
      </c>
      <c r="AA95" s="19">
        <f t="shared" si="138"/>
        <v>44144</v>
      </c>
      <c r="AB95" s="19">
        <f t="shared" si="109"/>
        <v>0</v>
      </c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</row>
    <row r="96" spans="1:187" s="20" customFormat="1" ht="47.25" x14ac:dyDescent="0.25">
      <c r="A96" s="27" t="s">
        <v>75</v>
      </c>
      <c r="B96" s="26">
        <f t="shared" si="101"/>
        <v>44144</v>
      </c>
      <c r="C96" s="26">
        <f t="shared" si="101"/>
        <v>44144</v>
      </c>
      <c r="D96" s="26">
        <f t="shared" si="101"/>
        <v>0</v>
      </c>
      <c r="E96" s="26">
        <v>0</v>
      </c>
      <c r="F96" s="26">
        <v>0</v>
      </c>
      <c r="G96" s="26">
        <f t="shared" si="102"/>
        <v>0</v>
      </c>
      <c r="H96" s="26"/>
      <c r="I96" s="26"/>
      <c r="J96" s="26">
        <f t="shared" si="103"/>
        <v>0</v>
      </c>
      <c r="K96" s="26"/>
      <c r="L96" s="26"/>
      <c r="M96" s="26">
        <f t="shared" si="104"/>
        <v>0</v>
      </c>
      <c r="N96" s="26"/>
      <c r="O96" s="26"/>
      <c r="P96" s="26">
        <f t="shared" si="105"/>
        <v>0</v>
      </c>
      <c r="Q96" s="26"/>
      <c r="R96" s="26"/>
      <c r="S96" s="26">
        <f t="shared" si="106"/>
        <v>0</v>
      </c>
      <c r="T96" s="26"/>
      <c r="U96" s="26"/>
      <c r="V96" s="26">
        <f t="shared" si="107"/>
        <v>0</v>
      </c>
      <c r="W96" s="26"/>
      <c r="X96" s="26"/>
      <c r="Y96" s="26">
        <f t="shared" si="108"/>
        <v>0</v>
      </c>
      <c r="Z96" s="26">
        <v>44144</v>
      </c>
      <c r="AA96" s="26">
        <v>44144</v>
      </c>
      <c r="AB96" s="26">
        <f t="shared" si="109"/>
        <v>0</v>
      </c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</row>
    <row r="97" spans="1:187" s="20" customFormat="1" ht="31.5" x14ac:dyDescent="0.25">
      <c r="A97" s="18" t="s">
        <v>76</v>
      </c>
      <c r="B97" s="19">
        <f t="shared" si="101"/>
        <v>20000</v>
      </c>
      <c r="C97" s="19">
        <f t="shared" si="101"/>
        <v>259800</v>
      </c>
      <c r="D97" s="19">
        <f t="shared" si="101"/>
        <v>239800</v>
      </c>
      <c r="E97" s="19">
        <f t="shared" ref="E97" si="139">SUM(E98:E99)</f>
        <v>0</v>
      </c>
      <c r="F97" s="19">
        <f t="shared" ref="F97:AA97" si="140">SUM(F98:F99)</f>
        <v>239800</v>
      </c>
      <c r="G97" s="19">
        <f t="shared" si="102"/>
        <v>239800</v>
      </c>
      <c r="H97" s="19">
        <f t="shared" ref="H97" si="141">SUM(H98:H99)</f>
        <v>0</v>
      </c>
      <c r="I97" s="19">
        <f t="shared" si="140"/>
        <v>0</v>
      </c>
      <c r="J97" s="19">
        <f t="shared" si="103"/>
        <v>0</v>
      </c>
      <c r="K97" s="19">
        <f t="shared" ref="K97" si="142">SUM(K98:K99)</f>
        <v>20000</v>
      </c>
      <c r="L97" s="19">
        <f t="shared" si="140"/>
        <v>20000</v>
      </c>
      <c r="M97" s="19">
        <f t="shared" si="104"/>
        <v>0</v>
      </c>
      <c r="N97" s="19">
        <f t="shared" ref="N97" si="143">SUM(N98:N99)</f>
        <v>0</v>
      </c>
      <c r="O97" s="19">
        <f t="shared" si="140"/>
        <v>0</v>
      </c>
      <c r="P97" s="19">
        <f t="shared" si="105"/>
        <v>0</v>
      </c>
      <c r="Q97" s="19">
        <f t="shared" ref="Q97" si="144">SUM(Q98:Q99)</f>
        <v>0</v>
      </c>
      <c r="R97" s="19">
        <f t="shared" si="140"/>
        <v>0</v>
      </c>
      <c r="S97" s="19">
        <f t="shared" si="106"/>
        <v>0</v>
      </c>
      <c r="T97" s="19">
        <f t="shared" ref="T97" si="145">SUM(T98:T99)</f>
        <v>0</v>
      </c>
      <c r="U97" s="19">
        <f t="shared" si="140"/>
        <v>0</v>
      </c>
      <c r="V97" s="19">
        <f t="shared" si="107"/>
        <v>0</v>
      </c>
      <c r="W97" s="19">
        <f t="shared" ref="W97" si="146">SUM(W98:W99)</f>
        <v>0</v>
      </c>
      <c r="X97" s="19">
        <f t="shared" si="140"/>
        <v>0</v>
      </c>
      <c r="Y97" s="19">
        <f t="shared" si="108"/>
        <v>0</v>
      </c>
      <c r="Z97" s="19">
        <f t="shared" ref="Z97" si="147">SUM(Z98:Z99)</f>
        <v>0</v>
      </c>
      <c r="AA97" s="19">
        <f t="shared" si="140"/>
        <v>0</v>
      </c>
      <c r="AB97" s="19">
        <f t="shared" si="109"/>
        <v>0</v>
      </c>
    </row>
    <row r="98" spans="1:187" s="20" customFormat="1" ht="47.25" x14ac:dyDescent="0.25">
      <c r="A98" s="32" t="s">
        <v>251</v>
      </c>
      <c r="B98" s="26">
        <f t="shared" si="101"/>
        <v>0</v>
      </c>
      <c r="C98" s="26">
        <f t="shared" si="101"/>
        <v>239800</v>
      </c>
      <c r="D98" s="26">
        <f t="shared" si="101"/>
        <v>239800</v>
      </c>
      <c r="E98" s="26">
        <v>0</v>
      </c>
      <c r="F98" s="26">
        <v>239800</v>
      </c>
      <c r="G98" s="26">
        <f t="shared" si="102"/>
        <v>239800</v>
      </c>
      <c r="H98" s="26">
        <f>5788-5788</f>
        <v>0</v>
      </c>
      <c r="I98" s="26">
        <f>5788-5788</f>
        <v>0</v>
      </c>
      <c r="J98" s="26">
        <f t="shared" si="103"/>
        <v>0</v>
      </c>
      <c r="K98" s="26">
        <v>0</v>
      </c>
      <c r="L98" s="26">
        <v>0</v>
      </c>
      <c r="M98" s="26">
        <f t="shared" si="104"/>
        <v>0</v>
      </c>
      <c r="N98" s="26"/>
      <c r="O98" s="26"/>
      <c r="P98" s="26">
        <f t="shared" si="105"/>
        <v>0</v>
      </c>
      <c r="Q98" s="26"/>
      <c r="R98" s="26"/>
      <c r="S98" s="26">
        <f t="shared" si="106"/>
        <v>0</v>
      </c>
      <c r="T98" s="26"/>
      <c r="U98" s="26"/>
      <c r="V98" s="26">
        <f t="shared" si="107"/>
        <v>0</v>
      </c>
      <c r="W98" s="26"/>
      <c r="X98" s="26"/>
      <c r="Y98" s="26">
        <f t="shared" si="108"/>
        <v>0</v>
      </c>
      <c r="Z98" s="26"/>
      <c r="AA98" s="26"/>
      <c r="AB98" s="26">
        <f t="shared" si="109"/>
        <v>0</v>
      </c>
    </row>
    <row r="99" spans="1:187" s="20" customFormat="1" ht="31.5" x14ac:dyDescent="0.25">
      <c r="A99" s="32" t="s">
        <v>241</v>
      </c>
      <c r="B99" s="26">
        <f t="shared" si="101"/>
        <v>20000</v>
      </c>
      <c r="C99" s="26">
        <f t="shared" si="101"/>
        <v>20000</v>
      </c>
      <c r="D99" s="26">
        <f t="shared" si="101"/>
        <v>0</v>
      </c>
      <c r="E99" s="26">
        <v>0</v>
      </c>
      <c r="F99" s="26">
        <v>0</v>
      </c>
      <c r="G99" s="26">
        <f t="shared" si="102"/>
        <v>0</v>
      </c>
      <c r="H99" s="26"/>
      <c r="I99" s="26"/>
      <c r="J99" s="26">
        <f t="shared" si="103"/>
        <v>0</v>
      </c>
      <c r="K99" s="26">
        <v>20000</v>
      </c>
      <c r="L99" s="26">
        <v>20000</v>
      </c>
      <c r="M99" s="26">
        <f t="shared" si="104"/>
        <v>0</v>
      </c>
      <c r="N99" s="26"/>
      <c r="O99" s="26"/>
      <c r="P99" s="26">
        <f t="shared" si="105"/>
        <v>0</v>
      </c>
      <c r="Q99" s="26"/>
      <c r="R99" s="26"/>
      <c r="S99" s="26">
        <f t="shared" si="106"/>
        <v>0</v>
      </c>
      <c r="T99" s="26"/>
      <c r="U99" s="26"/>
      <c r="V99" s="26">
        <f t="shared" si="107"/>
        <v>0</v>
      </c>
      <c r="W99" s="26"/>
      <c r="X99" s="26"/>
      <c r="Y99" s="26">
        <f t="shared" si="108"/>
        <v>0</v>
      </c>
      <c r="Z99" s="26"/>
      <c r="AA99" s="26"/>
      <c r="AB99" s="26">
        <f t="shared" si="109"/>
        <v>0</v>
      </c>
    </row>
    <row r="100" spans="1:187" s="20" customFormat="1" x14ac:dyDescent="0.25">
      <c r="A100" s="18" t="s">
        <v>114</v>
      </c>
      <c r="B100" s="19">
        <f t="shared" si="101"/>
        <v>0</v>
      </c>
      <c r="C100" s="19">
        <f t="shared" si="101"/>
        <v>35900</v>
      </c>
      <c r="D100" s="19">
        <f t="shared" si="101"/>
        <v>35900</v>
      </c>
      <c r="E100" s="19">
        <f>SUM(E101:E101)</f>
        <v>0</v>
      </c>
      <c r="F100" s="19">
        <f>SUM(F101:F101)</f>
        <v>0</v>
      </c>
      <c r="G100" s="19">
        <f t="shared" si="102"/>
        <v>0</v>
      </c>
      <c r="H100" s="19">
        <f>SUM(H101:H101)</f>
        <v>0</v>
      </c>
      <c r="I100" s="19">
        <f>SUM(I101:I101)</f>
        <v>0</v>
      </c>
      <c r="J100" s="19">
        <f t="shared" si="103"/>
        <v>0</v>
      </c>
      <c r="K100" s="19">
        <f>SUM(K101:K101)</f>
        <v>0</v>
      </c>
      <c r="L100" s="19">
        <f>SUM(L101:L101)</f>
        <v>35900</v>
      </c>
      <c r="M100" s="19">
        <f t="shared" si="104"/>
        <v>35900</v>
      </c>
      <c r="N100" s="19">
        <f>SUM(N101:N101)</f>
        <v>0</v>
      </c>
      <c r="O100" s="19">
        <f>SUM(O101:O101)</f>
        <v>0</v>
      </c>
      <c r="P100" s="19">
        <f t="shared" si="105"/>
        <v>0</v>
      </c>
      <c r="Q100" s="19">
        <f>SUM(Q101:Q101)</f>
        <v>0</v>
      </c>
      <c r="R100" s="19">
        <f>SUM(R101:R101)</f>
        <v>0</v>
      </c>
      <c r="S100" s="19">
        <f t="shared" si="106"/>
        <v>0</v>
      </c>
      <c r="T100" s="19">
        <f>SUM(T101:T101)</f>
        <v>0</v>
      </c>
      <c r="U100" s="19">
        <f>SUM(U101:U101)</f>
        <v>0</v>
      </c>
      <c r="V100" s="19">
        <f t="shared" si="107"/>
        <v>0</v>
      </c>
      <c r="W100" s="19">
        <f>SUM(W101:W101)</f>
        <v>0</v>
      </c>
      <c r="X100" s="19">
        <f>SUM(X101:X101)</f>
        <v>0</v>
      </c>
      <c r="Y100" s="19">
        <f t="shared" si="108"/>
        <v>0</v>
      </c>
      <c r="Z100" s="19">
        <f>SUM(Z101:Z101)</f>
        <v>0</v>
      </c>
      <c r="AA100" s="19">
        <f>SUM(AA101:AA101)</f>
        <v>0</v>
      </c>
      <c r="AB100" s="19">
        <f t="shared" si="109"/>
        <v>0</v>
      </c>
    </row>
    <row r="101" spans="1:187" s="17" customFormat="1" ht="31.5" x14ac:dyDescent="0.25">
      <c r="A101" s="28" t="s">
        <v>250</v>
      </c>
      <c r="B101" s="30">
        <f t="shared" ref="B101" si="148">E101+H101+K101+N101+Q101+T101+W101+Z101</f>
        <v>0</v>
      </c>
      <c r="C101" s="30">
        <f t="shared" ref="C101" si="149">F101+I101+L101+O101+R101+U101+X101+AA101</f>
        <v>35900</v>
      </c>
      <c r="D101" s="30">
        <f t="shared" ref="D101" si="150">G101+J101+M101+P101+S101+V101+Y101+AB101</f>
        <v>35900</v>
      </c>
      <c r="E101" s="30"/>
      <c r="F101" s="30"/>
      <c r="G101" s="30">
        <f t="shared" si="102"/>
        <v>0</v>
      </c>
      <c r="H101" s="30"/>
      <c r="I101" s="30"/>
      <c r="J101" s="30">
        <f t="shared" si="103"/>
        <v>0</v>
      </c>
      <c r="K101" s="30">
        <v>0</v>
      </c>
      <c r="L101" s="30">
        <v>35900</v>
      </c>
      <c r="M101" s="30">
        <f t="shared" si="104"/>
        <v>35900</v>
      </c>
      <c r="N101" s="30"/>
      <c r="O101" s="30"/>
      <c r="P101" s="30">
        <f t="shared" si="105"/>
        <v>0</v>
      </c>
      <c r="Q101" s="30"/>
      <c r="R101" s="30"/>
      <c r="S101" s="30">
        <f t="shared" si="106"/>
        <v>0</v>
      </c>
      <c r="T101" s="30"/>
      <c r="U101" s="30"/>
      <c r="V101" s="30">
        <f t="shared" si="107"/>
        <v>0</v>
      </c>
      <c r="W101" s="30"/>
      <c r="X101" s="30"/>
      <c r="Y101" s="30">
        <f t="shared" si="108"/>
        <v>0</v>
      </c>
      <c r="Z101" s="30"/>
      <c r="AA101" s="30"/>
      <c r="AB101" s="30">
        <f t="shared" si="109"/>
        <v>0</v>
      </c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</row>
    <row r="102" spans="1:187" s="20" customFormat="1" x14ac:dyDescent="0.25">
      <c r="A102" s="24" t="s">
        <v>17</v>
      </c>
      <c r="B102" s="21">
        <f t="shared" si="101"/>
        <v>70934</v>
      </c>
      <c r="C102" s="21">
        <f t="shared" si="101"/>
        <v>70934</v>
      </c>
      <c r="D102" s="21">
        <f t="shared" si="101"/>
        <v>0</v>
      </c>
      <c r="E102" s="21">
        <f t="shared" ref="E102" si="151">SUM(E103,E105,E110)</f>
        <v>0</v>
      </c>
      <c r="F102" s="21">
        <f t="shared" ref="F102:AA102" si="152">SUM(F103,F105,F110)</f>
        <v>0</v>
      </c>
      <c r="G102" s="21">
        <f t="shared" si="102"/>
        <v>0</v>
      </c>
      <c r="H102" s="21">
        <f t="shared" ref="H102" si="153">SUM(H103,H105,H110)</f>
        <v>6060</v>
      </c>
      <c r="I102" s="21">
        <f t="shared" si="152"/>
        <v>6060</v>
      </c>
      <c r="J102" s="21">
        <f t="shared" si="103"/>
        <v>0</v>
      </c>
      <c r="K102" s="21">
        <f t="shared" ref="K102" si="154">SUM(K103,K105,K110)</f>
        <v>37357</v>
      </c>
      <c r="L102" s="21">
        <f t="shared" si="152"/>
        <v>37357</v>
      </c>
      <c r="M102" s="21">
        <f t="shared" si="104"/>
        <v>0</v>
      </c>
      <c r="N102" s="21">
        <f t="shared" ref="N102" si="155">SUM(N103,N105,N110)</f>
        <v>0</v>
      </c>
      <c r="O102" s="21">
        <f t="shared" si="152"/>
        <v>0</v>
      </c>
      <c r="P102" s="21">
        <f t="shared" si="105"/>
        <v>0</v>
      </c>
      <c r="Q102" s="21">
        <f t="shared" ref="Q102" si="156">SUM(Q103,Q105,Q110)</f>
        <v>27517</v>
      </c>
      <c r="R102" s="21">
        <f t="shared" si="152"/>
        <v>27517</v>
      </c>
      <c r="S102" s="21">
        <f t="shared" si="106"/>
        <v>0</v>
      </c>
      <c r="T102" s="21">
        <f t="shared" ref="T102" si="157">SUM(T103,T105,T110)</f>
        <v>0</v>
      </c>
      <c r="U102" s="21">
        <f t="shared" si="152"/>
        <v>0</v>
      </c>
      <c r="V102" s="21">
        <f t="shared" si="107"/>
        <v>0</v>
      </c>
      <c r="W102" s="21">
        <f t="shared" ref="W102" si="158">SUM(W103,W105,W110)</f>
        <v>0</v>
      </c>
      <c r="X102" s="21">
        <f t="shared" si="152"/>
        <v>0</v>
      </c>
      <c r="Y102" s="21">
        <f t="shared" si="108"/>
        <v>0</v>
      </c>
      <c r="Z102" s="21">
        <f t="shared" ref="Z102" si="159">SUM(Z103,Z105,Z110)</f>
        <v>0</v>
      </c>
      <c r="AA102" s="21">
        <f t="shared" si="152"/>
        <v>0</v>
      </c>
      <c r="AB102" s="21">
        <f t="shared" si="109"/>
        <v>0</v>
      </c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  <c r="FY102" s="17"/>
      <c r="FZ102" s="17"/>
      <c r="GA102" s="17"/>
      <c r="GB102" s="17"/>
      <c r="GC102" s="17"/>
      <c r="GD102" s="17"/>
      <c r="GE102" s="17"/>
    </row>
    <row r="103" spans="1:187" s="20" customFormat="1" x14ac:dyDescent="0.25">
      <c r="A103" s="18" t="s">
        <v>72</v>
      </c>
      <c r="B103" s="19">
        <f t="shared" si="101"/>
        <v>8318</v>
      </c>
      <c r="C103" s="19">
        <f t="shared" si="101"/>
        <v>8318</v>
      </c>
      <c r="D103" s="19">
        <f t="shared" si="101"/>
        <v>0</v>
      </c>
      <c r="E103" s="19">
        <f t="shared" ref="E103:AA103" si="160">SUM(E104:E104)</f>
        <v>0</v>
      </c>
      <c r="F103" s="19">
        <f t="shared" si="160"/>
        <v>0</v>
      </c>
      <c r="G103" s="19">
        <f t="shared" si="102"/>
        <v>0</v>
      </c>
      <c r="H103" s="19">
        <f t="shared" si="160"/>
        <v>0</v>
      </c>
      <c r="I103" s="19">
        <f t="shared" si="160"/>
        <v>0</v>
      </c>
      <c r="J103" s="19">
        <f t="shared" si="103"/>
        <v>0</v>
      </c>
      <c r="K103" s="19">
        <f t="shared" si="160"/>
        <v>2662</v>
      </c>
      <c r="L103" s="19">
        <f t="shared" si="160"/>
        <v>2662</v>
      </c>
      <c r="M103" s="19">
        <f t="shared" si="104"/>
        <v>0</v>
      </c>
      <c r="N103" s="19">
        <f t="shared" si="160"/>
        <v>0</v>
      </c>
      <c r="O103" s="19">
        <f t="shared" si="160"/>
        <v>0</v>
      </c>
      <c r="P103" s="19">
        <f t="shared" si="105"/>
        <v>0</v>
      </c>
      <c r="Q103" s="19">
        <f t="shared" si="160"/>
        <v>5656</v>
      </c>
      <c r="R103" s="19">
        <f t="shared" si="160"/>
        <v>5656</v>
      </c>
      <c r="S103" s="19">
        <f t="shared" si="106"/>
        <v>0</v>
      </c>
      <c r="T103" s="19">
        <f t="shared" si="160"/>
        <v>0</v>
      </c>
      <c r="U103" s="19">
        <f t="shared" si="160"/>
        <v>0</v>
      </c>
      <c r="V103" s="19">
        <f t="shared" si="107"/>
        <v>0</v>
      </c>
      <c r="W103" s="19">
        <f t="shared" si="160"/>
        <v>0</v>
      </c>
      <c r="X103" s="19">
        <f t="shared" si="160"/>
        <v>0</v>
      </c>
      <c r="Y103" s="19">
        <f t="shared" si="108"/>
        <v>0</v>
      </c>
      <c r="Z103" s="19">
        <f t="shared" si="160"/>
        <v>0</v>
      </c>
      <c r="AA103" s="19">
        <f t="shared" si="160"/>
        <v>0</v>
      </c>
      <c r="AB103" s="19">
        <f t="shared" si="109"/>
        <v>0</v>
      </c>
    </row>
    <row r="104" spans="1:187" s="20" customFormat="1" ht="31.5" x14ac:dyDescent="0.25">
      <c r="A104" s="25" t="s">
        <v>77</v>
      </c>
      <c r="B104" s="26">
        <f t="shared" si="101"/>
        <v>8318</v>
      </c>
      <c r="C104" s="26">
        <f t="shared" si="101"/>
        <v>8318</v>
      </c>
      <c r="D104" s="26">
        <f t="shared" si="101"/>
        <v>0</v>
      </c>
      <c r="E104" s="26">
        <v>0</v>
      </c>
      <c r="F104" s="26">
        <v>0</v>
      </c>
      <c r="G104" s="26">
        <f t="shared" si="102"/>
        <v>0</v>
      </c>
      <c r="H104" s="26"/>
      <c r="I104" s="26"/>
      <c r="J104" s="26">
        <f t="shared" si="103"/>
        <v>0</v>
      </c>
      <c r="K104" s="26">
        <f>1744+918</f>
        <v>2662</v>
      </c>
      <c r="L104" s="26">
        <f>1744+918</f>
        <v>2662</v>
      </c>
      <c r="M104" s="26">
        <f t="shared" si="104"/>
        <v>0</v>
      </c>
      <c r="N104" s="26"/>
      <c r="O104" s="26"/>
      <c r="P104" s="26">
        <f t="shared" si="105"/>
        <v>0</v>
      </c>
      <c r="Q104" s="26">
        <v>5656</v>
      </c>
      <c r="R104" s="26">
        <v>5656</v>
      </c>
      <c r="S104" s="26">
        <f t="shared" si="106"/>
        <v>0</v>
      </c>
      <c r="T104" s="26"/>
      <c r="U104" s="26"/>
      <c r="V104" s="26">
        <f t="shared" si="107"/>
        <v>0</v>
      </c>
      <c r="W104" s="26"/>
      <c r="X104" s="26"/>
      <c r="Y104" s="26">
        <f t="shared" si="108"/>
        <v>0</v>
      </c>
      <c r="Z104" s="26"/>
      <c r="AA104" s="26"/>
      <c r="AB104" s="26">
        <f t="shared" si="109"/>
        <v>0</v>
      </c>
    </row>
    <row r="105" spans="1:187" s="20" customFormat="1" ht="31.5" x14ac:dyDescent="0.25">
      <c r="A105" s="18" t="s">
        <v>76</v>
      </c>
      <c r="B105" s="21">
        <f t="shared" si="101"/>
        <v>41011</v>
      </c>
      <c r="C105" s="21">
        <f t="shared" si="101"/>
        <v>41011</v>
      </c>
      <c r="D105" s="21">
        <f t="shared" si="101"/>
        <v>0</v>
      </c>
      <c r="E105" s="21">
        <f t="shared" ref="E105" si="161">SUM(E106:E109)</f>
        <v>0</v>
      </c>
      <c r="F105" s="21">
        <f t="shared" ref="F105:AA105" si="162">SUM(F106:F109)</f>
        <v>0</v>
      </c>
      <c r="G105" s="21">
        <f t="shared" si="102"/>
        <v>0</v>
      </c>
      <c r="H105" s="21">
        <f t="shared" ref="H105" si="163">SUM(H106:H109)</f>
        <v>6060</v>
      </c>
      <c r="I105" s="21">
        <f t="shared" si="162"/>
        <v>6060</v>
      </c>
      <c r="J105" s="21">
        <f t="shared" si="103"/>
        <v>0</v>
      </c>
      <c r="K105" s="21">
        <f t="shared" ref="K105" si="164">SUM(K106:K109)</f>
        <v>14951</v>
      </c>
      <c r="L105" s="21">
        <f t="shared" si="162"/>
        <v>14951</v>
      </c>
      <c r="M105" s="21">
        <f t="shared" si="104"/>
        <v>0</v>
      </c>
      <c r="N105" s="21">
        <f t="shared" ref="N105" si="165">SUM(N106:N109)</f>
        <v>0</v>
      </c>
      <c r="O105" s="21">
        <f t="shared" si="162"/>
        <v>0</v>
      </c>
      <c r="P105" s="21">
        <f t="shared" si="105"/>
        <v>0</v>
      </c>
      <c r="Q105" s="21">
        <f t="shared" ref="Q105" si="166">SUM(Q106:Q109)</f>
        <v>20000</v>
      </c>
      <c r="R105" s="21">
        <f t="shared" si="162"/>
        <v>20000</v>
      </c>
      <c r="S105" s="21">
        <f t="shared" si="106"/>
        <v>0</v>
      </c>
      <c r="T105" s="21">
        <f t="shared" ref="T105" si="167">SUM(T106:T109)</f>
        <v>0</v>
      </c>
      <c r="U105" s="21">
        <f t="shared" si="162"/>
        <v>0</v>
      </c>
      <c r="V105" s="21">
        <f t="shared" si="107"/>
        <v>0</v>
      </c>
      <c r="W105" s="21">
        <f t="shared" ref="W105" si="168">SUM(W106:W109)</f>
        <v>0</v>
      </c>
      <c r="X105" s="21">
        <f t="shared" si="162"/>
        <v>0</v>
      </c>
      <c r="Y105" s="21">
        <f t="shared" si="108"/>
        <v>0</v>
      </c>
      <c r="Z105" s="21">
        <f t="shared" ref="Z105" si="169">SUM(Z106:Z109)</f>
        <v>0</v>
      </c>
      <c r="AA105" s="21">
        <f t="shared" si="162"/>
        <v>0</v>
      </c>
      <c r="AB105" s="21">
        <f t="shared" si="109"/>
        <v>0</v>
      </c>
    </row>
    <row r="106" spans="1:187" s="20" customFormat="1" x14ac:dyDescent="0.25">
      <c r="A106" s="32" t="s">
        <v>78</v>
      </c>
      <c r="B106" s="26">
        <f t="shared" si="101"/>
        <v>20000</v>
      </c>
      <c r="C106" s="26">
        <f t="shared" si="101"/>
        <v>20000</v>
      </c>
      <c r="D106" s="26">
        <f t="shared" si="101"/>
        <v>0</v>
      </c>
      <c r="E106" s="26">
        <v>0</v>
      </c>
      <c r="F106" s="26">
        <v>0</v>
      </c>
      <c r="G106" s="26">
        <f t="shared" si="102"/>
        <v>0</v>
      </c>
      <c r="H106" s="26">
        <v>0</v>
      </c>
      <c r="I106" s="26">
        <v>0</v>
      </c>
      <c r="J106" s="26">
        <f t="shared" si="103"/>
        <v>0</v>
      </c>
      <c r="K106" s="26"/>
      <c r="L106" s="26"/>
      <c r="M106" s="26">
        <f t="shared" si="104"/>
        <v>0</v>
      </c>
      <c r="N106" s="26"/>
      <c r="O106" s="26"/>
      <c r="P106" s="26">
        <f t="shared" si="105"/>
        <v>0</v>
      </c>
      <c r="Q106" s="26">
        <f>10000+10000</f>
        <v>20000</v>
      </c>
      <c r="R106" s="26">
        <f>10000+10000</f>
        <v>20000</v>
      </c>
      <c r="S106" s="26">
        <f t="shared" si="106"/>
        <v>0</v>
      </c>
      <c r="T106" s="26"/>
      <c r="U106" s="26"/>
      <c r="V106" s="26">
        <f t="shared" si="107"/>
        <v>0</v>
      </c>
      <c r="W106" s="26"/>
      <c r="X106" s="26"/>
      <c r="Y106" s="26">
        <f t="shared" si="108"/>
        <v>0</v>
      </c>
      <c r="Z106" s="26"/>
      <c r="AA106" s="26"/>
      <c r="AB106" s="26">
        <f t="shared" si="109"/>
        <v>0</v>
      </c>
    </row>
    <row r="107" spans="1:187" s="20" customFormat="1" ht="31.5" x14ac:dyDescent="0.25">
      <c r="A107" s="27" t="s">
        <v>191</v>
      </c>
      <c r="B107" s="26">
        <f t="shared" si="101"/>
        <v>7993</v>
      </c>
      <c r="C107" s="26">
        <f t="shared" si="101"/>
        <v>7993</v>
      </c>
      <c r="D107" s="26">
        <f t="shared" si="101"/>
        <v>0</v>
      </c>
      <c r="E107" s="26">
        <v>0</v>
      </c>
      <c r="F107" s="26">
        <v>0</v>
      </c>
      <c r="G107" s="26">
        <f t="shared" si="102"/>
        <v>0</v>
      </c>
      <c r="H107" s="26">
        <v>0</v>
      </c>
      <c r="I107" s="26">
        <v>0</v>
      </c>
      <c r="J107" s="26">
        <f t="shared" si="103"/>
        <v>0</v>
      </c>
      <c r="K107" s="26">
        <v>7993</v>
      </c>
      <c r="L107" s="26">
        <v>7993</v>
      </c>
      <c r="M107" s="26">
        <f t="shared" si="104"/>
        <v>0</v>
      </c>
      <c r="N107" s="26">
        <v>0</v>
      </c>
      <c r="O107" s="26">
        <v>0</v>
      </c>
      <c r="P107" s="26">
        <f t="shared" si="105"/>
        <v>0</v>
      </c>
      <c r="Q107" s="26">
        <v>0</v>
      </c>
      <c r="R107" s="26">
        <v>0</v>
      </c>
      <c r="S107" s="26">
        <f t="shared" si="106"/>
        <v>0</v>
      </c>
      <c r="T107" s="26">
        <v>0</v>
      </c>
      <c r="U107" s="26">
        <v>0</v>
      </c>
      <c r="V107" s="26">
        <f t="shared" si="107"/>
        <v>0</v>
      </c>
      <c r="W107" s="26">
        <v>0</v>
      </c>
      <c r="X107" s="26">
        <v>0</v>
      </c>
      <c r="Y107" s="26">
        <f t="shared" si="108"/>
        <v>0</v>
      </c>
      <c r="Z107" s="26"/>
      <c r="AA107" s="26"/>
      <c r="AB107" s="26">
        <f t="shared" si="109"/>
        <v>0</v>
      </c>
    </row>
    <row r="108" spans="1:187" s="20" customFormat="1" ht="47.25" x14ac:dyDescent="0.25">
      <c r="A108" s="27" t="s">
        <v>192</v>
      </c>
      <c r="B108" s="26">
        <f t="shared" si="101"/>
        <v>6958</v>
      </c>
      <c r="C108" s="26">
        <f t="shared" si="101"/>
        <v>6958</v>
      </c>
      <c r="D108" s="26">
        <f t="shared" si="101"/>
        <v>0</v>
      </c>
      <c r="E108" s="26">
        <v>0</v>
      </c>
      <c r="F108" s="26">
        <v>0</v>
      </c>
      <c r="G108" s="26">
        <f t="shared" si="102"/>
        <v>0</v>
      </c>
      <c r="H108" s="26">
        <v>0</v>
      </c>
      <c r="I108" s="26">
        <v>0</v>
      </c>
      <c r="J108" s="26">
        <f t="shared" si="103"/>
        <v>0</v>
      </c>
      <c r="K108" s="26">
        <f>6958</f>
        <v>6958</v>
      </c>
      <c r="L108" s="26">
        <f>6958</f>
        <v>6958</v>
      </c>
      <c r="M108" s="26">
        <f t="shared" si="104"/>
        <v>0</v>
      </c>
      <c r="N108" s="26">
        <v>0</v>
      </c>
      <c r="O108" s="26">
        <v>0</v>
      </c>
      <c r="P108" s="26">
        <f t="shared" si="105"/>
        <v>0</v>
      </c>
      <c r="Q108" s="26">
        <v>0</v>
      </c>
      <c r="R108" s="26">
        <v>0</v>
      </c>
      <c r="S108" s="26">
        <f t="shared" si="106"/>
        <v>0</v>
      </c>
      <c r="T108" s="26">
        <v>0</v>
      </c>
      <c r="U108" s="26">
        <v>0</v>
      </c>
      <c r="V108" s="26">
        <f t="shared" si="107"/>
        <v>0</v>
      </c>
      <c r="W108" s="26">
        <v>0</v>
      </c>
      <c r="X108" s="26">
        <v>0</v>
      </c>
      <c r="Y108" s="26">
        <f t="shared" si="108"/>
        <v>0</v>
      </c>
      <c r="Z108" s="26"/>
      <c r="AA108" s="26"/>
      <c r="AB108" s="26">
        <f t="shared" si="109"/>
        <v>0</v>
      </c>
    </row>
    <row r="109" spans="1:187" s="20" customFormat="1" ht="31.5" x14ac:dyDescent="0.25">
      <c r="A109" s="25" t="s">
        <v>79</v>
      </c>
      <c r="B109" s="26">
        <f t="shared" si="101"/>
        <v>6060</v>
      </c>
      <c r="C109" s="26">
        <f t="shared" si="101"/>
        <v>6060</v>
      </c>
      <c r="D109" s="26">
        <f t="shared" si="101"/>
        <v>0</v>
      </c>
      <c r="E109" s="26">
        <v>0</v>
      </c>
      <c r="F109" s="26">
        <v>0</v>
      </c>
      <c r="G109" s="26">
        <f t="shared" si="102"/>
        <v>0</v>
      </c>
      <c r="H109" s="26">
        <v>6060</v>
      </c>
      <c r="I109" s="26">
        <v>6060</v>
      </c>
      <c r="J109" s="26">
        <f t="shared" si="103"/>
        <v>0</v>
      </c>
      <c r="K109" s="26"/>
      <c r="L109" s="26"/>
      <c r="M109" s="26">
        <f t="shared" si="104"/>
        <v>0</v>
      </c>
      <c r="N109" s="26"/>
      <c r="O109" s="26"/>
      <c r="P109" s="26">
        <f t="shared" si="105"/>
        <v>0</v>
      </c>
      <c r="Q109" s="26"/>
      <c r="R109" s="26"/>
      <c r="S109" s="26">
        <f t="shared" si="106"/>
        <v>0</v>
      </c>
      <c r="T109" s="26"/>
      <c r="U109" s="26"/>
      <c r="V109" s="26">
        <f t="shared" si="107"/>
        <v>0</v>
      </c>
      <c r="W109" s="26"/>
      <c r="X109" s="26"/>
      <c r="Y109" s="26">
        <f t="shared" si="108"/>
        <v>0</v>
      </c>
      <c r="Z109" s="26">
        <v>0</v>
      </c>
      <c r="AA109" s="26">
        <v>0</v>
      </c>
      <c r="AB109" s="26">
        <f t="shared" si="109"/>
        <v>0</v>
      </c>
    </row>
    <row r="110" spans="1:187" s="20" customFormat="1" x14ac:dyDescent="0.25">
      <c r="A110" s="18" t="s">
        <v>80</v>
      </c>
      <c r="B110" s="19">
        <f t="shared" si="101"/>
        <v>21605</v>
      </c>
      <c r="C110" s="19">
        <f t="shared" si="101"/>
        <v>21605</v>
      </c>
      <c r="D110" s="19">
        <f t="shared" si="101"/>
        <v>0</v>
      </c>
      <c r="E110" s="19">
        <f t="shared" ref="E110" si="170">SUM(E111:E113)</f>
        <v>0</v>
      </c>
      <c r="F110" s="19">
        <f t="shared" ref="F110:AA110" si="171">SUM(F111:F113)</f>
        <v>0</v>
      </c>
      <c r="G110" s="19">
        <f t="shared" si="102"/>
        <v>0</v>
      </c>
      <c r="H110" s="19">
        <f t="shared" ref="H110" si="172">SUM(H111:H113)</f>
        <v>0</v>
      </c>
      <c r="I110" s="19">
        <f t="shared" si="171"/>
        <v>0</v>
      </c>
      <c r="J110" s="19">
        <f t="shared" si="103"/>
        <v>0</v>
      </c>
      <c r="K110" s="19">
        <f t="shared" ref="K110" si="173">SUM(K111:K113)</f>
        <v>19744</v>
      </c>
      <c r="L110" s="19">
        <f t="shared" si="171"/>
        <v>19744</v>
      </c>
      <c r="M110" s="19">
        <f t="shared" si="104"/>
        <v>0</v>
      </c>
      <c r="N110" s="19">
        <f t="shared" ref="N110" si="174">SUM(N111:N113)</f>
        <v>0</v>
      </c>
      <c r="O110" s="19">
        <f t="shared" si="171"/>
        <v>0</v>
      </c>
      <c r="P110" s="19">
        <f t="shared" si="105"/>
        <v>0</v>
      </c>
      <c r="Q110" s="19">
        <f t="shared" ref="Q110" si="175">SUM(Q111:Q113)</f>
        <v>1861</v>
      </c>
      <c r="R110" s="19">
        <f t="shared" ref="R110" si="176">SUM(R111:R113)</f>
        <v>1861</v>
      </c>
      <c r="S110" s="19">
        <f t="shared" si="106"/>
        <v>0</v>
      </c>
      <c r="T110" s="19">
        <f t="shared" ref="T110" si="177">SUM(T111:T113)</f>
        <v>0</v>
      </c>
      <c r="U110" s="19">
        <f t="shared" si="171"/>
        <v>0</v>
      </c>
      <c r="V110" s="19">
        <f t="shared" si="107"/>
        <v>0</v>
      </c>
      <c r="W110" s="19">
        <f t="shared" ref="W110" si="178">SUM(W111:W113)</f>
        <v>0</v>
      </c>
      <c r="X110" s="19">
        <f t="shared" si="171"/>
        <v>0</v>
      </c>
      <c r="Y110" s="19">
        <f t="shared" si="108"/>
        <v>0</v>
      </c>
      <c r="Z110" s="19">
        <f t="shared" ref="Z110" si="179">SUM(Z111:Z113)</f>
        <v>0</v>
      </c>
      <c r="AA110" s="19">
        <f t="shared" si="171"/>
        <v>0</v>
      </c>
      <c r="AB110" s="19">
        <f t="shared" si="109"/>
        <v>0</v>
      </c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  <c r="FY110" s="17"/>
      <c r="FZ110" s="17"/>
      <c r="GA110" s="17"/>
      <c r="GB110" s="17"/>
      <c r="GC110" s="17"/>
      <c r="GD110" s="17"/>
      <c r="GE110" s="17"/>
    </row>
    <row r="111" spans="1:187" s="20" customFormat="1" ht="78.75" x14ac:dyDescent="0.25">
      <c r="A111" s="25" t="s">
        <v>81</v>
      </c>
      <c r="B111" s="26">
        <f t="shared" si="101"/>
        <v>19744</v>
      </c>
      <c r="C111" s="26">
        <f t="shared" si="101"/>
        <v>19744</v>
      </c>
      <c r="D111" s="26">
        <f t="shared" si="101"/>
        <v>0</v>
      </c>
      <c r="E111" s="26">
        <v>0</v>
      </c>
      <c r="F111" s="26">
        <v>0</v>
      </c>
      <c r="G111" s="26">
        <f t="shared" si="102"/>
        <v>0</v>
      </c>
      <c r="H111" s="26"/>
      <c r="I111" s="26"/>
      <c r="J111" s="26">
        <f t="shared" si="103"/>
        <v>0</v>
      </c>
      <c r="K111" s="26">
        <v>19744</v>
      </c>
      <c r="L111" s="26">
        <v>19744</v>
      </c>
      <c r="M111" s="26">
        <f t="shared" si="104"/>
        <v>0</v>
      </c>
      <c r="N111" s="26"/>
      <c r="O111" s="26"/>
      <c r="P111" s="26">
        <f t="shared" si="105"/>
        <v>0</v>
      </c>
      <c r="Q111" s="26"/>
      <c r="R111" s="26"/>
      <c r="S111" s="26">
        <f t="shared" si="106"/>
        <v>0</v>
      </c>
      <c r="T111" s="26">
        <v>0</v>
      </c>
      <c r="U111" s="26">
        <v>0</v>
      </c>
      <c r="V111" s="26">
        <f t="shared" si="107"/>
        <v>0</v>
      </c>
      <c r="W111" s="26"/>
      <c r="X111" s="26"/>
      <c r="Y111" s="26">
        <f t="shared" si="108"/>
        <v>0</v>
      </c>
      <c r="Z111" s="26"/>
      <c r="AA111" s="26"/>
      <c r="AB111" s="26">
        <f t="shared" si="109"/>
        <v>0</v>
      </c>
    </row>
    <row r="112" spans="1:187" s="20" customFormat="1" ht="31.5" x14ac:dyDescent="0.25">
      <c r="A112" s="28" t="s">
        <v>82</v>
      </c>
      <c r="B112" s="26">
        <f t="shared" si="101"/>
        <v>1593</v>
      </c>
      <c r="C112" s="26">
        <f t="shared" si="101"/>
        <v>1593</v>
      </c>
      <c r="D112" s="26">
        <f t="shared" si="101"/>
        <v>0</v>
      </c>
      <c r="E112" s="26">
        <v>0</v>
      </c>
      <c r="F112" s="26">
        <v>0</v>
      </c>
      <c r="G112" s="26">
        <f t="shared" si="102"/>
        <v>0</v>
      </c>
      <c r="H112" s="26">
        <v>0</v>
      </c>
      <c r="I112" s="26">
        <v>0</v>
      </c>
      <c r="J112" s="26">
        <f t="shared" si="103"/>
        <v>0</v>
      </c>
      <c r="K112" s="26">
        <v>0</v>
      </c>
      <c r="L112" s="26">
        <v>0</v>
      </c>
      <c r="M112" s="26">
        <f t="shared" si="104"/>
        <v>0</v>
      </c>
      <c r="N112" s="26"/>
      <c r="O112" s="26"/>
      <c r="P112" s="26">
        <f t="shared" si="105"/>
        <v>0</v>
      </c>
      <c r="Q112" s="26">
        <v>1593</v>
      </c>
      <c r="R112" s="26">
        <v>1593</v>
      </c>
      <c r="S112" s="26">
        <f t="shared" si="106"/>
        <v>0</v>
      </c>
      <c r="T112" s="26">
        <v>0</v>
      </c>
      <c r="U112" s="26">
        <v>0</v>
      </c>
      <c r="V112" s="26">
        <f t="shared" si="107"/>
        <v>0</v>
      </c>
      <c r="W112" s="26"/>
      <c r="X112" s="26"/>
      <c r="Y112" s="26">
        <f t="shared" si="108"/>
        <v>0</v>
      </c>
      <c r="Z112" s="26"/>
      <c r="AA112" s="26"/>
      <c r="AB112" s="26">
        <f t="shared" si="109"/>
        <v>0</v>
      </c>
    </row>
    <row r="113" spans="1:187" s="20" customFormat="1" ht="31.5" x14ac:dyDescent="0.25">
      <c r="A113" s="28" t="s">
        <v>83</v>
      </c>
      <c r="B113" s="26">
        <f t="shared" si="101"/>
        <v>268</v>
      </c>
      <c r="C113" s="26">
        <f t="shared" si="101"/>
        <v>268</v>
      </c>
      <c r="D113" s="26">
        <f t="shared" si="101"/>
        <v>0</v>
      </c>
      <c r="E113" s="26">
        <v>0</v>
      </c>
      <c r="F113" s="26">
        <v>0</v>
      </c>
      <c r="G113" s="26">
        <f t="shared" si="102"/>
        <v>0</v>
      </c>
      <c r="H113" s="26">
        <v>0</v>
      </c>
      <c r="I113" s="26">
        <v>0</v>
      </c>
      <c r="J113" s="26">
        <f t="shared" si="103"/>
        <v>0</v>
      </c>
      <c r="K113" s="26">
        <v>0</v>
      </c>
      <c r="L113" s="26">
        <v>0</v>
      </c>
      <c r="M113" s="26">
        <f t="shared" si="104"/>
        <v>0</v>
      </c>
      <c r="N113" s="26"/>
      <c r="O113" s="26"/>
      <c r="P113" s="26">
        <f t="shared" si="105"/>
        <v>0</v>
      </c>
      <c r="Q113" s="26">
        <v>268</v>
      </c>
      <c r="R113" s="26">
        <v>268</v>
      </c>
      <c r="S113" s="26">
        <f t="shared" si="106"/>
        <v>0</v>
      </c>
      <c r="T113" s="26">
        <f>3019-3019</f>
        <v>0</v>
      </c>
      <c r="U113" s="26">
        <f>3019-3019</f>
        <v>0</v>
      </c>
      <c r="V113" s="26">
        <f t="shared" si="107"/>
        <v>0</v>
      </c>
      <c r="W113" s="26"/>
      <c r="X113" s="26"/>
      <c r="Y113" s="26">
        <f t="shared" si="108"/>
        <v>0</v>
      </c>
      <c r="Z113" s="26"/>
      <c r="AA113" s="26"/>
      <c r="AB113" s="26">
        <f t="shared" si="109"/>
        <v>0</v>
      </c>
    </row>
    <row r="114" spans="1:187" s="20" customFormat="1" x14ac:dyDescent="0.25">
      <c r="A114" s="18" t="s">
        <v>30</v>
      </c>
      <c r="B114" s="19">
        <f t="shared" si="101"/>
        <v>3233210</v>
      </c>
      <c r="C114" s="19">
        <f t="shared" si="101"/>
        <v>3243429</v>
      </c>
      <c r="D114" s="19">
        <f t="shared" si="101"/>
        <v>10219</v>
      </c>
      <c r="E114" s="19">
        <f>SUM(E115,E129,E143,E126)</f>
        <v>0</v>
      </c>
      <c r="F114" s="19">
        <f>SUM(F115,F129,F143,F126)</f>
        <v>0</v>
      </c>
      <c r="G114" s="19">
        <f t="shared" si="102"/>
        <v>0</v>
      </c>
      <c r="H114" s="19">
        <f>SUM(H115,H129,H143,H126)</f>
        <v>0</v>
      </c>
      <c r="I114" s="19">
        <f>SUM(I115,I129,I143,I126)</f>
        <v>0</v>
      </c>
      <c r="J114" s="19">
        <f t="shared" si="103"/>
        <v>0</v>
      </c>
      <c r="K114" s="19">
        <f>SUM(K115,K129,K143,K126)</f>
        <v>52779</v>
      </c>
      <c r="L114" s="19">
        <f>SUM(L115,L129,L143,L126)</f>
        <v>55627</v>
      </c>
      <c r="M114" s="19">
        <f t="shared" si="104"/>
        <v>2848</v>
      </c>
      <c r="N114" s="19">
        <f>SUM(N115,N129,N143,N126)</f>
        <v>24644</v>
      </c>
      <c r="O114" s="19">
        <f>SUM(O115,O129,O143,O126)</f>
        <v>24644</v>
      </c>
      <c r="P114" s="19">
        <f t="shared" si="105"/>
        <v>0</v>
      </c>
      <c r="Q114" s="19">
        <f>SUM(Q115,Q129,Q143,Q126)</f>
        <v>180972</v>
      </c>
      <c r="R114" s="19">
        <f>SUM(R115,R129,R143,R126)</f>
        <v>180972</v>
      </c>
      <c r="S114" s="19">
        <f t="shared" si="106"/>
        <v>0</v>
      </c>
      <c r="T114" s="19">
        <f>SUM(T115,T129,T143,T126)</f>
        <v>0</v>
      </c>
      <c r="U114" s="19">
        <f>SUM(U115,U129,U143,U126)</f>
        <v>0</v>
      </c>
      <c r="V114" s="19">
        <f t="shared" si="107"/>
        <v>0</v>
      </c>
      <c r="W114" s="19">
        <f>SUM(W115,W129,W143,W126)</f>
        <v>3215</v>
      </c>
      <c r="X114" s="19">
        <f>SUM(X115,X129,X143,X126)</f>
        <v>10586</v>
      </c>
      <c r="Y114" s="19">
        <f t="shared" si="108"/>
        <v>7371</v>
      </c>
      <c r="Z114" s="19">
        <f>SUM(Z115,Z129,Z143,Z126)</f>
        <v>2971600</v>
      </c>
      <c r="AA114" s="19">
        <f>SUM(AA115,AA129,AA143,AA126)</f>
        <v>2971600</v>
      </c>
      <c r="AB114" s="19">
        <f t="shared" si="109"/>
        <v>0</v>
      </c>
    </row>
    <row r="115" spans="1:187" s="20" customFormat="1" x14ac:dyDescent="0.25">
      <c r="A115" s="18" t="s">
        <v>72</v>
      </c>
      <c r="B115" s="19">
        <f t="shared" si="101"/>
        <v>95132</v>
      </c>
      <c r="C115" s="19">
        <f t="shared" si="101"/>
        <v>95132</v>
      </c>
      <c r="D115" s="19">
        <f t="shared" si="101"/>
        <v>0</v>
      </c>
      <c r="E115" s="19">
        <f>SUM(E116:E125)</f>
        <v>0</v>
      </c>
      <c r="F115" s="19">
        <f>SUM(F116:F125)</f>
        <v>0</v>
      </c>
      <c r="G115" s="19">
        <f t="shared" si="102"/>
        <v>0</v>
      </c>
      <c r="H115" s="19">
        <f>SUM(H116:H125)</f>
        <v>0</v>
      </c>
      <c r="I115" s="19">
        <f>SUM(I116:I125)</f>
        <v>0</v>
      </c>
      <c r="J115" s="19">
        <f t="shared" si="103"/>
        <v>0</v>
      </c>
      <c r="K115" s="19">
        <f>SUM(K116:K125)</f>
        <v>9814</v>
      </c>
      <c r="L115" s="19">
        <f>SUM(L116:L125)</f>
        <v>9814</v>
      </c>
      <c r="M115" s="19">
        <f t="shared" si="104"/>
        <v>0</v>
      </c>
      <c r="N115" s="19">
        <f>SUM(N116:N125)</f>
        <v>7250</v>
      </c>
      <c r="O115" s="19">
        <f>SUM(O116:O125)</f>
        <v>7250</v>
      </c>
      <c r="P115" s="19">
        <f t="shared" si="105"/>
        <v>0</v>
      </c>
      <c r="Q115" s="19">
        <f>SUM(Q116:Q125)</f>
        <v>78068</v>
      </c>
      <c r="R115" s="19">
        <f>SUM(R116:R125)</f>
        <v>78068</v>
      </c>
      <c r="S115" s="19">
        <f t="shared" si="106"/>
        <v>0</v>
      </c>
      <c r="T115" s="19">
        <f>SUM(T116:T125)</f>
        <v>0</v>
      </c>
      <c r="U115" s="19">
        <f>SUM(U116:U125)</f>
        <v>0</v>
      </c>
      <c r="V115" s="19">
        <f t="shared" si="107"/>
        <v>0</v>
      </c>
      <c r="W115" s="19">
        <f>SUM(W116:W125)</f>
        <v>0</v>
      </c>
      <c r="X115" s="19">
        <f>SUM(X116:X125)</f>
        <v>0</v>
      </c>
      <c r="Y115" s="19">
        <f t="shared" si="108"/>
        <v>0</v>
      </c>
      <c r="Z115" s="19">
        <f>SUM(Z116:Z125)</f>
        <v>0</v>
      </c>
      <c r="AA115" s="19">
        <f>SUM(AA116:AA125)</f>
        <v>0</v>
      </c>
      <c r="AB115" s="19">
        <f t="shared" si="109"/>
        <v>0</v>
      </c>
    </row>
    <row r="116" spans="1:187" s="17" customFormat="1" ht="47.25" x14ac:dyDescent="0.25">
      <c r="A116" s="25" t="s">
        <v>84</v>
      </c>
      <c r="B116" s="26">
        <f t="shared" si="101"/>
        <v>8814</v>
      </c>
      <c r="C116" s="26">
        <f t="shared" si="101"/>
        <v>8814</v>
      </c>
      <c r="D116" s="26">
        <f t="shared" si="101"/>
        <v>0</v>
      </c>
      <c r="E116" s="26">
        <v>0</v>
      </c>
      <c r="F116" s="26">
        <v>0</v>
      </c>
      <c r="G116" s="26">
        <f t="shared" si="102"/>
        <v>0</v>
      </c>
      <c r="H116" s="26"/>
      <c r="I116" s="26"/>
      <c r="J116" s="26">
        <f t="shared" si="103"/>
        <v>0</v>
      </c>
      <c r="K116" s="26">
        <v>0</v>
      </c>
      <c r="L116" s="26">
        <v>0</v>
      </c>
      <c r="M116" s="26">
        <f t="shared" si="104"/>
        <v>0</v>
      </c>
      <c r="N116" s="26"/>
      <c r="O116" s="26"/>
      <c r="P116" s="26">
        <f t="shared" si="105"/>
        <v>0</v>
      </c>
      <c r="Q116" s="26">
        <v>8814</v>
      </c>
      <c r="R116" s="26">
        <v>8814</v>
      </c>
      <c r="S116" s="26">
        <f t="shared" si="106"/>
        <v>0</v>
      </c>
      <c r="T116" s="26">
        <v>0</v>
      </c>
      <c r="U116" s="26">
        <v>0</v>
      </c>
      <c r="V116" s="26">
        <f t="shared" si="107"/>
        <v>0</v>
      </c>
      <c r="W116" s="26"/>
      <c r="X116" s="26"/>
      <c r="Y116" s="26">
        <f t="shared" si="108"/>
        <v>0</v>
      </c>
      <c r="Z116" s="26"/>
      <c r="AA116" s="26"/>
      <c r="AB116" s="26">
        <f t="shared" si="109"/>
        <v>0</v>
      </c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</row>
    <row r="117" spans="1:187" s="17" customFormat="1" ht="47.25" x14ac:dyDescent="0.25">
      <c r="A117" s="25" t="s">
        <v>85</v>
      </c>
      <c r="B117" s="26">
        <f t="shared" si="101"/>
        <v>19999</v>
      </c>
      <c r="C117" s="26">
        <f t="shared" si="101"/>
        <v>19999</v>
      </c>
      <c r="D117" s="26">
        <f t="shared" si="101"/>
        <v>0</v>
      </c>
      <c r="E117" s="26">
        <v>0</v>
      </c>
      <c r="F117" s="26">
        <v>0</v>
      </c>
      <c r="G117" s="26">
        <f t="shared" si="102"/>
        <v>0</v>
      </c>
      <c r="H117" s="26"/>
      <c r="I117" s="26"/>
      <c r="J117" s="26">
        <f t="shared" si="103"/>
        <v>0</v>
      </c>
      <c r="K117" s="26">
        <v>0</v>
      </c>
      <c r="L117" s="26">
        <v>0</v>
      </c>
      <c r="M117" s="26">
        <f t="shared" si="104"/>
        <v>0</v>
      </c>
      <c r="N117" s="26"/>
      <c r="O117" s="26"/>
      <c r="P117" s="26">
        <f t="shared" si="105"/>
        <v>0</v>
      </c>
      <c r="Q117" s="26">
        <v>19999</v>
      </c>
      <c r="R117" s="26">
        <v>19999</v>
      </c>
      <c r="S117" s="26">
        <f t="shared" si="106"/>
        <v>0</v>
      </c>
      <c r="T117" s="26">
        <v>0</v>
      </c>
      <c r="U117" s="26">
        <v>0</v>
      </c>
      <c r="V117" s="26">
        <f t="shared" si="107"/>
        <v>0</v>
      </c>
      <c r="W117" s="26"/>
      <c r="X117" s="26"/>
      <c r="Y117" s="26">
        <f t="shared" si="108"/>
        <v>0</v>
      </c>
      <c r="Z117" s="26"/>
      <c r="AA117" s="26"/>
      <c r="AB117" s="26">
        <f t="shared" si="109"/>
        <v>0</v>
      </c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</row>
    <row r="118" spans="1:187" s="17" customFormat="1" ht="31.5" x14ac:dyDescent="0.25">
      <c r="A118" s="25" t="s">
        <v>86</v>
      </c>
      <c r="B118" s="26">
        <f t="shared" si="101"/>
        <v>3280</v>
      </c>
      <c r="C118" s="26">
        <f t="shared" si="101"/>
        <v>3280</v>
      </c>
      <c r="D118" s="26">
        <f t="shared" si="101"/>
        <v>0</v>
      </c>
      <c r="E118" s="26">
        <v>0</v>
      </c>
      <c r="F118" s="26">
        <v>0</v>
      </c>
      <c r="G118" s="26">
        <f t="shared" si="102"/>
        <v>0</v>
      </c>
      <c r="H118" s="26"/>
      <c r="I118" s="26"/>
      <c r="J118" s="26">
        <f t="shared" si="103"/>
        <v>0</v>
      </c>
      <c r="K118" s="26">
        <v>0</v>
      </c>
      <c r="L118" s="26">
        <v>0</v>
      </c>
      <c r="M118" s="26">
        <f t="shared" si="104"/>
        <v>0</v>
      </c>
      <c r="N118" s="26"/>
      <c r="O118" s="26"/>
      <c r="P118" s="26">
        <f t="shared" si="105"/>
        <v>0</v>
      </c>
      <c r="Q118" s="26">
        <v>3280</v>
      </c>
      <c r="R118" s="26">
        <v>3280</v>
      </c>
      <c r="S118" s="26">
        <f t="shared" si="106"/>
        <v>0</v>
      </c>
      <c r="T118" s="26">
        <v>0</v>
      </c>
      <c r="U118" s="26">
        <v>0</v>
      </c>
      <c r="V118" s="26">
        <f t="shared" si="107"/>
        <v>0</v>
      </c>
      <c r="W118" s="26"/>
      <c r="X118" s="26"/>
      <c r="Y118" s="26">
        <f t="shared" si="108"/>
        <v>0</v>
      </c>
      <c r="Z118" s="26"/>
      <c r="AA118" s="26"/>
      <c r="AB118" s="26">
        <f t="shared" si="109"/>
        <v>0</v>
      </c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</row>
    <row r="119" spans="1:187" s="17" customFormat="1" ht="47.25" x14ac:dyDescent="0.25">
      <c r="A119" s="25" t="s">
        <v>87</v>
      </c>
      <c r="B119" s="26">
        <f t="shared" si="101"/>
        <v>24632</v>
      </c>
      <c r="C119" s="26">
        <f t="shared" si="101"/>
        <v>24632</v>
      </c>
      <c r="D119" s="26">
        <f t="shared" si="101"/>
        <v>0</v>
      </c>
      <c r="E119" s="26">
        <v>0</v>
      </c>
      <c r="F119" s="26">
        <v>0</v>
      </c>
      <c r="G119" s="26">
        <f t="shared" si="102"/>
        <v>0</v>
      </c>
      <c r="H119" s="26"/>
      <c r="I119" s="26"/>
      <c r="J119" s="26">
        <f t="shared" si="103"/>
        <v>0</v>
      </c>
      <c r="K119" s="26">
        <v>0</v>
      </c>
      <c r="L119" s="26">
        <v>0</v>
      </c>
      <c r="M119" s="26">
        <f t="shared" si="104"/>
        <v>0</v>
      </c>
      <c r="N119" s="26"/>
      <c r="O119" s="26"/>
      <c r="P119" s="26">
        <f t="shared" si="105"/>
        <v>0</v>
      </c>
      <c r="Q119" s="26">
        <v>24632</v>
      </c>
      <c r="R119" s="26">
        <v>24632</v>
      </c>
      <c r="S119" s="26">
        <f t="shared" si="106"/>
        <v>0</v>
      </c>
      <c r="T119" s="26">
        <v>0</v>
      </c>
      <c r="U119" s="26">
        <v>0</v>
      </c>
      <c r="V119" s="26">
        <f t="shared" si="107"/>
        <v>0</v>
      </c>
      <c r="W119" s="26"/>
      <c r="X119" s="26"/>
      <c r="Y119" s="26">
        <f t="shared" si="108"/>
        <v>0</v>
      </c>
      <c r="Z119" s="26"/>
      <c r="AA119" s="26"/>
      <c r="AB119" s="26">
        <f t="shared" si="109"/>
        <v>0</v>
      </c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</row>
    <row r="120" spans="1:187" s="17" customFormat="1" ht="31.5" x14ac:dyDescent="0.25">
      <c r="A120" s="25" t="s">
        <v>169</v>
      </c>
      <c r="B120" s="26">
        <f t="shared" si="101"/>
        <v>18343</v>
      </c>
      <c r="C120" s="26">
        <f t="shared" si="101"/>
        <v>18343</v>
      </c>
      <c r="D120" s="26">
        <f t="shared" si="101"/>
        <v>0</v>
      </c>
      <c r="E120" s="26">
        <v>0</v>
      </c>
      <c r="F120" s="26">
        <v>0</v>
      </c>
      <c r="G120" s="26">
        <f t="shared" si="102"/>
        <v>0</v>
      </c>
      <c r="H120" s="26"/>
      <c r="I120" s="26"/>
      <c r="J120" s="26">
        <f t="shared" si="103"/>
        <v>0</v>
      </c>
      <c r="K120" s="26">
        <v>0</v>
      </c>
      <c r="L120" s="26">
        <v>0</v>
      </c>
      <c r="M120" s="26">
        <f t="shared" si="104"/>
        <v>0</v>
      </c>
      <c r="N120" s="26"/>
      <c r="O120" s="26"/>
      <c r="P120" s="26">
        <f t="shared" si="105"/>
        <v>0</v>
      </c>
      <c r="Q120" s="26">
        <v>18343</v>
      </c>
      <c r="R120" s="26">
        <v>18343</v>
      </c>
      <c r="S120" s="26">
        <f t="shared" si="106"/>
        <v>0</v>
      </c>
      <c r="T120" s="26">
        <v>0</v>
      </c>
      <c r="U120" s="26">
        <v>0</v>
      </c>
      <c r="V120" s="26">
        <f t="shared" si="107"/>
        <v>0</v>
      </c>
      <c r="W120" s="26"/>
      <c r="X120" s="26"/>
      <c r="Y120" s="26">
        <f t="shared" si="108"/>
        <v>0</v>
      </c>
      <c r="Z120" s="26"/>
      <c r="AA120" s="26"/>
      <c r="AB120" s="26">
        <f t="shared" si="109"/>
        <v>0</v>
      </c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</row>
    <row r="121" spans="1:187" s="17" customFormat="1" ht="63" x14ac:dyDescent="0.25">
      <c r="A121" s="25" t="s">
        <v>197</v>
      </c>
      <c r="B121" s="26">
        <f t="shared" si="101"/>
        <v>1250</v>
      </c>
      <c r="C121" s="26">
        <f t="shared" si="101"/>
        <v>1250</v>
      </c>
      <c r="D121" s="26">
        <f t="shared" si="101"/>
        <v>0</v>
      </c>
      <c r="E121" s="26">
        <v>0</v>
      </c>
      <c r="F121" s="26">
        <v>0</v>
      </c>
      <c r="G121" s="26">
        <f t="shared" si="102"/>
        <v>0</v>
      </c>
      <c r="H121" s="26"/>
      <c r="I121" s="26"/>
      <c r="J121" s="26">
        <f t="shared" si="103"/>
        <v>0</v>
      </c>
      <c r="K121" s="26">
        <v>0</v>
      </c>
      <c r="L121" s="26">
        <v>0</v>
      </c>
      <c r="M121" s="26">
        <f t="shared" si="104"/>
        <v>0</v>
      </c>
      <c r="N121" s="26">
        <v>1250</v>
      </c>
      <c r="O121" s="26">
        <v>1250</v>
      </c>
      <c r="P121" s="26">
        <f t="shared" si="105"/>
        <v>0</v>
      </c>
      <c r="Q121" s="26"/>
      <c r="R121" s="26"/>
      <c r="S121" s="26">
        <f t="shared" si="106"/>
        <v>0</v>
      </c>
      <c r="T121" s="26">
        <v>0</v>
      </c>
      <c r="U121" s="26">
        <v>0</v>
      </c>
      <c r="V121" s="26">
        <f t="shared" si="107"/>
        <v>0</v>
      </c>
      <c r="W121" s="26"/>
      <c r="X121" s="26"/>
      <c r="Y121" s="26">
        <f t="shared" si="108"/>
        <v>0</v>
      </c>
      <c r="Z121" s="26"/>
      <c r="AA121" s="26"/>
      <c r="AB121" s="26">
        <f t="shared" si="109"/>
        <v>0</v>
      </c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</row>
    <row r="122" spans="1:187" s="20" customFormat="1" ht="31.5" x14ac:dyDescent="0.25">
      <c r="A122" s="25" t="s">
        <v>187</v>
      </c>
      <c r="B122" s="26">
        <f t="shared" si="101"/>
        <v>1500</v>
      </c>
      <c r="C122" s="26">
        <f t="shared" si="101"/>
        <v>1500</v>
      </c>
      <c r="D122" s="26">
        <f t="shared" si="101"/>
        <v>0</v>
      </c>
      <c r="E122" s="26">
        <v>0</v>
      </c>
      <c r="F122" s="26">
        <v>0</v>
      </c>
      <c r="G122" s="26">
        <f t="shared" si="102"/>
        <v>0</v>
      </c>
      <c r="H122" s="26"/>
      <c r="I122" s="26"/>
      <c r="J122" s="26">
        <f t="shared" si="103"/>
        <v>0</v>
      </c>
      <c r="K122" s="26">
        <v>1500</v>
      </c>
      <c r="L122" s="26">
        <v>1500</v>
      </c>
      <c r="M122" s="26">
        <f t="shared" si="104"/>
        <v>0</v>
      </c>
      <c r="N122" s="26"/>
      <c r="O122" s="26"/>
      <c r="P122" s="26">
        <f t="shared" si="105"/>
        <v>0</v>
      </c>
      <c r="Q122" s="26">
        <v>0</v>
      </c>
      <c r="R122" s="26">
        <v>0</v>
      </c>
      <c r="S122" s="26">
        <f t="shared" si="106"/>
        <v>0</v>
      </c>
      <c r="T122" s="26"/>
      <c r="U122" s="26"/>
      <c r="V122" s="26">
        <f t="shared" si="107"/>
        <v>0</v>
      </c>
      <c r="W122" s="26"/>
      <c r="X122" s="26"/>
      <c r="Y122" s="26">
        <f t="shared" si="108"/>
        <v>0</v>
      </c>
      <c r="Z122" s="26"/>
      <c r="AA122" s="26"/>
      <c r="AB122" s="26">
        <f t="shared" si="109"/>
        <v>0</v>
      </c>
    </row>
    <row r="123" spans="1:187" s="20" customFormat="1" ht="31.5" x14ac:dyDescent="0.25">
      <c r="A123" s="25" t="s">
        <v>188</v>
      </c>
      <c r="B123" s="26">
        <f t="shared" si="101"/>
        <v>8314</v>
      </c>
      <c r="C123" s="26">
        <f t="shared" si="101"/>
        <v>8314</v>
      </c>
      <c r="D123" s="26">
        <f t="shared" si="101"/>
        <v>0</v>
      </c>
      <c r="E123" s="26">
        <v>0</v>
      </c>
      <c r="F123" s="26">
        <v>0</v>
      </c>
      <c r="G123" s="26">
        <f t="shared" si="102"/>
        <v>0</v>
      </c>
      <c r="H123" s="26"/>
      <c r="I123" s="26"/>
      <c r="J123" s="26">
        <f t="shared" si="103"/>
        <v>0</v>
      </c>
      <c r="K123" s="26">
        <f>3660+4654</f>
        <v>8314</v>
      </c>
      <c r="L123" s="26">
        <f>3660+4654</f>
        <v>8314</v>
      </c>
      <c r="M123" s="26">
        <f t="shared" si="104"/>
        <v>0</v>
      </c>
      <c r="N123" s="26"/>
      <c r="O123" s="26"/>
      <c r="P123" s="26">
        <f t="shared" si="105"/>
        <v>0</v>
      </c>
      <c r="Q123" s="26">
        <v>0</v>
      </c>
      <c r="R123" s="26">
        <v>0</v>
      </c>
      <c r="S123" s="26">
        <f t="shared" si="106"/>
        <v>0</v>
      </c>
      <c r="T123" s="26"/>
      <c r="U123" s="26"/>
      <c r="V123" s="26">
        <f t="shared" si="107"/>
        <v>0</v>
      </c>
      <c r="W123" s="26"/>
      <c r="X123" s="26"/>
      <c r="Y123" s="26">
        <f t="shared" si="108"/>
        <v>0</v>
      </c>
      <c r="Z123" s="26"/>
      <c r="AA123" s="26"/>
      <c r="AB123" s="26">
        <f t="shared" si="109"/>
        <v>0</v>
      </c>
    </row>
    <row r="124" spans="1:187" s="20" customFormat="1" ht="63" x14ac:dyDescent="0.25">
      <c r="A124" s="25" t="s">
        <v>88</v>
      </c>
      <c r="B124" s="26">
        <f t="shared" si="101"/>
        <v>6000</v>
      </c>
      <c r="C124" s="26">
        <f t="shared" si="101"/>
        <v>6000</v>
      </c>
      <c r="D124" s="26">
        <f t="shared" si="101"/>
        <v>0</v>
      </c>
      <c r="E124" s="26">
        <v>0</v>
      </c>
      <c r="F124" s="26">
        <v>0</v>
      </c>
      <c r="G124" s="26">
        <f t="shared" si="102"/>
        <v>0</v>
      </c>
      <c r="H124" s="26"/>
      <c r="I124" s="26"/>
      <c r="J124" s="26">
        <f t="shared" si="103"/>
        <v>0</v>
      </c>
      <c r="K124" s="26">
        <v>0</v>
      </c>
      <c r="L124" s="26">
        <v>0</v>
      </c>
      <c r="M124" s="26">
        <f t="shared" si="104"/>
        <v>0</v>
      </c>
      <c r="N124" s="26">
        <v>6000</v>
      </c>
      <c r="O124" s="26">
        <v>6000</v>
      </c>
      <c r="P124" s="26">
        <f t="shared" si="105"/>
        <v>0</v>
      </c>
      <c r="Q124" s="26">
        <v>0</v>
      </c>
      <c r="R124" s="26">
        <v>0</v>
      </c>
      <c r="S124" s="26">
        <f t="shared" si="106"/>
        <v>0</v>
      </c>
      <c r="T124" s="26"/>
      <c r="U124" s="26"/>
      <c r="V124" s="26">
        <f t="shared" si="107"/>
        <v>0</v>
      </c>
      <c r="W124" s="26"/>
      <c r="X124" s="26"/>
      <c r="Y124" s="26">
        <f t="shared" si="108"/>
        <v>0</v>
      </c>
      <c r="Z124" s="26"/>
      <c r="AA124" s="26"/>
      <c r="AB124" s="26">
        <f t="shared" si="109"/>
        <v>0</v>
      </c>
    </row>
    <row r="125" spans="1:187" s="17" customFormat="1" ht="31.5" x14ac:dyDescent="0.25">
      <c r="A125" s="25" t="s">
        <v>212</v>
      </c>
      <c r="B125" s="26">
        <f t="shared" si="101"/>
        <v>3000</v>
      </c>
      <c r="C125" s="26">
        <f t="shared" si="101"/>
        <v>3000</v>
      </c>
      <c r="D125" s="26">
        <f t="shared" si="101"/>
        <v>0</v>
      </c>
      <c r="E125" s="26">
        <v>0</v>
      </c>
      <c r="F125" s="26">
        <v>0</v>
      </c>
      <c r="G125" s="26">
        <f t="shared" si="102"/>
        <v>0</v>
      </c>
      <c r="H125" s="26"/>
      <c r="I125" s="26"/>
      <c r="J125" s="26">
        <f t="shared" si="103"/>
        <v>0</v>
      </c>
      <c r="K125" s="26">
        <v>0</v>
      </c>
      <c r="L125" s="26">
        <v>0</v>
      </c>
      <c r="M125" s="26">
        <f t="shared" si="104"/>
        <v>0</v>
      </c>
      <c r="N125" s="26"/>
      <c r="O125" s="26"/>
      <c r="P125" s="26">
        <f t="shared" si="105"/>
        <v>0</v>
      </c>
      <c r="Q125" s="26">
        <v>3000</v>
      </c>
      <c r="R125" s="26">
        <v>3000</v>
      </c>
      <c r="S125" s="26">
        <f t="shared" si="106"/>
        <v>0</v>
      </c>
      <c r="T125" s="26">
        <v>0</v>
      </c>
      <c r="U125" s="26">
        <v>0</v>
      </c>
      <c r="V125" s="26">
        <f t="shared" si="107"/>
        <v>0</v>
      </c>
      <c r="W125" s="26"/>
      <c r="X125" s="26"/>
      <c r="Y125" s="26">
        <f t="shared" si="108"/>
        <v>0</v>
      </c>
      <c r="Z125" s="26"/>
      <c r="AA125" s="26"/>
      <c r="AB125" s="26">
        <f t="shared" si="109"/>
        <v>0</v>
      </c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</row>
    <row r="126" spans="1:187" s="20" customFormat="1" x14ac:dyDescent="0.25">
      <c r="A126" s="18" t="s">
        <v>74</v>
      </c>
      <c r="B126" s="19">
        <f t="shared" si="101"/>
        <v>2976580</v>
      </c>
      <c r="C126" s="19">
        <f t="shared" si="101"/>
        <v>2976580</v>
      </c>
      <c r="D126" s="19">
        <f t="shared" si="101"/>
        <v>0</v>
      </c>
      <c r="E126" s="19">
        <f>SUM(E127:E128)</f>
        <v>0</v>
      </c>
      <c r="F126" s="19">
        <f>SUM(F127:F128)</f>
        <v>0</v>
      </c>
      <c r="G126" s="19">
        <f t="shared" si="102"/>
        <v>0</v>
      </c>
      <c r="H126" s="19">
        <f t="shared" ref="H126" si="180">SUM(H127:H128)</f>
        <v>0</v>
      </c>
      <c r="I126" s="19">
        <f t="shared" ref="I126" si="181">SUM(I127:I128)</f>
        <v>0</v>
      </c>
      <c r="J126" s="19">
        <f t="shared" si="103"/>
        <v>0</v>
      </c>
      <c r="K126" s="19">
        <f t="shared" ref="K126" si="182">SUM(K127:K128)</f>
        <v>4980</v>
      </c>
      <c r="L126" s="19">
        <f t="shared" ref="L126" si="183">SUM(L127:L128)</f>
        <v>4980</v>
      </c>
      <c r="M126" s="19">
        <f t="shared" si="104"/>
        <v>0</v>
      </c>
      <c r="N126" s="19">
        <f t="shared" ref="N126" si="184">SUM(N127:N128)</f>
        <v>0</v>
      </c>
      <c r="O126" s="19">
        <f t="shared" ref="O126" si="185">SUM(O127:O128)</f>
        <v>0</v>
      </c>
      <c r="P126" s="19">
        <f t="shared" si="105"/>
        <v>0</v>
      </c>
      <c r="Q126" s="19">
        <f t="shared" ref="Q126" si="186">SUM(Q127:Q128)</f>
        <v>0</v>
      </c>
      <c r="R126" s="19">
        <f t="shared" ref="R126" si="187">SUM(R127:R128)</f>
        <v>0</v>
      </c>
      <c r="S126" s="19">
        <f t="shared" si="106"/>
        <v>0</v>
      </c>
      <c r="T126" s="19">
        <f t="shared" ref="T126" si="188">SUM(T127:T128)</f>
        <v>0</v>
      </c>
      <c r="U126" s="19">
        <f t="shared" ref="U126" si="189">SUM(U127:U128)</f>
        <v>0</v>
      </c>
      <c r="V126" s="19">
        <f t="shared" si="107"/>
        <v>0</v>
      </c>
      <c r="W126" s="19">
        <f t="shared" ref="W126" si="190">SUM(W127:W128)</f>
        <v>0</v>
      </c>
      <c r="X126" s="19">
        <f t="shared" ref="X126" si="191">SUM(X127:X128)</f>
        <v>0</v>
      </c>
      <c r="Y126" s="19">
        <f t="shared" si="108"/>
        <v>0</v>
      </c>
      <c r="Z126" s="19">
        <f t="shared" ref="Z126" si="192">SUM(Z127:Z128)</f>
        <v>2971600</v>
      </c>
      <c r="AA126" s="19">
        <f t="shared" ref="AA126" si="193">SUM(AA127:AA128)</f>
        <v>2971600</v>
      </c>
      <c r="AB126" s="19">
        <f t="shared" si="109"/>
        <v>0</v>
      </c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/>
      <c r="FP126" s="17"/>
      <c r="FQ126" s="17"/>
      <c r="FR126" s="17"/>
      <c r="FS126" s="17"/>
      <c r="FT126" s="17"/>
      <c r="FU126" s="17"/>
      <c r="FV126" s="17"/>
      <c r="FW126" s="17"/>
      <c r="FX126" s="17"/>
      <c r="FY126" s="17"/>
      <c r="FZ126" s="17"/>
      <c r="GA126" s="17"/>
      <c r="GB126" s="17"/>
      <c r="GC126" s="17"/>
      <c r="GD126" s="17"/>
      <c r="GE126" s="17"/>
    </row>
    <row r="127" spans="1:187" s="20" customFormat="1" x14ac:dyDescent="0.25">
      <c r="A127" s="25" t="s">
        <v>89</v>
      </c>
      <c r="B127" s="26">
        <f t="shared" si="101"/>
        <v>2971600</v>
      </c>
      <c r="C127" s="26">
        <f t="shared" si="101"/>
        <v>2971600</v>
      </c>
      <c r="D127" s="26">
        <f t="shared" si="101"/>
        <v>0</v>
      </c>
      <c r="E127" s="26">
        <v>0</v>
      </c>
      <c r="F127" s="26">
        <v>0</v>
      </c>
      <c r="G127" s="26">
        <f t="shared" si="102"/>
        <v>0</v>
      </c>
      <c r="H127" s="26"/>
      <c r="I127" s="26"/>
      <c r="J127" s="26">
        <f t="shared" si="103"/>
        <v>0</v>
      </c>
      <c r="K127" s="26">
        <v>0</v>
      </c>
      <c r="L127" s="26">
        <v>0</v>
      </c>
      <c r="M127" s="26">
        <f t="shared" si="104"/>
        <v>0</v>
      </c>
      <c r="N127" s="26">
        <v>0</v>
      </c>
      <c r="O127" s="26">
        <v>0</v>
      </c>
      <c r="P127" s="26">
        <f t="shared" si="105"/>
        <v>0</v>
      </c>
      <c r="Q127" s="26"/>
      <c r="R127" s="26"/>
      <c r="S127" s="26">
        <f t="shared" si="106"/>
        <v>0</v>
      </c>
      <c r="T127" s="26">
        <v>0</v>
      </c>
      <c r="U127" s="26">
        <v>0</v>
      </c>
      <c r="V127" s="26">
        <f t="shared" si="107"/>
        <v>0</v>
      </c>
      <c r="W127" s="26"/>
      <c r="X127" s="26"/>
      <c r="Y127" s="26">
        <f t="shared" si="108"/>
        <v>0</v>
      </c>
      <c r="Z127" s="26">
        <v>2971600</v>
      </c>
      <c r="AA127" s="26">
        <v>2971600</v>
      </c>
      <c r="AB127" s="26">
        <f t="shared" si="109"/>
        <v>0</v>
      </c>
    </row>
    <row r="128" spans="1:187" s="20" customFormat="1" ht="31.5" x14ac:dyDescent="0.25">
      <c r="A128" s="25" t="s">
        <v>185</v>
      </c>
      <c r="B128" s="26">
        <f t="shared" si="101"/>
        <v>4980</v>
      </c>
      <c r="C128" s="26">
        <f t="shared" si="101"/>
        <v>4980</v>
      </c>
      <c r="D128" s="26">
        <f t="shared" si="101"/>
        <v>0</v>
      </c>
      <c r="E128" s="26">
        <v>0</v>
      </c>
      <c r="F128" s="26">
        <v>0</v>
      </c>
      <c r="G128" s="26">
        <f t="shared" si="102"/>
        <v>0</v>
      </c>
      <c r="H128" s="26"/>
      <c r="I128" s="26"/>
      <c r="J128" s="26">
        <f t="shared" si="103"/>
        <v>0</v>
      </c>
      <c r="K128" s="26">
        <v>4980</v>
      </c>
      <c r="L128" s="26">
        <v>4980</v>
      </c>
      <c r="M128" s="26">
        <f t="shared" si="104"/>
        <v>0</v>
      </c>
      <c r="N128" s="26">
        <v>0</v>
      </c>
      <c r="O128" s="26">
        <v>0</v>
      </c>
      <c r="P128" s="26">
        <f t="shared" si="105"/>
        <v>0</v>
      </c>
      <c r="Q128" s="26"/>
      <c r="R128" s="26"/>
      <c r="S128" s="26">
        <f t="shared" si="106"/>
        <v>0</v>
      </c>
      <c r="T128" s="26">
        <v>0</v>
      </c>
      <c r="U128" s="26">
        <v>0</v>
      </c>
      <c r="V128" s="26">
        <f t="shared" si="107"/>
        <v>0</v>
      </c>
      <c r="W128" s="26"/>
      <c r="X128" s="26"/>
      <c r="Y128" s="26">
        <f t="shared" si="108"/>
        <v>0</v>
      </c>
      <c r="Z128" s="26"/>
      <c r="AA128" s="26"/>
      <c r="AB128" s="26">
        <f t="shared" si="109"/>
        <v>0</v>
      </c>
    </row>
    <row r="129" spans="1:187" s="20" customFormat="1" ht="31.5" x14ac:dyDescent="0.25">
      <c r="A129" s="18" t="s">
        <v>76</v>
      </c>
      <c r="B129" s="19">
        <f t="shared" si="101"/>
        <v>145929</v>
      </c>
      <c r="C129" s="19">
        <f t="shared" si="101"/>
        <v>153300</v>
      </c>
      <c r="D129" s="19">
        <f t="shared" si="101"/>
        <v>7371</v>
      </c>
      <c r="E129" s="19"/>
      <c r="F129" s="19"/>
      <c r="G129" s="19">
        <f t="shared" si="102"/>
        <v>0</v>
      </c>
      <c r="H129" s="19">
        <f t="shared" ref="H129" si="194">SUM(H130:H142)</f>
        <v>0</v>
      </c>
      <c r="I129" s="19">
        <f t="shared" ref="I129:AA129" si="195">SUM(I130:I142)</f>
        <v>0</v>
      </c>
      <c r="J129" s="19">
        <f t="shared" si="103"/>
        <v>0</v>
      </c>
      <c r="K129" s="19">
        <f t="shared" ref="K129" si="196">SUM(K130:K142)</f>
        <v>35605</v>
      </c>
      <c r="L129" s="19">
        <f t="shared" si="195"/>
        <v>35605</v>
      </c>
      <c r="M129" s="19">
        <f t="shared" si="104"/>
        <v>0</v>
      </c>
      <c r="N129" s="19">
        <f t="shared" ref="N129" si="197">SUM(N130:N142)</f>
        <v>14455</v>
      </c>
      <c r="O129" s="19">
        <f t="shared" si="195"/>
        <v>14455</v>
      </c>
      <c r="P129" s="19">
        <f t="shared" si="105"/>
        <v>0</v>
      </c>
      <c r="Q129" s="19">
        <f t="shared" ref="Q129" si="198">SUM(Q130:Q142)</f>
        <v>92654</v>
      </c>
      <c r="R129" s="19">
        <f t="shared" si="195"/>
        <v>92654</v>
      </c>
      <c r="S129" s="19">
        <f t="shared" si="106"/>
        <v>0</v>
      </c>
      <c r="T129" s="19">
        <f t="shared" ref="T129" si="199">SUM(T130:T142)</f>
        <v>0</v>
      </c>
      <c r="U129" s="19">
        <f t="shared" si="195"/>
        <v>0</v>
      </c>
      <c r="V129" s="19">
        <f t="shared" si="107"/>
        <v>0</v>
      </c>
      <c r="W129" s="19">
        <f t="shared" ref="W129" si="200">SUM(W130:W142)</f>
        <v>3215</v>
      </c>
      <c r="X129" s="19">
        <f t="shared" si="195"/>
        <v>10586</v>
      </c>
      <c r="Y129" s="19">
        <f t="shared" si="108"/>
        <v>7371</v>
      </c>
      <c r="Z129" s="19">
        <f t="shared" ref="Z129" si="201">SUM(Z130:Z142)</f>
        <v>0</v>
      </c>
      <c r="AA129" s="19">
        <f t="shared" si="195"/>
        <v>0</v>
      </c>
      <c r="AB129" s="19">
        <f t="shared" si="109"/>
        <v>0</v>
      </c>
    </row>
    <row r="130" spans="1:187" s="20" customFormat="1" ht="63" x14ac:dyDescent="0.25">
      <c r="A130" s="25" t="s">
        <v>90</v>
      </c>
      <c r="B130" s="26">
        <f t="shared" si="101"/>
        <v>14455</v>
      </c>
      <c r="C130" s="26">
        <f t="shared" si="101"/>
        <v>14455</v>
      </c>
      <c r="D130" s="26">
        <f t="shared" si="101"/>
        <v>0</v>
      </c>
      <c r="E130" s="26">
        <v>0</v>
      </c>
      <c r="F130" s="26">
        <v>0</v>
      </c>
      <c r="G130" s="26">
        <f t="shared" si="102"/>
        <v>0</v>
      </c>
      <c r="H130" s="26"/>
      <c r="I130" s="26"/>
      <c r="J130" s="26">
        <f t="shared" si="103"/>
        <v>0</v>
      </c>
      <c r="K130" s="26">
        <v>0</v>
      </c>
      <c r="L130" s="26">
        <v>0</v>
      </c>
      <c r="M130" s="26">
        <f t="shared" si="104"/>
        <v>0</v>
      </c>
      <c r="N130" s="26">
        <v>14455</v>
      </c>
      <c r="O130" s="26">
        <v>14455</v>
      </c>
      <c r="P130" s="26">
        <f t="shared" si="105"/>
        <v>0</v>
      </c>
      <c r="Q130" s="26">
        <v>0</v>
      </c>
      <c r="R130" s="26">
        <v>0</v>
      </c>
      <c r="S130" s="26">
        <f t="shared" si="106"/>
        <v>0</v>
      </c>
      <c r="T130" s="26"/>
      <c r="U130" s="26"/>
      <c r="V130" s="26">
        <f t="shared" si="107"/>
        <v>0</v>
      </c>
      <c r="W130" s="26"/>
      <c r="X130" s="26"/>
      <c r="Y130" s="26">
        <f t="shared" si="108"/>
        <v>0</v>
      </c>
      <c r="Z130" s="26"/>
      <c r="AA130" s="26"/>
      <c r="AB130" s="26">
        <f t="shared" si="109"/>
        <v>0</v>
      </c>
    </row>
    <row r="131" spans="1:187" s="56" customFormat="1" ht="31.5" x14ac:dyDescent="0.25">
      <c r="A131" s="51" t="s">
        <v>246</v>
      </c>
      <c r="B131" s="52">
        <f t="shared" si="101"/>
        <v>0</v>
      </c>
      <c r="C131" s="52">
        <f t="shared" si="101"/>
        <v>7371</v>
      </c>
      <c r="D131" s="52">
        <f t="shared" si="101"/>
        <v>7371</v>
      </c>
      <c r="E131" s="52">
        <v>0</v>
      </c>
      <c r="F131" s="52">
        <v>0</v>
      </c>
      <c r="G131" s="52">
        <f t="shared" si="102"/>
        <v>0</v>
      </c>
      <c r="H131" s="52"/>
      <c r="I131" s="52"/>
      <c r="J131" s="52">
        <f t="shared" si="103"/>
        <v>0</v>
      </c>
      <c r="K131" s="52">
        <v>0</v>
      </c>
      <c r="L131" s="52">
        <v>0</v>
      </c>
      <c r="M131" s="52">
        <f t="shared" si="104"/>
        <v>0</v>
      </c>
      <c r="N131" s="52">
        <v>0</v>
      </c>
      <c r="O131" s="52">
        <v>0</v>
      </c>
      <c r="P131" s="52">
        <f t="shared" si="105"/>
        <v>0</v>
      </c>
      <c r="Q131" s="52"/>
      <c r="R131" s="52"/>
      <c r="S131" s="52">
        <f t="shared" si="106"/>
        <v>0</v>
      </c>
      <c r="T131" s="52">
        <v>0</v>
      </c>
      <c r="U131" s="52">
        <v>0</v>
      </c>
      <c r="V131" s="52">
        <f t="shared" si="107"/>
        <v>0</v>
      </c>
      <c r="W131" s="52">
        <v>0</v>
      </c>
      <c r="X131" s="52">
        <v>7371</v>
      </c>
      <c r="Y131" s="52">
        <f t="shared" si="108"/>
        <v>7371</v>
      </c>
      <c r="Z131" s="52"/>
      <c r="AA131" s="52"/>
      <c r="AB131" s="52">
        <f t="shared" si="109"/>
        <v>0</v>
      </c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  <c r="CH131" s="53"/>
      <c r="CI131" s="53"/>
      <c r="CJ131" s="53"/>
      <c r="CK131" s="53"/>
      <c r="CL131" s="53"/>
      <c r="CM131" s="53"/>
      <c r="CN131" s="53"/>
      <c r="CO131" s="53"/>
      <c r="CP131" s="53"/>
      <c r="CQ131" s="53"/>
      <c r="CR131" s="53"/>
      <c r="CS131" s="53"/>
      <c r="CT131" s="53"/>
      <c r="CU131" s="53"/>
      <c r="CV131" s="53"/>
      <c r="CW131" s="53"/>
      <c r="CX131" s="53"/>
      <c r="CY131" s="53"/>
      <c r="CZ131" s="53"/>
      <c r="DA131" s="53"/>
      <c r="DB131" s="53"/>
      <c r="DC131" s="53"/>
      <c r="DD131" s="53"/>
      <c r="DE131" s="53"/>
      <c r="DF131" s="53"/>
      <c r="DG131" s="53"/>
      <c r="DH131" s="53"/>
      <c r="DI131" s="53"/>
      <c r="DJ131" s="53"/>
      <c r="DK131" s="53"/>
      <c r="DL131" s="53"/>
      <c r="DM131" s="53"/>
      <c r="DN131" s="53"/>
      <c r="DO131" s="53"/>
      <c r="DP131" s="53"/>
      <c r="DQ131" s="53"/>
      <c r="DR131" s="53"/>
      <c r="DS131" s="53"/>
      <c r="DT131" s="53"/>
      <c r="DU131" s="53"/>
      <c r="DV131" s="53"/>
      <c r="DW131" s="53"/>
      <c r="DX131" s="53"/>
      <c r="DY131" s="53"/>
      <c r="DZ131" s="53"/>
      <c r="EA131" s="53"/>
      <c r="EB131" s="53"/>
      <c r="EC131" s="53"/>
      <c r="ED131" s="53"/>
      <c r="EE131" s="53"/>
      <c r="EF131" s="53"/>
      <c r="EG131" s="53"/>
      <c r="EH131" s="53"/>
      <c r="EI131" s="53"/>
      <c r="EJ131" s="53"/>
      <c r="EK131" s="53"/>
      <c r="EL131" s="53"/>
      <c r="EM131" s="53"/>
      <c r="EN131" s="53"/>
      <c r="EO131" s="53"/>
      <c r="EP131" s="53"/>
      <c r="EQ131" s="53"/>
      <c r="ER131" s="53"/>
      <c r="ES131" s="53"/>
      <c r="ET131" s="53"/>
      <c r="EU131" s="53"/>
      <c r="EV131" s="53"/>
      <c r="EW131" s="53"/>
      <c r="EX131" s="53"/>
      <c r="EY131" s="53"/>
      <c r="EZ131" s="53"/>
      <c r="FA131" s="53"/>
      <c r="FB131" s="53"/>
      <c r="FC131" s="53"/>
      <c r="FD131" s="53"/>
      <c r="FE131" s="53"/>
      <c r="FF131" s="53"/>
      <c r="FG131" s="53"/>
      <c r="FH131" s="53"/>
      <c r="FI131" s="53"/>
      <c r="FJ131" s="53"/>
      <c r="FK131" s="53"/>
      <c r="FL131" s="53"/>
      <c r="FM131" s="53"/>
      <c r="FN131" s="53"/>
      <c r="FO131" s="53"/>
      <c r="FP131" s="53"/>
      <c r="FQ131" s="53"/>
      <c r="FR131" s="53"/>
      <c r="FS131" s="53"/>
      <c r="FT131" s="53"/>
      <c r="FU131" s="53"/>
      <c r="FV131" s="53"/>
      <c r="FW131" s="53"/>
      <c r="FX131" s="53"/>
      <c r="FY131" s="53"/>
      <c r="FZ131" s="53"/>
      <c r="GA131" s="53"/>
      <c r="GB131" s="53"/>
      <c r="GC131" s="53"/>
      <c r="GD131" s="53"/>
      <c r="GE131" s="53"/>
    </row>
    <row r="132" spans="1:187" s="20" customFormat="1" ht="36" customHeight="1" x14ac:dyDescent="0.25">
      <c r="A132" s="25" t="s">
        <v>189</v>
      </c>
      <c r="B132" s="26">
        <f t="shared" si="101"/>
        <v>1668</v>
      </c>
      <c r="C132" s="26">
        <f t="shared" si="101"/>
        <v>1668</v>
      </c>
      <c r="D132" s="26">
        <f t="shared" si="101"/>
        <v>0</v>
      </c>
      <c r="E132" s="26">
        <v>0</v>
      </c>
      <c r="F132" s="26">
        <v>0</v>
      </c>
      <c r="G132" s="26">
        <f t="shared" si="102"/>
        <v>0</v>
      </c>
      <c r="H132" s="26"/>
      <c r="I132" s="26"/>
      <c r="J132" s="26">
        <f t="shared" si="103"/>
        <v>0</v>
      </c>
      <c r="K132" s="26">
        <f>1700-32</f>
        <v>1668</v>
      </c>
      <c r="L132" s="26">
        <f>1700-32</f>
        <v>1668</v>
      </c>
      <c r="M132" s="26">
        <f t="shared" si="104"/>
        <v>0</v>
      </c>
      <c r="N132" s="26"/>
      <c r="O132" s="26"/>
      <c r="P132" s="26">
        <f t="shared" si="105"/>
        <v>0</v>
      </c>
      <c r="Q132" s="26">
        <v>0</v>
      </c>
      <c r="R132" s="26">
        <v>0</v>
      </c>
      <c r="S132" s="26">
        <f t="shared" si="106"/>
        <v>0</v>
      </c>
      <c r="T132" s="26"/>
      <c r="U132" s="26"/>
      <c r="V132" s="26">
        <f t="shared" si="107"/>
        <v>0</v>
      </c>
      <c r="W132" s="26"/>
      <c r="X132" s="26"/>
      <c r="Y132" s="26">
        <f t="shared" si="108"/>
        <v>0</v>
      </c>
      <c r="Z132" s="26"/>
      <c r="AA132" s="26"/>
      <c r="AB132" s="26">
        <f t="shared" si="109"/>
        <v>0</v>
      </c>
    </row>
    <row r="133" spans="1:187" s="53" customFormat="1" ht="31.5" x14ac:dyDescent="0.25">
      <c r="A133" s="51" t="s">
        <v>232</v>
      </c>
      <c r="B133" s="52">
        <f t="shared" si="101"/>
        <v>2420</v>
      </c>
      <c r="C133" s="52">
        <f t="shared" si="101"/>
        <v>2420</v>
      </c>
      <c r="D133" s="52">
        <f t="shared" si="101"/>
        <v>0</v>
      </c>
      <c r="E133" s="52">
        <v>0</v>
      </c>
      <c r="F133" s="52">
        <v>0</v>
      </c>
      <c r="G133" s="52">
        <f t="shared" si="102"/>
        <v>0</v>
      </c>
      <c r="H133" s="52"/>
      <c r="I133" s="52"/>
      <c r="J133" s="52">
        <f t="shared" si="103"/>
        <v>0</v>
      </c>
      <c r="K133" s="52">
        <v>2420</v>
      </c>
      <c r="L133" s="52">
        <v>2420</v>
      </c>
      <c r="M133" s="52">
        <f t="shared" si="104"/>
        <v>0</v>
      </c>
      <c r="N133" s="52"/>
      <c r="O133" s="52"/>
      <c r="P133" s="52">
        <f t="shared" si="105"/>
        <v>0</v>
      </c>
      <c r="Q133" s="52">
        <v>0</v>
      </c>
      <c r="R133" s="52">
        <v>0</v>
      </c>
      <c r="S133" s="52">
        <f t="shared" si="106"/>
        <v>0</v>
      </c>
      <c r="T133" s="52"/>
      <c r="U133" s="52"/>
      <c r="V133" s="52">
        <f t="shared" si="107"/>
        <v>0</v>
      </c>
      <c r="W133" s="52"/>
      <c r="X133" s="52"/>
      <c r="Y133" s="52">
        <f t="shared" si="108"/>
        <v>0</v>
      </c>
      <c r="Z133" s="52"/>
      <c r="AA133" s="52"/>
      <c r="AB133" s="52">
        <f t="shared" si="109"/>
        <v>0</v>
      </c>
    </row>
    <row r="134" spans="1:187" s="20" customFormat="1" ht="31.5" x14ac:dyDescent="0.25">
      <c r="A134" s="25" t="s">
        <v>190</v>
      </c>
      <c r="B134" s="26">
        <f t="shared" si="101"/>
        <v>3600</v>
      </c>
      <c r="C134" s="26">
        <f t="shared" si="101"/>
        <v>3600</v>
      </c>
      <c r="D134" s="26">
        <f t="shared" si="101"/>
        <v>0</v>
      </c>
      <c r="E134" s="26">
        <v>0</v>
      </c>
      <c r="F134" s="26">
        <v>0</v>
      </c>
      <c r="G134" s="26">
        <f t="shared" si="102"/>
        <v>0</v>
      </c>
      <c r="H134" s="26"/>
      <c r="I134" s="26"/>
      <c r="J134" s="26">
        <f t="shared" si="103"/>
        <v>0</v>
      </c>
      <c r="K134" s="26">
        <v>3600</v>
      </c>
      <c r="L134" s="26">
        <v>3600</v>
      </c>
      <c r="M134" s="26">
        <f t="shared" si="104"/>
        <v>0</v>
      </c>
      <c r="N134" s="26"/>
      <c r="O134" s="26"/>
      <c r="P134" s="26">
        <f t="shared" si="105"/>
        <v>0</v>
      </c>
      <c r="Q134" s="26">
        <v>0</v>
      </c>
      <c r="R134" s="26">
        <v>0</v>
      </c>
      <c r="S134" s="26">
        <f t="shared" si="106"/>
        <v>0</v>
      </c>
      <c r="T134" s="26"/>
      <c r="U134" s="26"/>
      <c r="V134" s="26">
        <f t="shared" si="107"/>
        <v>0</v>
      </c>
      <c r="W134" s="26"/>
      <c r="X134" s="26"/>
      <c r="Y134" s="26">
        <f t="shared" si="108"/>
        <v>0</v>
      </c>
      <c r="Z134" s="26"/>
      <c r="AA134" s="26"/>
      <c r="AB134" s="26">
        <f t="shared" si="109"/>
        <v>0</v>
      </c>
    </row>
    <row r="135" spans="1:187" s="20" customFormat="1" ht="31.5" x14ac:dyDescent="0.25">
      <c r="A135" s="25" t="s">
        <v>170</v>
      </c>
      <c r="B135" s="26">
        <f t="shared" si="101"/>
        <v>1704</v>
      </c>
      <c r="C135" s="26">
        <f t="shared" si="101"/>
        <v>1704</v>
      </c>
      <c r="D135" s="26">
        <f t="shared" si="101"/>
        <v>0</v>
      </c>
      <c r="E135" s="26">
        <v>0</v>
      </c>
      <c r="F135" s="26">
        <v>0</v>
      </c>
      <c r="G135" s="26">
        <f t="shared" si="102"/>
        <v>0</v>
      </c>
      <c r="H135" s="26"/>
      <c r="I135" s="26"/>
      <c r="J135" s="26">
        <f t="shared" si="103"/>
        <v>0</v>
      </c>
      <c r="K135" s="26">
        <v>1704</v>
      </c>
      <c r="L135" s="26">
        <v>1704</v>
      </c>
      <c r="M135" s="26">
        <f t="shared" si="104"/>
        <v>0</v>
      </c>
      <c r="N135" s="26"/>
      <c r="O135" s="26"/>
      <c r="P135" s="26">
        <f t="shared" si="105"/>
        <v>0</v>
      </c>
      <c r="Q135" s="26">
        <v>0</v>
      </c>
      <c r="R135" s="26">
        <v>0</v>
      </c>
      <c r="S135" s="26">
        <f t="shared" si="106"/>
        <v>0</v>
      </c>
      <c r="T135" s="26"/>
      <c r="U135" s="26"/>
      <c r="V135" s="26">
        <f t="shared" si="107"/>
        <v>0</v>
      </c>
      <c r="W135" s="26"/>
      <c r="X135" s="26"/>
      <c r="Y135" s="26">
        <f t="shared" si="108"/>
        <v>0</v>
      </c>
      <c r="Z135" s="26"/>
      <c r="AA135" s="26"/>
      <c r="AB135" s="26">
        <f t="shared" si="109"/>
        <v>0</v>
      </c>
    </row>
    <row r="136" spans="1:187" s="20" customFormat="1" ht="31.5" x14ac:dyDescent="0.25">
      <c r="A136" s="25" t="s">
        <v>171</v>
      </c>
      <c r="B136" s="26">
        <f t="shared" si="101"/>
        <v>21500</v>
      </c>
      <c r="C136" s="26">
        <f t="shared" si="101"/>
        <v>21500</v>
      </c>
      <c r="D136" s="26">
        <f t="shared" si="101"/>
        <v>0</v>
      </c>
      <c r="E136" s="26">
        <v>0</v>
      </c>
      <c r="F136" s="26">
        <v>0</v>
      </c>
      <c r="G136" s="26">
        <f t="shared" si="102"/>
        <v>0</v>
      </c>
      <c r="H136" s="26"/>
      <c r="I136" s="26"/>
      <c r="J136" s="26">
        <f t="shared" si="103"/>
        <v>0</v>
      </c>
      <c r="K136" s="26"/>
      <c r="L136" s="26"/>
      <c r="M136" s="26">
        <f t="shared" si="104"/>
        <v>0</v>
      </c>
      <c r="N136" s="26"/>
      <c r="O136" s="26"/>
      <c r="P136" s="26">
        <f t="shared" si="105"/>
        <v>0</v>
      </c>
      <c r="Q136" s="26">
        <f>21426+74</f>
        <v>21500</v>
      </c>
      <c r="R136" s="26">
        <f>21426+74</f>
        <v>21500</v>
      </c>
      <c r="S136" s="26">
        <f t="shared" si="106"/>
        <v>0</v>
      </c>
      <c r="T136" s="26"/>
      <c r="U136" s="26"/>
      <c r="V136" s="26">
        <f t="shared" si="107"/>
        <v>0</v>
      </c>
      <c r="W136" s="26"/>
      <c r="X136" s="26"/>
      <c r="Y136" s="26">
        <f t="shared" si="108"/>
        <v>0</v>
      </c>
      <c r="Z136" s="26"/>
      <c r="AA136" s="26"/>
      <c r="AB136" s="26">
        <f t="shared" si="109"/>
        <v>0</v>
      </c>
    </row>
    <row r="137" spans="1:187" s="53" customFormat="1" ht="31.5" x14ac:dyDescent="0.25">
      <c r="A137" s="51" t="s">
        <v>242</v>
      </c>
      <c r="B137" s="52">
        <f t="shared" si="101"/>
        <v>3215</v>
      </c>
      <c r="C137" s="52">
        <f t="shared" si="101"/>
        <v>3215</v>
      </c>
      <c r="D137" s="52">
        <f t="shared" si="101"/>
        <v>0</v>
      </c>
      <c r="E137" s="52">
        <v>0</v>
      </c>
      <c r="F137" s="52">
        <v>0</v>
      </c>
      <c r="G137" s="52">
        <f t="shared" si="102"/>
        <v>0</v>
      </c>
      <c r="H137" s="52"/>
      <c r="I137" s="52"/>
      <c r="J137" s="52">
        <f t="shared" si="103"/>
        <v>0</v>
      </c>
      <c r="K137" s="52">
        <v>0</v>
      </c>
      <c r="L137" s="52">
        <v>0</v>
      </c>
      <c r="M137" s="52">
        <f t="shared" si="104"/>
        <v>0</v>
      </c>
      <c r="N137" s="52"/>
      <c r="O137" s="52"/>
      <c r="P137" s="52">
        <f t="shared" si="105"/>
        <v>0</v>
      </c>
      <c r="Q137" s="52">
        <v>0</v>
      </c>
      <c r="R137" s="52">
        <v>0</v>
      </c>
      <c r="S137" s="52">
        <f t="shared" si="106"/>
        <v>0</v>
      </c>
      <c r="T137" s="52"/>
      <c r="U137" s="52"/>
      <c r="V137" s="52">
        <f t="shared" si="107"/>
        <v>0</v>
      </c>
      <c r="W137" s="52">
        <v>3215</v>
      </c>
      <c r="X137" s="52">
        <v>3215</v>
      </c>
      <c r="Y137" s="52">
        <f t="shared" si="108"/>
        <v>0</v>
      </c>
      <c r="Z137" s="52"/>
      <c r="AA137" s="52"/>
      <c r="AB137" s="52">
        <f t="shared" si="109"/>
        <v>0</v>
      </c>
    </row>
    <row r="138" spans="1:187" s="20" customFormat="1" ht="31.5" x14ac:dyDescent="0.25">
      <c r="A138" s="25" t="s">
        <v>172</v>
      </c>
      <c r="B138" s="26">
        <f t="shared" si="101"/>
        <v>2754</v>
      </c>
      <c r="C138" s="26">
        <f t="shared" si="101"/>
        <v>2754</v>
      </c>
      <c r="D138" s="26">
        <f t="shared" si="101"/>
        <v>0</v>
      </c>
      <c r="E138" s="26">
        <v>0</v>
      </c>
      <c r="F138" s="26">
        <v>0</v>
      </c>
      <c r="G138" s="26">
        <f t="shared" si="102"/>
        <v>0</v>
      </c>
      <c r="H138" s="26"/>
      <c r="I138" s="26"/>
      <c r="J138" s="26">
        <f t="shared" si="103"/>
        <v>0</v>
      </c>
      <c r="K138" s="26">
        <v>2754</v>
      </c>
      <c r="L138" s="26">
        <v>2754</v>
      </c>
      <c r="M138" s="26">
        <f t="shared" si="104"/>
        <v>0</v>
      </c>
      <c r="N138" s="26"/>
      <c r="O138" s="26"/>
      <c r="P138" s="26">
        <f t="shared" si="105"/>
        <v>0</v>
      </c>
      <c r="Q138" s="26">
        <v>0</v>
      </c>
      <c r="R138" s="26">
        <v>0</v>
      </c>
      <c r="S138" s="26">
        <f t="shared" si="106"/>
        <v>0</v>
      </c>
      <c r="T138" s="26"/>
      <c r="U138" s="26"/>
      <c r="V138" s="26">
        <f t="shared" si="107"/>
        <v>0</v>
      </c>
      <c r="W138" s="26"/>
      <c r="X138" s="26"/>
      <c r="Y138" s="26">
        <f t="shared" si="108"/>
        <v>0</v>
      </c>
      <c r="Z138" s="26"/>
      <c r="AA138" s="26"/>
      <c r="AB138" s="26">
        <f t="shared" si="109"/>
        <v>0</v>
      </c>
    </row>
    <row r="139" spans="1:187" s="20" customFormat="1" ht="31.5" x14ac:dyDescent="0.25">
      <c r="A139" s="25" t="s">
        <v>91</v>
      </c>
      <c r="B139" s="26">
        <f t="shared" si="101"/>
        <v>69997</v>
      </c>
      <c r="C139" s="26">
        <f t="shared" si="101"/>
        <v>69997</v>
      </c>
      <c r="D139" s="26">
        <f t="shared" si="101"/>
        <v>0</v>
      </c>
      <c r="E139" s="26">
        <v>0</v>
      </c>
      <c r="F139" s="26">
        <v>0</v>
      </c>
      <c r="G139" s="26">
        <f t="shared" si="102"/>
        <v>0</v>
      </c>
      <c r="H139" s="26"/>
      <c r="I139" s="26"/>
      <c r="J139" s="26">
        <f t="shared" si="103"/>
        <v>0</v>
      </c>
      <c r="K139" s="26">
        <v>9841</v>
      </c>
      <c r="L139" s="26">
        <v>9841</v>
      </c>
      <c r="M139" s="26">
        <f t="shared" si="104"/>
        <v>0</v>
      </c>
      <c r="N139" s="26"/>
      <c r="O139" s="26"/>
      <c r="P139" s="26">
        <f t="shared" si="105"/>
        <v>0</v>
      </c>
      <c r="Q139" s="26">
        <v>60156</v>
      </c>
      <c r="R139" s="26">
        <v>60156</v>
      </c>
      <c r="S139" s="26">
        <f t="shared" si="106"/>
        <v>0</v>
      </c>
      <c r="T139" s="26"/>
      <c r="U139" s="26"/>
      <c r="V139" s="26">
        <f t="shared" si="107"/>
        <v>0</v>
      </c>
      <c r="W139" s="26"/>
      <c r="X139" s="26"/>
      <c r="Y139" s="26">
        <f t="shared" si="108"/>
        <v>0</v>
      </c>
      <c r="Z139" s="26"/>
      <c r="AA139" s="26"/>
      <c r="AB139" s="26">
        <f t="shared" si="109"/>
        <v>0</v>
      </c>
    </row>
    <row r="140" spans="1:187" s="53" customFormat="1" ht="31.5" x14ac:dyDescent="0.25">
      <c r="A140" s="51" t="s">
        <v>230</v>
      </c>
      <c r="B140" s="52">
        <f t="shared" si="101"/>
        <v>10965</v>
      </c>
      <c r="C140" s="52">
        <f t="shared" si="101"/>
        <v>10965</v>
      </c>
      <c r="D140" s="52">
        <f t="shared" si="101"/>
        <v>0</v>
      </c>
      <c r="E140" s="52">
        <v>0</v>
      </c>
      <c r="F140" s="52">
        <v>0</v>
      </c>
      <c r="G140" s="52">
        <f t="shared" si="102"/>
        <v>0</v>
      </c>
      <c r="H140" s="52"/>
      <c r="I140" s="52"/>
      <c r="J140" s="52">
        <f t="shared" si="103"/>
        <v>0</v>
      </c>
      <c r="K140" s="52">
        <v>10965</v>
      </c>
      <c r="L140" s="52">
        <v>10965</v>
      </c>
      <c r="M140" s="52">
        <f t="shared" si="104"/>
        <v>0</v>
      </c>
      <c r="N140" s="52"/>
      <c r="O140" s="52"/>
      <c r="P140" s="52"/>
      <c r="Q140" s="52"/>
      <c r="R140" s="52"/>
      <c r="S140" s="52">
        <f t="shared" si="106"/>
        <v>0</v>
      </c>
      <c r="T140" s="52"/>
      <c r="U140" s="52"/>
      <c r="V140" s="52">
        <f t="shared" si="107"/>
        <v>0</v>
      </c>
      <c r="W140" s="52"/>
      <c r="X140" s="52"/>
      <c r="Y140" s="52">
        <f t="shared" si="108"/>
        <v>0</v>
      </c>
      <c r="Z140" s="52"/>
      <c r="AA140" s="52"/>
      <c r="AB140" s="52">
        <f t="shared" si="109"/>
        <v>0</v>
      </c>
    </row>
    <row r="141" spans="1:187" s="53" customFormat="1" ht="31.5" x14ac:dyDescent="0.25">
      <c r="A141" s="51" t="s">
        <v>231</v>
      </c>
      <c r="B141" s="52">
        <f t="shared" si="101"/>
        <v>2653</v>
      </c>
      <c r="C141" s="52">
        <f t="shared" si="101"/>
        <v>2653</v>
      </c>
      <c r="D141" s="52">
        <f t="shared" si="101"/>
        <v>0</v>
      </c>
      <c r="E141" s="52">
        <v>0</v>
      </c>
      <c r="F141" s="52">
        <v>0</v>
      </c>
      <c r="G141" s="52">
        <f t="shared" si="102"/>
        <v>0</v>
      </c>
      <c r="H141" s="52"/>
      <c r="I141" s="52"/>
      <c r="J141" s="52">
        <f t="shared" si="103"/>
        <v>0</v>
      </c>
      <c r="K141" s="52">
        <v>2653</v>
      </c>
      <c r="L141" s="52">
        <v>2653</v>
      </c>
      <c r="M141" s="52">
        <f t="shared" si="104"/>
        <v>0</v>
      </c>
      <c r="N141" s="52"/>
      <c r="O141" s="52"/>
      <c r="P141" s="52"/>
      <c r="Q141" s="52"/>
      <c r="R141" s="52"/>
      <c r="S141" s="52">
        <f t="shared" si="106"/>
        <v>0</v>
      </c>
      <c r="T141" s="52"/>
      <c r="U141" s="52"/>
      <c r="V141" s="52">
        <f t="shared" si="107"/>
        <v>0</v>
      </c>
      <c r="W141" s="52"/>
      <c r="X141" s="52"/>
      <c r="Y141" s="52">
        <f t="shared" si="108"/>
        <v>0</v>
      </c>
      <c r="Z141" s="52"/>
      <c r="AA141" s="52"/>
      <c r="AB141" s="52">
        <f t="shared" si="109"/>
        <v>0</v>
      </c>
    </row>
    <row r="142" spans="1:187" s="20" customFormat="1" ht="31.5" x14ac:dyDescent="0.25">
      <c r="A142" s="25" t="s">
        <v>92</v>
      </c>
      <c r="B142" s="26">
        <f t="shared" si="101"/>
        <v>10998</v>
      </c>
      <c r="C142" s="26">
        <f t="shared" si="101"/>
        <v>10998</v>
      </c>
      <c r="D142" s="26">
        <f t="shared" si="101"/>
        <v>0</v>
      </c>
      <c r="E142" s="26">
        <v>0</v>
      </c>
      <c r="F142" s="26">
        <v>0</v>
      </c>
      <c r="G142" s="26">
        <f t="shared" si="102"/>
        <v>0</v>
      </c>
      <c r="H142" s="26"/>
      <c r="I142" s="26"/>
      <c r="J142" s="26">
        <f t="shared" si="103"/>
        <v>0</v>
      </c>
      <c r="K142" s="26">
        <v>0</v>
      </c>
      <c r="L142" s="26">
        <v>0</v>
      </c>
      <c r="M142" s="26">
        <f t="shared" si="104"/>
        <v>0</v>
      </c>
      <c r="N142" s="26"/>
      <c r="O142" s="26"/>
      <c r="P142" s="26">
        <f t="shared" si="105"/>
        <v>0</v>
      </c>
      <c r="Q142" s="26">
        <v>10998</v>
      </c>
      <c r="R142" s="26">
        <v>10998</v>
      </c>
      <c r="S142" s="26">
        <f t="shared" si="106"/>
        <v>0</v>
      </c>
      <c r="T142" s="26"/>
      <c r="U142" s="26"/>
      <c r="V142" s="26">
        <f t="shared" si="107"/>
        <v>0</v>
      </c>
      <c r="W142" s="26"/>
      <c r="X142" s="26"/>
      <c r="Y142" s="26">
        <f t="shared" si="108"/>
        <v>0</v>
      </c>
      <c r="Z142" s="26"/>
      <c r="AA142" s="26"/>
      <c r="AB142" s="26">
        <f t="shared" si="109"/>
        <v>0</v>
      </c>
    </row>
    <row r="143" spans="1:187" s="20" customFormat="1" x14ac:dyDescent="0.25">
      <c r="A143" s="18" t="s">
        <v>93</v>
      </c>
      <c r="B143" s="19">
        <f t="shared" si="101"/>
        <v>15569</v>
      </c>
      <c r="C143" s="19">
        <f t="shared" si="101"/>
        <v>18417</v>
      </c>
      <c r="D143" s="19">
        <f t="shared" si="101"/>
        <v>2848</v>
      </c>
      <c r="E143" s="19">
        <f>SUM(E144:E150)</f>
        <v>0</v>
      </c>
      <c r="F143" s="19">
        <f>SUM(F144:F150)</f>
        <v>0</v>
      </c>
      <c r="G143" s="19">
        <f t="shared" si="102"/>
        <v>0</v>
      </c>
      <c r="H143" s="19">
        <f>SUM(H144:H150)</f>
        <v>0</v>
      </c>
      <c r="I143" s="19">
        <f>SUM(I144:I150)</f>
        <v>0</v>
      </c>
      <c r="J143" s="19">
        <f t="shared" si="103"/>
        <v>0</v>
      </c>
      <c r="K143" s="19">
        <f>SUM(K144:K150)</f>
        <v>2380</v>
      </c>
      <c r="L143" s="19">
        <f>SUM(L144:L150)</f>
        <v>5228</v>
      </c>
      <c r="M143" s="19">
        <f t="shared" si="104"/>
        <v>2848</v>
      </c>
      <c r="N143" s="19">
        <f>SUM(N144:N150)</f>
        <v>2939</v>
      </c>
      <c r="O143" s="19">
        <f>SUM(O144:O150)</f>
        <v>2939</v>
      </c>
      <c r="P143" s="19">
        <f t="shared" si="105"/>
        <v>0</v>
      </c>
      <c r="Q143" s="19">
        <f>SUM(Q144:Q150)</f>
        <v>10250</v>
      </c>
      <c r="R143" s="19">
        <f>SUM(R144:R150)</f>
        <v>10250</v>
      </c>
      <c r="S143" s="19">
        <f t="shared" si="106"/>
        <v>0</v>
      </c>
      <c r="T143" s="19">
        <f>SUM(T144:T150)</f>
        <v>0</v>
      </c>
      <c r="U143" s="19">
        <f>SUM(U144:U150)</f>
        <v>0</v>
      </c>
      <c r="V143" s="19">
        <f t="shared" si="107"/>
        <v>0</v>
      </c>
      <c r="W143" s="19">
        <f>SUM(W144:W150)</f>
        <v>0</v>
      </c>
      <c r="X143" s="19">
        <f>SUM(X144:X150)</f>
        <v>0</v>
      </c>
      <c r="Y143" s="19">
        <f t="shared" si="108"/>
        <v>0</v>
      </c>
      <c r="Z143" s="19">
        <f>SUM(Z144:Z150)</f>
        <v>0</v>
      </c>
      <c r="AA143" s="19">
        <f>SUM(AA144:AA150)</f>
        <v>0</v>
      </c>
      <c r="AB143" s="19">
        <f t="shared" si="109"/>
        <v>0</v>
      </c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</row>
    <row r="144" spans="1:187" s="20" customFormat="1" ht="31.5" x14ac:dyDescent="0.25">
      <c r="A144" s="25" t="s">
        <v>213</v>
      </c>
      <c r="B144" s="26">
        <f t="shared" si="101"/>
        <v>5040</v>
      </c>
      <c r="C144" s="26">
        <f t="shared" si="101"/>
        <v>5040</v>
      </c>
      <c r="D144" s="26">
        <f t="shared" si="101"/>
        <v>0</v>
      </c>
      <c r="E144" s="26"/>
      <c r="F144" s="26"/>
      <c r="G144" s="26">
        <f t="shared" si="102"/>
        <v>0</v>
      </c>
      <c r="H144" s="26"/>
      <c r="I144" s="26"/>
      <c r="J144" s="26">
        <f t="shared" si="103"/>
        <v>0</v>
      </c>
      <c r="K144" s="26">
        <v>0</v>
      </c>
      <c r="L144" s="26">
        <v>0</v>
      </c>
      <c r="M144" s="26">
        <f t="shared" si="104"/>
        <v>0</v>
      </c>
      <c r="N144" s="26">
        <v>0</v>
      </c>
      <c r="O144" s="26">
        <v>0</v>
      </c>
      <c r="P144" s="26">
        <f t="shared" si="105"/>
        <v>0</v>
      </c>
      <c r="Q144" s="26">
        <v>5040</v>
      </c>
      <c r="R144" s="26">
        <v>5040</v>
      </c>
      <c r="S144" s="26">
        <f t="shared" si="106"/>
        <v>0</v>
      </c>
      <c r="T144" s="26"/>
      <c r="U144" s="26"/>
      <c r="V144" s="26">
        <f t="shared" si="107"/>
        <v>0</v>
      </c>
      <c r="W144" s="26"/>
      <c r="X144" s="26"/>
      <c r="Y144" s="26">
        <f t="shared" si="108"/>
        <v>0</v>
      </c>
      <c r="Z144" s="26"/>
      <c r="AA144" s="26"/>
      <c r="AB144" s="26">
        <f t="shared" si="109"/>
        <v>0</v>
      </c>
    </row>
    <row r="145" spans="1:187" s="20" customFormat="1" ht="31.5" x14ac:dyDescent="0.25">
      <c r="A145" s="25" t="s">
        <v>214</v>
      </c>
      <c r="B145" s="26">
        <f t="shared" si="101"/>
        <v>2380</v>
      </c>
      <c r="C145" s="26">
        <f t="shared" si="101"/>
        <v>2380</v>
      </c>
      <c r="D145" s="26">
        <f t="shared" si="101"/>
        <v>0</v>
      </c>
      <c r="E145" s="26"/>
      <c r="F145" s="26"/>
      <c r="G145" s="26">
        <f t="shared" si="102"/>
        <v>0</v>
      </c>
      <c r="H145" s="26"/>
      <c r="I145" s="26"/>
      <c r="J145" s="26">
        <f t="shared" si="103"/>
        <v>0</v>
      </c>
      <c r="K145" s="26">
        <v>2380</v>
      </c>
      <c r="L145" s="26">
        <v>2380</v>
      </c>
      <c r="M145" s="26">
        <f t="shared" si="104"/>
        <v>0</v>
      </c>
      <c r="N145" s="26">
        <v>0</v>
      </c>
      <c r="O145" s="26">
        <v>0</v>
      </c>
      <c r="P145" s="26">
        <f t="shared" si="105"/>
        <v>0</v>
      </c>
      <c r="Q145" s="26"/>
      <c r="R145" s="26"/>
      <c r="S145" s="26">
        <f t="shared" si="106"/>
        <v>0</v>
      </c>
      <c r="T145" s="26"/>
      <c r="U145" s="26"/>
      <c r="V145" s="26">
        <f t="shared" si="107"/>
        <v>0</v>
      </c>
      <c r="W145" s="26"/>
      <c r="X145" s="26"/>
      <c r="Y145" s="26">
        <f t="shared" si="108"/>
        <v>0</v>
      </c>
      <c r="Z145" s="26"/>
      <c r="AA145" s="26"/>
      <c r="AB145" s="26">
        <f t="shared" si="109"/>
        <v>0</v>
      </c>
    </row>
    <row r="146" spans="1:187" s="20" customFormat="1" ht="47.25" x14ac:dyDescent="0.25">
      <c r="A146" s="25" t="s">
        <v>200</v>
      </c>
      <c r="B146" s="26">
        <f t="shared" si="101"/>
        <v>1540</v>
      </c>
      <c r="C146" s="26">
        <f t="shared" si="101"/>
        <v>1540</v>
      </c>
      <c r="D146" s="26">
        <f t="shared" si="101"/>
        <v>0</v>
      </c>
      <c r="E146" s="26"/>
      <c r="F146" s="26"/>
      <c r="G146" s="26">
        <f t="shared" si="102"/>
        <v>0</v>
      </c>
      <c r="H146" s="26"/>
      <c r="I146" s="26"/>
      <c r="J146" s="26">
        <f t="shared" si="103"/>
        <v>0</v>
      </c>
      <c r="K146" s="26">
        <v>0</v>
      </c>
      <c r="L146" s="26">
        <v>0</v>
      </c>
      <c r="M146" s="26">
        <f t="shared" si="104"/>
        <v>0</v>
      </c>
      <c r="N146" s="26">
        <v>1540</v>
      </c>
      <c r="O146" s="26">
        <v>1540</v>
      </c>
      <c r="P146" s="26">
        <f t="shared" si="105"/>
        <v>0</v>
      </c>
      <c r="Q146" s="26"/>
      <c r="R146" s="26"/>
      <c r="S146" s="26">
        <f t="shared" si="106"/>
        <v>0</v>
      </c>
      <c r="T146" s="26"/>
      <c r="U146" s="26"/>
      <c r="V146" s="26">
        <f t="shared" si="107"/>
        <v>0</v>
      </c>
      <c r="W146" s="26"/>
      <c r="X146" s="26"/>
      <c r="Y146" s="26">
        <f t="shared" si="108"/>
        <v>0</v>
      </c>
      <c r="Z146" s="26"/>
      <c r="AA146" s="26"/>
      <c r="AB146" s="26">
        <f t="shared" si="109"/>
        <v>0</v>
      </c>
    </row>
    <row r="147" spans="1:187" s="20" customFormat="1" ht="47.25" x14ac:dyDescent="0.25">
      <c r="A147" s="25" t="s">
        <v>196</v>
      </c>
      <c r="B147" s="26">
        <f t="shared" si="101"/>
        <v>1399</v>
      </c>
      <c r="C147" s="26">
        <f t="shared" si="101"/>
        <v>1399</v>
      </c>
      <c r="D147" s="26">
        <f t="shared" si="101"/>
        <v>0</v>
      </c>
      <c r="E147" s="26"/>
      <c r="F147" s="26"/>
      <c r="G147" s="26">
        <f t="shared" si="102"/>
        <v>0</v>
      </c>
      <c r="H147" s="26"/>
      <c r="I147" s="26"/>
      <c r="J147" s="26">
        <f t="shared" si="103"/>
        <v>0</v>
      </c>
      <c r="K147" s="26">
        <v>0</v>
      </c>
      <c r="L147" s="26">
        <v>0</v>
      </c>
      <c r="M147" s="26">
        <f t="shared" si="104"/>
        <v>0</v>
      </c>
      <c r="N147" s="26">
        <v>1399</v>
      </c>
      <c r="O147" s="26">
        <v>1399</v>
      </c>
      <c r="P147" s="26">
        <f t="shared" si="105"/>
        <v>0</v>
      </c>
      <c r="Q147" s="26"/>
      <c r="R147" s="26"/>
      <c r="S147" s="26">
        <f t="shared" si="106"/>
        <v>0</v>
      </c>
      <c r="T147" s="26"/>
      <c r="U147" s="26"/>
      <c r="V147" s="26">
        <f t="shared" si="107"/>
        <v>0</v>
      </c>
      <c r="W147" s="26"/>
      <c r="X147" s="26"/>
      <c r="Y147" s="26">
        <f t="shared" si="108"/>
        <v>0</v>
      </c>
      <c r="Z147" s="26"/>
      <c r="AA147" s="26"/>
      <c r="AB147" s="26">
        <f t="shared" si="109"/>
        <v>0</v>
      </c>
    </row>
    <row r="148" spans="1:187" s="53" customFormat="1" x14ac:dyDescent="0.25">
      <c r="A148" s="51" t="s">
        <v>248</v>
      </c>
      <c r="B148" s="52">
        <f t="shared" si="101"/>
        <v>0</v>
      </c>
      <c r="C148" s="52">
        <f t="shared" si="101"/>
        <v>1241</v>
      </c>
      <c r="D148" s="52">
        <f t="shared" si="101"/>
        <v>1241</v>
      </c>
      <c r="E148" s="52"/>
      <c r="F148" s="52"/>
      <c r="G148" s="52">
        <f t="shared" si="102"/>
        <v>0</v>
      </c>
      <c r="H148" s="52"/>
      <c r="I148" s="52"/>
      <c r="J148" s="52">
        <f t="shared" si="103"/>
        <v>0</v>
      </c>
      <c r="K148" s="52">
        <v>0</v>
      </c>
      <c r="L148" s="52">
        <v>1241</v>
      </c>
      <c r="M148" s="52">
        <f t="shared" si="104"/>
        <v>1241</v>
      </c>
      <c r="N148" s="52">
        <v>0</v>
      </c>
      <c r="O148" s="52">
        <v>0</v>
      </c>
      <c r="P148" s="52">
        <f t="shared" si="105"/>
        <v>0</v>
      </c>
      <c r="Q148" s="52">
        <v>0</v>
      </c>
      <c r="R148" s="52">
        <v>0</v>
      </c>
      <c r="S148" s="52">
        <f t="shared" si="106"/>
        <v>0</v>
      </c>
      <c r="T148" s="52"/>
      <c r="U148" s="52"/>
      <c r="V148" s="52">
        <f t="shared" si="107"/>
        <v>0</v>
      </c>
      <c r="W148" s="52"/>
      <c r="X148" s="52"/>
      <c r="Y148" s="52">
        <f t="shared" si="108"/>
        <v>0</v>
      </c>
      <c r="Z148" s="52"/>
      <c r="AA148" s="52"/>
      <c r="AB148" s="52">
        <f t="shared" si="109"/>
        <v>0</v>
      </c>
    </row>
    <row r="149" spans="1:187" s="53" customFormat="1" x14ac:dyDescent="0.25">
      <c r="A149" s="51" t="s">
        <v>247</v>
      </c>
      <c r="B149" s="52">
        <f t="shared" ref="B149" si="202">E149+H149+K149+N149+Q149+T149+W149+Z149</f>
        <v>0</v>
      </c>
      <c r="C149" s="52">
        <f t="shared" ref="C149" si="203">F149+I149+L149+O149+R149+U149+X149+AA149</f>
        <v>1607</v>
      </c>
      <c r="D149" s="52">
        <f t="shared" ref="D149" si="204">G149+J149+M149+P149+S149+V149+Y149+AB149</f>
        <v>1607</v>
      </c>
      <c r="E149" s="52"/>
      <c r="F149" s="52"/>
      <c r="G149" s="52">
        <f t="shared" ref="G149" si="205">F149-E149</f>
        <v>0</v>
      </c>
      <c r="H149" s="52"/>
      <c r="I149" s="52"/>
      <c r="J149" s="52">
        <f t="shared" ref="J149" si="206">I149-H149</f>
        <v>0</v>
      </c>
      <c r="K149" s="52">
        <v>0</v>
      </c>
      <c r="L149" s="52">
        <v>1607</v>
      </c>
      <c r="M149" s="52">
        <f t="shared" ref="M149" si="207">L149-K149</f>
        <v>1607</v>
      </c>
      <c r="N149" s="52">
        <v>0</v>
      </c>
      <c r="O149" s="52">
        <v>0</v>
      </c>
      <c r="P149" s="52">
        <f t="shared" ref="P149" si="208">O149-N149</f>
        <v>0</v>
      </c>
      <c r="Q149" s="52">
        <v>0</v>
      </c>
      <c r="R149" s="52">
        <v>0</v>
      </c>
      <c r="S149" s="52">
        <f t="shared" ref="S149" si="209">R149-Q149</f>
        <v>0</v>
      </c>
      <c r="T149" s="52"/>
      <c r="U149" s="52"/>
      <c r="V149" s="52">
        <f t="shared" ref="V149" si="210">U149-T149</f>
        <v>0</v>
      </c>
      <c r="W149" s="52"/>
      <c r="X149" s="52"/>
      <c r="Y149" s="52">
        <f t="shared" ref="Y149" si="211">X149-W149</f>
        <v>0</v>
      </c>
      <c r="Z149" s="52"/>
      <c r="AA149" s="52"/>
      <c r="AB149" s="52">
        <f t="shared" ref="AB149" si="212">AA149-Z149</f>
        <v>0</v>
      </c>
    </row>
    <row r="150" spans="1:187" s="20" customFormat="1" x14ac:dyDescent="0.25">
      <c r="A150" s="25" t="s">
        <v>94</v>
      </c>
      <c r="B150" s="26">
        <f t="shared" si="101"/>
        <v>5210</v>
      </c>
      <c r="C150" s="26">
        <f t="shared" si="101"/>
        <v>5210</v>
      </c>
      <c r="D150" s="26">
        <f t="shared" si="101"/>
        <v>0</v>
      </c>
      <c r="E150" s="26"/>
      <c r="F150" s="26"/>
      <c r="G150" s="26">
        <f t="shared" si="102"/>
        <v>0</v>
      </c>
      <c r="H150" s="26"/>
      <c r="I150" s="26"/>
      <c r="J150" s="26">
        <f t="shared" si="103"/>
        <v>0</v>
      </c>
      <c r="K150" s="26">
        <v>0</v>
      </c>
      <c r="L150" s="26">
        <v>0</v>
      </c>
      <c r="M150" s="26">
        <f t="shared" si="104"/>
        <v>0</v>
      </c>
      <c r="N150" s="26">
        <v>0</v>
      </c>
      <c r="O150" s="26">
        <v>0</v>
      </c>
      <c r="P150" s="26">
        <f t="shared" si="105"/>
        <v>0</v>
      </c>
      <c r="Q150" s="26">
        <v>5210</v>
      </c>
      <c r="R150" s="26">
        <v>5210</v>
      </c>
      <c r="S150" s="26">
        <f t="shared" si="106"/>
        <v>0</v>
      </c>
      <c r="T150" s="26"/>
      <c r="U150" s="26"/>
      <c r="V150" s="26">
        <f t="shared" si="107"/>
        <v>0</v>
      </c>
      <c r="W150" s="26"/>
      <c r="X150" s="26"/>
      <c r="Y150" s="26">
        <f t="shared" si="108"/>
        <v>0</v>
      </c>
      <c r="Z150" s="26"/>
      <c r="AA150" s="26"/>
      <c r="AB150" s="26">
        <f t="shared" si="109"/>
        <v>0</v>
      </c>
    </row>
    <row r="151" spans="1:187" s="20" customFormat="1" x14ac:dyDescent="0.25">
      <c r="A151" s="18" t="s">
        <v>35</v>
      </c>
      <c r="B151" s="19">
        <f t="shared" si="101"/>
        <v>170906</v>
      </c>
      <c r="C151" s="19">
        <f t="shared" si="101"/>
        <v>170906</v>
      </c>
      <c r="D151" s="19">
        <f t="shared" si="101"/>
        <v>0</v>
      </c>
      <c r="E151" s="19">
        <f t="shared" ref="E151" si="213">SUM(E152,E156,E160)</f>
        <v>0</v>
      </c>
      <c r="F151" s="19">
        <f t="shared" ref="F151:AA151" si="214">SUM(F152,F156,F160)</f>
        <v>0</v>
      </c>
      <c r="G151" s="19">
        <f t="shared" si="102"/>
        <v>0</v>
      </c>
      <c r="H151" s="19">
        <f t="shared" ref="H151" si="215">SUM(H152,H156,H160)</f>
        <v>0</v>
      </c>
      <c r="I151" s="19">
        <f t="shared" si="214"/>
        <v>0</v>
      </c>
      <c r="J151" s="19">
        <f t="shared" si="103"/>
        <v>0</v>
      </c>
      <c r="K151" s="19">
        <f t="shared" ref="K151" si="216">SUM(K152,K156,K160)</f>
        <v>5342</v>
      </c>
      <c r="L151" s="19">
        <f t="shared" si="214"/>
        <v>5342</v>
      </c>
      <c r="M151" s="19">
        <f t="shared" si="104"/>
        <v>0</v>
      </c>
      <c r="N151" s="19">
        <f t="shared" ref="N151" si="217">SUM(N152,N156,N160)</f>
        <v>0</v>
      </c>
      <c r="O151" s="19">
        <f t="shared" si="214"/>
        <v>0</v>
      </c>
      <c r="P151" s="19">
        <f t="shared" si="105"/>
        <v>0</v>
      </c>
      <c r="Q151" s="19">
        <f t="shared" ref="Q151" si="218">SUM(Q152,Q156,Q160)</f>
        <v>165564</v>
      </c>
      <c r="R151" s="19">
        <f t="shared" si="214"/>
        <v>165564</v>
      </c>
      <c r="S151" s="19">
        <f t="shared" si="106"/>
        <v>0</v>
      </c>
      <c r="T151" s="19">
        <f t="shared" ref="T151" si="219">SUM(T152,T156,T160)</f>
        <v>0</v>
      </c>
      <c r="U151" s="19">
        <f t="shared" si="214"/>
        <v>0</v>
      </c>
      <c r="V151" s="19">
        <f t="shared" si="107"/>
        <v>0</v>
      </c>
      <c r="W151" s="19">
        <f t="shared" ref="W151" si="220">SUM(W152,W156,W160)</f>
        <v>0</v>
      </c>
      <c r="X151" s="19">
        <f t="shared" si="214"/>
        <v>0</v>
      </c>
      <c r="Y151" s="19">
        <f t="shared" si="108"/>
        <v>0</v>
      </c>
      <c r="Z151" s="19">
        <f t="shared" ref="Z151" si="221">SUM(Z152,Z156,Z160)</f>
        <v>0</v>
      </c>
      <c r="AA151" s="19">
        <f t="shared" si="214"/>
        <v>0</v>
      </c>
      <c r="AB151" s="19">
        <f t="shared" si="109"/>
        <v>0</v>
      </c>
    </row>
    <row r="152" spans="1:187" s="20" customFormat="1" x14ac:dyDescent="0.25">
      <c r="A152" s="18" t="s">
        <v>72</v>
      </c>
      <c r="B152" s="19">
        <f t="shared" si="101"/>
        <v>13339</v>
      </c>
      <c r="C152" s="19">
        <f t="shared" si="101"/>
        <v>13339</v>
      </c>
      <c r="D152" s="19">
        <f t="shared" si="101"/>
        <v>0</v>
      </c>
      <c r="E152" s="19">
        <f t="shared" ref="E152" si="222">SUM(E153:E155)</f>
        <v>0</v>
      </c>
      <c r="F152" s="19">
        <f t="shared" ref="F152:AA152" si="223">SUM(F153:F155)</f>
        <v>0</v>
      </c>
      <c r="G152" s="19">
        <f t="shared" si="102"/>
        <v>0</v>
      </c>
      <c r="H152" s="19">
        <f t="shared" ref="H152" si="224">SUM(H153:H155)</f>
        <v>0</v>
      </c>
      <c r="I152" s="19">
        <f t="shared" si="223"/>
        <v>0</v>
      </c>
      <c r="J152" s="19">
        <f t="shared" si="103"/>
        <v>0</v>
      </c>
      <c r="K152" s="19">
        <f t="shared" ref="K152" si="225">SUM(K153:K155)</f>
        <v>0</v>
      </c>
      <c r="L152" s="19">
        <f t="shared" si="223"/>
        <v>0</v>
      </c>
      <c r="M152" s="19">
        <f t="shared" si="104"/>
        <v>0</v>
      </c>
      <c r="N152" s="19">
        <f t="shared" ref="N152" si="226">SUM(N153:N155)</f>
        <v>0</v>
      </c>
      <c r="O152" s="19">
        <f t="shared" si="223"/>
        <v>0</v>
      </c>
      <c r="P152" s="19">
        <f t="shared" si="105"/>
        <v>0</v>
      </c>
      <c r="Q152" s="19">
        <f t="shared" ref="Q152" si="227">SUM(Q153:Q155)</f>
        <v>13339</v>
      </c>
      <c r="R152" s="19">
        <f t="shared" si="223"/>
        <v>13339</v>
      </c>
      <c r="S152" s="19">
        <f t="shared" si="106"/>
        <v>0</v>
      </c>
      <c r="T152" s="19">
        <f t="shared" ref="T152" si="228">SUM(T153:T155)</f>
        <v>0</v>
      </c>
      <c r="U152" s="19">
        <f t="shared" si="223"/>
        <v>0</v>
      </c>
      <c r="V152" s="19">
        <f t="shared" si="107"/>
        <v>0</v>
      </c>
      <c r="W152" s="19">
        <f t="shared" ref="W152" si="229">SUM(W153:W155)</f>
        <v>0</v>
      </c>
      <c r="X152" s="19">
        <f t="shared" si="223"/>
        <v>0</v>
      </c>
      <c r="Y152" s="19">
        <f t="shared" si="108"/>
        <v>0</v>
      </c>
      <c r="Z152" s="19">
        <f t="shared" ref="Z152" si="230">SUM(Z153:Z155)</f>
        <v>0</v>
      </c>
      <c r="AA152" s="19">
        <f t="shared" si="223"/>
        <v>0</v>
      </c>
      <c r="AB152" s="19">
        <f t="shared" si="109"/>
        <v>0</v>
      </c>
    </row>
    <row r="153" spans="1:187" s="20" customFormat="1" ht="31.5" x14ac:dyDescent="0.25">
      <c r="A153" s="25" t="s">
        <v>95</v>
      </c>
      <c r="B153" s="26">
        <f t="shared" si="101"/>
        <v>10201</v>
      </c>
      <c r="C153" s="26">
        <f t="shared" si="101"/>
        <v>10201</v>
      </c>
      <c r="D153" s="26">
        <f t="shared" si="101"/>
        <v>0</v>
      </c>
      <c r="E153" s="26"/>
      <c r="F153" s="26"/>
      <c r="G153" s="26">
        <f t="shared" si="102"/>
        <v>0</v>
      </c>
      <c r="H153" s="26"/>
      <c r="I153" s="26"/>
      <c r="J153" s="26">
        <f t="shared" si="103"/>
        <v>0</v>
      </c>
      <c r="K153" s="26"/>
      <c r="L153" s="26"/>
      <c r="M153" s="26">
        <f t="shared" si="104"/>
        <v>0</v>
      </c>
      <c r="N153" s="26"/>
      <c r="O153" s="26"/>
      <c r="P153" s="26">
        <f t="shared" si="105"/>
        <v>0</v>
      </c>
      <c r="Q153" s="26">
        <v>10201</v>
      </c>
      <c r="R153" s="26">
        <v>10201</v>
      </c>
      <c r="S153" s="26">
        <f t="shared" si="106"/>
        <v>0</v>
      </c>
      <c r="T153" s="26"/>
      <c r="U153" s="26"/>
      <c r="V153" s="26">
        <f t="shared" si="107"/>
        <v>0</v>
      </c>
      <c r="W153" s="26"/>
      <c r="X153" s="26"/>
      <c r="Y153" s="26">
        <f t="shared" si="108"/>
        <v>0</v>
      </c>
      <c r="Z153" s="26"/>
      <c r="AA153" s="26"/>
      <c r="AB153" s="26">
        <f t="shared" si="109"/>
        <v>0</v>
      </c>
    </row>
    <row r="154" spans="1:187" s="20" customFormat="1" ht="31.5" x14ac:dyDescent="0.25">
      <c r="A154" s="25" t="s">
        <v>215</v>
      </c>
      <c r="B154" s="26">
        <f t="shared" si="101"/>
        <v>1836</v>
      </c>
      <c r="C154" s="26">
        <f t="shared" si="101"/>
        <v>1836</v>
      </c>
      <c r="D154" s="26">
        <f t="shared" si="101"/>
        <v>0</v>
      </c>
      <c r="E154" s="26"/>
      <c r="F154" s="26"/>
      <c r="G154" s="26">
        <f t="shared" si="102"/>
        <v>0</v>
      </c>
      <c r="H154" s="26"/>
      <c r="I154" s="26"/>
      <c r="J154" s="26">
        <f t="shared" si="103"/>
        <v>0</v>
      </c>
      <c r="K154" s="26"/>
      <c r="L154" s="26"/>
      <c r="M154" s="26">
        <f t="shared" si="104"/>
        <v>0</v>
      </c>
      <c r="N154" s="26"/>
      <c r="O154" s="26"/>
      <c r="P154" s="26">
        <f t="shared" si="105"/>
        <v>0</v>
      </c>
      <c r="Q154" s="26">
        <v>1836</v>
      </c>
      <c r="R154" s="26">
        <v>1836</v>
      </c>
      <c r="S154" s="26">
        <f t="shared" si="106"/>
        <v>0</v>
      </c>
      <c r="T154" s="26"/>
      <c r="U154" s="26"/>
      <c r="V154" s="26">
        <f t="shared" si="107"/>
        <v>0</v>
      </c>
      <c r="W154" s="26"/>
      <c r="X154" s="26"/>
      <c r="Y154" s="26">
        <f t="shared" si="108"/>
        <v>0</v>
      </c>
      <c r="Z154" s="26"/>
      <c r="AA154" s="26"/>
      <c r="AB154" s="26">
        <f t="shared" si="109"/>
        <v>0</v>
      </c>
    </row>
    <row r="155" spans="1:187" s="20" customFormat="1" ht="31.5" x14ac:dyDescent="0.25">
      <c r="A155" s="25" t="s">
        <v>216</v>
      </c>
      <c r="B155" s="26">
        <f t="shared" si="101"/>
        <v>1302</v>
      </c>
      <c r="C155" s="26">
        <f t="shared" si="101"/>
        <v>1302</v>
      </c>
      <c r="D155" s="26">
        <f t="shared" si="101"/>
        <v>0</v>
      </c>
      <c r="E155" s="26"/>
      <c r="F155" s="26"/>
      <c r="G155" s="26">
        <f t="shared" si="102"/>
        <v>0</v>
      </c>
      <c r="H155" s="26"/>
      <c r="I155" s="26"/>
      <c r="J155" s="26">
        <f t="shared" si="103"/>
        <v>0</v>
      </c>
      <c r="K155" s="26"/>
      <c r="L155" s="26"/>
      <c r="M155" s="26">
        <f t="shared" si="104"/>
        <v>0</v>
      </c>
      <c r="N155" s="26"/>
      <c r="O155" s="26"/>
      <c r="P155" s="26">
        <f t="shared" si="105"/>
        <v>0</v>
      </c>
      <c r="Q155" s="26">
        <v>1302</v>
      </c>
      <c r="R155" s="26">
        <v>1302</v>
      </c>
      <c r="S155" s="26">
        <f t="shared" si="106"/>
        <v>0</v>
      </c>
      <c r="T155" s="26"/>
      <c r="U155" s="26"/>
      <c r="V155" s="26">
        <f t="shared" si="107"/>
        <v>0</v>
      </c>
      <c r="W155" s="26"/>
      <c r="X155" s="26"/>
      <c r="Y155" s="26">
        <f t="shared" si="108"/>
        <v>0</v>
      </c>
      <c r="Z155" s="26"/>
      <c r="AA155" s="26"/>
      <c r="AB155" s="26">
        <f t="shared" si="109"/>
        <v>0</v>
      </c>
    </row>
    <row r="156" spans="1:187" s="20" customFormat="1" ht="31.5" x14ac:dyDescent="0.25">
      <c r="A156" s="18" t="s">
        <v>76</v>
      </c>
      <c r="B156" s="19">
        <f t="shared" si="101"/>
        <v>92634</v>
      </c>
      <c r="C156" s="19">
        <f t="shared" si="101"/>
        <v>92634</v>
      </c>
      <c r="D156" s="19">
        <f t="shared" si="101"/>
        <v>0</v>
      </c>
      <c r="E156" s="19">
        <f t="shared" ref="E156" si="231">SUM(E157:E159)</f>
        <v>0</v>
      </c>
      <c r="F156" s="19">
        <f t="shared" ref="F156:AA156" si="232">SUM(F157:F159)</f>
        <v>0</v>
      </c>
      <c r="G156" s="19">
        <f t="shared" si="102"/>
        <v>0</v>
      </c>
      <c r="H156" s="19">
        <f t="shared" ref="H156" si="233">SUM(H157:H159)</f>
        <v>0</v>
      </c>
      <c r="I156" s="19">
        <f t="shared" si="232"/>
        <v>0</v>
      </c>
      <c r="J156" s="19">
        <f t="shared" si="103"/>
        <v>0</v>
      </c>
      <c r="K156" s="19">
        <f t="shared" ref="K156" si="234">SUM(K157:K159)</f>
        <v>5342</v>
      </c>
      <c r="L156" s="19">
        <f t="shared" si="232"/>
        <v>5342</v>
      </c>
      <c r="M156" s="19">
        <f t="shared" si="104"/>
        <v>0</v>
      </c>
      <c r="N156" s="19">
        <f t="shared" ref="N156" si="235">SUM(N157:N159)</f>
        <v>0</v>
      </c>
      <c r="O156" s="19">
        <f t="shared" si="232"/>
        <v>0</v>
      </c>
      <c r="P156" s="19">
        <f t="shared" si="105"/>
        <v>0</v>
      </c>
      <c r="Q156" s="19">
        <f t="shared" ref="Q156" si="236">SUM(Q157:Q159)</f>
        <v>87292</v>
      </c>
      <c r="R156" s="19">
        <f t="shared" si="232"/>
        <v>87292</v>
      </c>
      <c r="S156" s="19">
        <f t="shared" si="106"/>
        <v>0</v>
      </c>
      <c r="T156" s="19">
        <f t="shared" ref="T156" si="237">SUM(T157:T159)</f>
        <v>0</v>
      </c>
      <c r="U156" s="19">
        <f t="shared" si="232"/>
        <v>0</v>
      </c>
      <c r="V156" s="19">
        <f t="shared" si="107"/>
        <v>0</v>
      </c>
      <c r="W156" s="19">
        <f t="shared" ref="W156" si="238">SUM(W157:W159)</f>
        <v>0</v>
      </c>
      <c r="X156" s="19">
        <f t="shared" si="232"/>
        <v>0</v>
      </c>
      <c r="Y156" s="19">
        <f t="shared" si="108"/>
        <v>0</v>
      </c>
      <c r="Z156" s="19">
        <f t="shared" ref="Z156" si="239">SUM(Z157:Z159)</f>
        <v>0</v>
      </c>
      <c r="AA156" s="19">
        <f t="shared" si="232"/>
        <v>0</v>
      </c>
      <c r="AB156" s="19">
        <f t="shared" si="109"/>
        <v>0</v>
      </c>
    </row>
    <row r="157" spans="1:187" s="20" customFormat="1" ht="47.25" x14ac:dyDescent="0.25">
      <c r="A157" s="25" t="s">
        <v>239</v>
      </c>
      <c r="B157" s="26">
        <f t="shared" si="101"/>
        <v>79688</v>
      </c>
      <c r="C157" s="26">
        <f t="shared" si="101"/>
        <v>79688</v>
      </c>
      <c r="D157" s="26">
        <f t="shared" si="101"/>
        <v>0</v>
      </c>
      <c r="E157" s="26">
        <v>0</v>
      </c>
      <c r="F157" s="26">
        <v>0</v>
      </c>
      <c r="G157" s="26">
        <f t="shared" si="102"/>
        <v>0</v>
      </c>
      <c r="H157" s="26"/>
      <c r="I157" s="26"/>
      <c r="J157" s="26">
        <f t="shared" si="103"/>
        <v>0</v>
      </c>
      <c r="K157" s="26">
        <v>5342</v>
      </c>
      <c r="L157" s="26">
        <v>5342</v>
      </c>
      <c r="M157" s="26">
        <f t="shared" si="104"/>
        <v>0</v>
      </c>
      <c r="N157" s="26"/>
      <c r="O157" s="26"/>
      <c r="P157" s="26">
        <f t="shared" si="105"/>
        <v>0</v>
      </c>
      <c r="Q157" s="26">
        <f>2122+1596+3531+3336+1687+13035+15991+14275+13062+11053-5342</f>
        <v>74346</v>
      </c>
      <c r="R157" s="26">
        <f>2122+1596+3531+3336+1687+13035+15991+14275+13062+11053-5342</f>
        <v>74346</v>
      </c>
      <c r="S157" s="26">
        <f t="shared" si="106"/>
        <v>0</v>
      </c>
      <c r="T157" s="26"/>
      <c r="U157" s="26"/>
      <c r="V157" s="26">
        <f t="shared" si="107"/>
        <v>0</v>
      </c>
      <c r="W157" s="26"/>
      <c r="X157" s="26"/>
      <c r="Y157" s="26">
        <f t="shared" si="108"/>
        <v>0</v>
      </c>
      <c r="Z157" s="26"/>
      <c r="AA157" s="26"/>
      <c r="AB157" s="26">
        <f t="shared" si="109"/>
        <v>0</v>
      </c>
    </row>
    <row r="158" spans="1:187" s="20" customFormat="1" ht="31.5" x14ac:dyDescent="0.25">
      <c r="A158" s="25" t="s">
        <v>179</v>
      </c>
      <c r="B158" s="26">
        <f t="shared" si="101"/>
        <v>3905</v>
      </c>
      <c r="C158" s="26">
        <f t="shared" si="101"/>
        <v>3905</v>
      </c>
      <c r="D158" s="26">
        <f t="shared" si="101"/>
        <v>0</v>
      </c>
      <c r="E158" s="26"/>
      <c r="F158" s="26"/>
      <c r="G158" s="26">
        <f t="shared" si="102"/>
        <v>0</v>
      </c>
      <c r="H158" s="26"/>
      <c r="I158" s="26"/>
      <c r="J158" s="26">
        <f t="shared" si="103"/>
        <v>0</v>
      </c>
      <c r="K158" s="26"/>
      <c r="L158" s="26"/>
      <c r="M158" s="26">
        <f t="shared" si="104"/>
        <v>0</v>
      </c>
      <c r="N158" s="26"/>
      <c r="O158" s="26"/>
      <c r="P158" s="26">
        <f t="shared" si="105"/>
        <v>0</v>
      </c>
      <c r="Q158" s="26">
        <v>3905</v>
      </c>
      <c r="R158" s="26">
        <v>3905</v>
      </c>
      <c r="S158" s="26">
        <f t="shared" si="106"/>
        <v>0</v>
      </c>
      <c r="T158" s="26"/>
      <c r="U158" s="26"/>
      <c r="V158" s="26">
        <f t="shared" si="107"/>
        <v>0</v>
      </c>
      <c r="W158" s="26"/>
      <c r="X158" s="26"/>
      <c r="Y158" s="26">
        <f t="shared" si="108"/>
        <v>0</v>
      </c>
      <c r="Z158" s="26"/>
      <c r="AA158" s="26"/>
      <c r="AB158" s="26">
        <f t="shared" si="109"/>
        <v>0</v>
      </c>
    </row>
    <row r="159" spans="1:187" s="20" customFormat="1" x14ac:dyDescent="0.25">
      <c r="A159" s="25" t="s">
        <v>96</v>
      </c>
      <c r="B159" s="26">
        <f t="shared" si="101"/>
        <v>9041</v>
      </c>
      <c r="C159" s="26">
        <f t="shared" si="101"/>
        <v>9041</v>
      </c>
      <c r="D159" s="26">
        <f t="shared" si="101"/>
        <v>0</v>
      </c>
      <c r="E159" s="26"/>
      <c r="F159" s="26"/>
      <c r="G159" s="26">
        <f t="shared" si="102"/>
        <v>0</v>
      </c>
      <c r="H159" s="26"/>
      <c r="I159" s="26"/>
      <c r="J159" s="26">
        <f t="shared" si="103"/>
        <v>0</v>
      </c>
      <c r="K159" s="26"/>
      <c r="L159" s="26"/>
      <c r="M159" s="26">
        <f t="shared" si="104"/>
        <v>0</v>
      </c>
      <c r="N159" s="26"/>
      <c r="O159" s="26"/>
      <c r="P159" s="26">
        <f t="shared" si="105"/>
        <v>0</v>
      </c>
      <c r="Q159" s="26">
        <f>11170-2129</f>
        <v>9041</v>
      </c>
      <c r="R159" s="26">
        <f>11170-2129</f>
        <v>9041</v>
      </c>
      <c r="S159" s="26">
        <f t="shared" si="106"/>
        <v>0</v>
      </c>
      <c r="T159" s="26"/>
      <c r="U159" s="26"/>
      <c r="V159" s="26">
        <f t="shared" si="107"/>
        <v>0</v>
      </c>
      <c r="W159" s="26"/>
      <c r="X159" s="26"/>
      <c r="Y159" s="26">
        <f t="shared" si="108"/>
        <v>0</v>
      </c>
      <c r="Z159" s="26"/>
      <c r="AA159" s="26"/>
      <c r="AB159" s="26">
        <f t="shared" si="109"/>
        <v>0</v>
      </c>
    </row>
    <row r="160" spans="1:187" s="20" customFormat="1" x14ac:dyDescent="0.25">
      <c r="A160" s="18" t="s">
        <v>93</v>
      </c>
      <c r="B160" s="19">
        <f t="shared" si="101"/>
        <v>64933</v>
      </c>
      <c r="C160" s="19">
        <f t="shared" si="101"/>
        <v>64933</v>
      </c>
      <c r="D160" s="19">
        <f t="shared" si="101"/>
        <v>0</v>
      </c>
      <c r="E160" s="19">
        <f t="shared" ref="E160" si="240">SUM(E161:E166)</f>
        <v>0</v>
      </c>
      <c r="F160" s="19">
        <f t="shared" ref="F160:AA160" si="241">SUM(F161:F166)</f>
        <v>0</v>
      </c>
      <c r="G160" s="19">
        <f t="shared" si="102"/>
        <v>0</v>
      </c>
      <c r="H160" s="19">
        <f t="shared" ref="H160" si="242">SUM(H161:H166)</f>
        <v>0</v>
      </c>
      <c r="I160" s="19">
        <f t="shared" si="241"/>
        <v>0</v>
      </c>
      <c r="J160" s="19">
        <f t="shared" si="103"/>
        <v>0</v>
      </c>
      <c r="K160" s="19">
        <f t="shared" ref="K160" si="243">SUM(K161:K166)</f>
        <v>0</v>
      </c>
      <c r="L160" s="19">
        <f t="shared" si="241"/>
        <v>0</v>
      </c>
      <c r="M160" s="19">
        <f t="shared" si="104"/>
        <v>0</v>
      </c>
      <c r="N160" s="19">
        <f t="shared" ref="N160" si="244">SUM(N161:N166)</f>
        <v>0</v>
      </c>
      <c r="O160" s="19">
        <f t="shared" si="241"/>
        <v>0</v>
      </c>
      <c r="P160" s="19">
        <f t="shared" si="105"/>
        <v>0</v>
      </c>
      <c r="Q160" s="19">
        <f t="shared" ref="Q160" si="245">SUM(Q161:Q166)</f>
        <v>64933</v>
      </c>
      <c r="R160" s="19">
        <f t="shared" si="241"/>
        <v>64933</v>
      </c>
      <c r="S160" s="19">
        <f t="shared" si="106"/>
        <v>0</v>
      </c>
      <c r="T160" s="19">
        <f t="shared" ref="T160" si="246">SUM(T161:T166)</f>
        <v>0</v>
      </c>
      <c r="U160" s="19">
        <f t="shared" si="241"/>
        <v>0</v>
      </c>
      <c r="V160" s="19">
        <f t="shared" si="107"/>
        <v>0</v>
      </c>
      <c r="W160" s="19">
        <f t="shared" ref="W160" si="247">SUM(W161:W166)</f>
        <v>0</v>
      </c>
      <c r="X160" s="19">
        <f t="shared" si="241"/>
        <v>0</v>
      </c>
      <c r="Y160" s="19">
        <f t="shared" si="108"/>
        <v>0</v>
      </c>
      <c r="Z160" s="19">
        <f t="shared" ref="Z160" si="248">SUM(Z161:Z166)</f>
        <v>0</v>
      </c>
      <c r="AA160" s="19">
        <f t="shared" si="241"/>
        <v>0</v>
      </c>
      <c r="AB160" s="19">
        <f t="shared" si="109"/>
        <v>0</v>
      </c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7"/>
      <c r="EZ160" s="17"/>
      <c r="FA160" s="17"/>
      <c r="FB160" s="17"/>
      <c r="FC160" s="17"/>
      <c r="FD160" s="17"/>
      <c r="FE160" s="17"/>
      <c r="FF160" s="17"/>
      <c r="FG160" s="17"/>
      <c r="FH160" s="17"/>
      <c r="FI160" s="17"/>
      <c r="FJ160" s="17"/>
      <c r="FK160" s="17"/>
      <c r="FL160" s="17"/>
      <c r="FM160" s="17"/>
      <c r="FN160" s="17"/>
      <c r="FO160" s="17"/>
      <c r="FP160" s="17"/>
      <c r="FQ160" s="17"/>
      <c r="FR160" s="17"/>
      <c r="FS160" s="17"/>
      <c r="FT160" s="17"/>
      <c r="FU160" s="17"/>
      <c r="FV160" s="17"/>
      <c r="FW160" s="17"/>
      <c r="FX160" s="17"/>
      <c r="FY160" s="17"/>
      <c r="FZ160" s="17"/>
      <c r="GA160" s="17"/>
      <c r="GB160" s="17"/>
      <c r="GC160" s="17"/>
      <c r="GD160" s="17"/>
      <c r="GE160" s="17"/>
    </row>
    <row r="161" spans="1:187" s="20" customFormat="1" x14ac:dyDescent="0.25">
      <c r="A161" s="25" t="s">
        <v>97</v>
      </c>
      <c r="B161" s="26">
        <f t="shared" si="101"/>
        <v>5848</v>
      </c>
      <c r="C161" s="26">
        <f t="shared" si="101"/>
        <v>5848</v>
      </c>
      <c r="D161" s="26">
        <f t="shared" si="101"/>
        <v>0</v>
      </c>
      <c r="E161" s="26"/>
      <c r="F161" s="26"/>
      <c r="G161" s="26">
        <f t="shared" si="102"/>
        <v>0</v>
      </c>
      <c r="H161" s="26"/>
      <c r="I161" s="26"/>
      <c r="J161" s="26">
        <f t="shared" si="103"/>
        <v>0</v>
      </c>
      <c r="K161" s="26"/>
      <c r="L161" s="26"/>
      <c r="M161" s="26">
        <f t="shared" si="104"/>
        <v>0</v>
      </c>
      <c r="N161" s="26"/>
      <c r="O161" s="26"/>
      <c r="P161" s="26">
        <f t="shared" si="105"/>
        <v>0</v>
      </c>
      <c r="Q161" s="26">
        <f>7366-1518</f>
        <v>5848</v>
      </c>
      <c r="R161" s="26">
        <f>7366-1518</f>
        <v>5848</v>
      </c>
      <c r="S161" s="26">
        <f t="shared" si="106"/>
        <v>0</v>
      </c>
      <c r="T161" s="26"/>
      <c r="U161" s="26"/>
      <c r="V161" s="26">
        <f t="shared" si="107"/>
        <v>0</v>
      </c>
      <c r="W161" s="26"/>
      <c r="X161" s="26"/>
      <c r="Y161" s="26">
        <f t="shared" si="108"/>
        <v>0</v>
      </c>
      <c r="Z161" s="26"/>
      <c r="AA161" s="26"/>
      <c r="AB161" s="26">
        <f t="shared" si="109"/>
        <v>0</v>
      </c>
    </row>
    <row r="162" spans="1:187" s="20" customFormat="1" ht="31.5" x14ac:dyDescent="0.25">
      <c r="A162" s="25" t="s">
        <v>98</v>
      </c>
      <c r="B162" s="26">
        <f t="shared" si="101"/>
        <v>28316</v>
      </c>
      <c r="C162" s="26">
        <f t="shared" si="101"/>
        <v>28316</v>
      </c>
      <c r="D162" s="26">
        <f t="shared" si="101"/>
        <v>0</v>
      </c>
      <c r="E162" s="26"/>
      <c r="F162" s="26"/>
      <c r="G162" s="26">
        <f t="shared" si="102"/>
        <v>0</v>
      </c>
      <c r="H162" s="26"/>
      <c r="I162" s="26"/>
      <c r="J162" s="26">
        <f t="shared" si="103"/>
        <v>0</v>
      </c>
      <c r="K162" s="26"/>
      <c r="L162" s="26"/>
      <c r="M162" s="26">
        <f t="shared" si="104"/>
        <v>0</v>
      </c>
      <c r="N162" s="26"/>
      <c r="O162" s="26"/>
      <c r="P162" s="26">
        <f t="shared" si="105"/>
        <v>0</v>
      </c>
      <c r="Q162" s="26">
        <v>28316</v>
      </c>
      <c r="R162" s="26">
        <v>28316</v>
      </c>
      <c r="S162" s="26">
        <f t="shared" si="106"/>
        <v>0</v>
      </c>
      <c r="T162" s="26"/>
      <c r="U162" s="26"/>
      <c r="V162" s="26">
        <f t="shared" si="107"/>
        <v>0</v>
      </c>
      <c r="W162" s="26"/>
      <c r="X162" s="26"/>
      <c r="Y162" s="26">
        <f t="shared" si="108"/>
        <v>0</v>
      </c>
      <c r="Z162" s="26"/>
      <c r="AA162" s="26"/>
      <c r="AB162" s="26">
        <f t="shared" si="109"/>
        <v>0</v>
      </c>
    </row>
    <row r="163" spans="1:187" s="20" customFormat="1" ht="31.5" x14ac:dyDescent="0.25">
      <c r="A163" s="25" t="s">
        <v>99</v>
      </c>
      <c r="B163" s="26">
        <f t="shared" si="101"/>
        <v>10006</v>
      </c>
      <c r="C163" s="26">
        <f t="shared" si="101"/>
        <v>10006</v>
      </c>
      <c r="D163" s="26">
        <f t="shared" si="101"/>
        <v>0</v>
      </c>
      <c r="E163" s="26"/>
      <c r="F163" s="26"/>
      <c r="G163" s="26">
        <f t="shared" si="102"/>
        <v>0</v>
      </c>
      <c r="H163" s="26"/>
      <c r="I163" s="26"/>
      <c r="J163" s="26">
        <f t="shared" si="103"/>
        <v>0</v>
      </c>
      <c r="K163" s="26"/>
      <c r="L163" s="26"/>
      <c r="M163" s="26">
        <f t="shared" si="104"/>
        <v>0</v>
      </c>
      <c r="N163" s="26"/>
      <c r="O163" s="26"/>
      <c r="P163" s="26">
        <f t="shared" si="105"/>
        <v>0</v>
      </c>
      <c r="Q163" s="26">
        <v>10006</v>
      </c>
      <c r="R163" s="26">
        <v>10006</v>
      </c>
      <c r="S163" s="26">
        <f t="shared" si="106"/>
        <v>0</v>
      </c>
      <c r="T163" s="26"/>
      <c r="U163" s="26"/>
      <c r="V163" s="26">
        <f t="shared" si="107"/>
        <v>0</v>
      </c>
      <c r="W163" s="26"/>
      <c r="X163" s="26"/>
      <c r="Y163" s="26">
        <f t="shared" si="108"/>
        <v>0</v>
      </c>
      <c r="Z163" s="26"/>
      <c r="AA163" s="26"/>
      <c r="AB163" s="26">
        <f t="shared" si="109"/>
        <v>0</v>
      </c>
    </row>
    <row r="164" spans="1:187" s="20" customFormat="1" ht="31.5" x14ac:dyDescent="0.25">
      <c r="A164" s="25" t="s">
        <v>217</v>
      </c>
      <c r="B164" s="26">
        <f t="shared" si="101"/>
        <v>4594</v>
      </c>
      <c r="C164" s="26">
        <f t="shared" si="101"/>
        <v>4594</v>
      </c>
      <c r="D164" s="26">
        <f t="shared" si="101"/>
        <v>0</v>
      </c>
      <c r="E164" s="26"/>
      <c r="F164" s="26"/>
      <c r="G164" s="26">
        <f t="shared" si="102"/>
        <v>0</v>
      </c>
      <c r="H164" s="26"/>
      <c r="I164" s="26"/>
      <c r="J164" s="26">
        <f t="shared" si="103"/>
        <v>0</v>
      </c>
      <c r="K164" s="26"/>
      <c r="L164" s="26"/>
      <c r="M164" s="26">
        <f t="shared" si="104"/>
        <v>0</v>
      </c>
      <c r="N164" s="26"/>
      <c r="O164" s="26"/>
      <c r="P164" s="26">
        <f t="shared" si="105"/>
        <v>0</v>
      </c>
      <c r="Q164" s="26">
        <v>4594</v>
      </c>
      <c r="R164" s="26">
        <v>4594</v>
      </c>
      <c r="S164" s="26">
        <f t="shared" si="106"/>
        <v>0</v>
      </c>
      <c r="T164" s="26"/>
      <c r="U164" s="26"/>
      <c r="V164" s="26">
        <f t="shared" si="107"/>
        <v>0</v>
      </c>
      <c r="W164" s="26"/>
      <c r="X164" s="26"/>
      <c r="Y164" s="26">
        <f t="shared" si="108"/>
        <v>0</v>
      </c>
      <c r="Z164" s="26"/>
      <c r="AA164" s="26"/>
      <c r="AB164" s="26">
        <f t="shared" si="109"/>
        <v>0</v>
      </c>
    </row>
    <row r="165" spans="1:187" s="20" customFormat="1" ht="31.5" x14ac:dyDescent="0.25">
      <c r="A165" s="25" t="s">
        <v>218</v>
      </c>
      <c r="B165" s="26">
        <f t="shared" si="101"/>
        <v>10006</v>
      </c>
      <c r="C165" s="26">
        <f t="shared" si="101"/>
        <v>10006</v>
      </c>
      <c r="D165" s="26">
        <f t="shared" si="101"/>
        <v>0</v>
      </c>
      <c r="E165" s="26"/>
      <c r="F165" s="26"/>
      <c r="G165" s="26">
        <f t="shared" si="102"/>
        <v>0</v>
      </c>
      <c r="H165" s="26"/>
      <c r="I165" s="26"/>
      <c r="J165" s="26">
        <f t="shared" si="103"/>
        <v>0</v>
      </c>
      <c r="K165" s="26"/>
      <c r="L165" s="26"/>
      <c r="M165" s="26">
        <f t="shared" si="104"/>
        <v>0</v>
      </c>
      <c r="N165" s="26"/>
      <c r="O165" s="26"/>
      <c r="P165" s="26">
        <f t="shared" si="105"/>
        <v>0</v>
      </c>
      <c r="Q165" s="26">
        <v>10006</v>
      </c>
      <c r="R165" s="26">
        <v>10006</v>
      </c>
      <c r="S165" s="26">
        <f t="shared" si="106"/>
        <v>0</v>
      </c>
      <c r="T165" s="26"/>
      <c r="U165" s="26"/>
      <c r="V165" s="26">
        <f t="shared" si="107"/>
        <v>0</v>
      </c>
      <c r="W165" s="26"/>
      <c r="X165" s="26"/>
      <c r="Y165" s="26">
        <f t="shared" si="108"/>
        <v>0</v>
      </c>
      <c r="Z165" s="26"/>
      <c r="AA165" s="26"/>
      <c r="AB165" s="26">
        <f t="shared" si="109"/>
        <v>0</v>
      </c>
    </row>
    <row r="166" spans="1:187" s="20" customFormat="1" ht="31.5" x14ac:dyDescent="0.25">
      <c r="A166" s="25" t="s">
        <v>219</v>
      </c>
      <c r="B166" s="26">
        <f t="shared" si="101"/>
        <v>6163</v>
      </c>
      <c r="C166" s="26">
        <f t="shared" si="101"/>
        <v>6163</v>
      </c>
      <c r="D166" s="26">
        <f t="shared" si="101"/>
        <v>0</v>
      </c>
      <c r="E166" s="26"/>
      <c r="F166" s="26"/>
      <c r="G166" s="26">
        <f t="shared" si="102"/>
        <v>0</v>
      </c>
      <c r="H166" s="26"/>
      <c r="I166" s="26"/>
      <c r="J166" s="26">
        <f t="shared" si="103"/>
        <v>0</v>
      </c>
      <c r="K166" s="26"/>
      <c r="L166" s="26"/>
      <c r="M166" s="26">
        <f t="shared" si="104"/>
        <v>0</v>
      </c>
      <c r="N166" s="26"/>
      <c r="O166" s="26"/>
      <c r="P166" s="26">
        <f t="shared" si="105"/>
        <v>0</v>
      </c>
      <c r="Q166" s="26">
        <v>6163</v>
      </c>
      <c r="R166" s="26">
        <v>6163</v>
      </c>
      <c r="S166" s="26">
        <f t="shared" si="106"/>
        <v>0</v>
      </c>
      <c r="T166" s="26"/>
      <c r="U166" s="26"/>
      <c r="V166" s="26">
        <f t="shared" si="107"/>
        <v>0</v>
      </c>
      <c r="W166" s="26"/>
      <c r="X166" s="26"/>
      <c r="Y166" s="26">
        <f t="shared" si="108"/>
        <v>0</v>
      </c>
      <c r="Z166" s="26"/>
      <c r="AA166" s="26"/>
      <c r="AB166" s="26">
        <f t="shared" si="109"/>
        <v>0</v>
      </c>
    </row>
    <row r="167" spans="1:187" s="20" customFormat="1" ht="31.5" x14ac:dyDescent="0.25">
      <c r="A167" s="18" t="s">
        <v>39</v>
      </c>
      <c r="B167" s="19">
        <f t="shared" si="101"/>
        <v>526645</v>
      </c>
      <c r="C167" s="19">
        <f t="shared" si="101"/>
        <v>542040</v>
      </c>
      <c r="D167" s="19">
        <f t="shared" si="101"/>
        <v>15395</v>
      </c>
      <c r="E167" s="19">
        <f t="shared" ref="E167" si="249">SUM(E168,E180,E198,E203,E211)</f>
        <v>0</v>
      </c>
      <c r="F167" s="19">
        <f t="shared" ref="F167:AB167" si="250">SUM(F168,F180,F198,F203,F211)</f>
        <v>0</v>
      </c>
      <c r="G167" s="19">
        <f t="shared" si="250"/>
        <v>0</v>
      </c>
      <c r="H167" s="19">
        <f t="shared" ref="H167" si="251">SUM(H168,H180,H198,H203,H211)</f>
        <v>0</v>
      </c>
      <c r="I167" s="19">
        <f t="shared" si="250"/>
        <v>0</v>
      </c>
      <c r="J167" s="19">
        <f t="shared" si="250"/>
        <v>0</v>
      </c>
      <c r="K167" s="19">
        <f t="shared" ref="K167" si="252">SUM(K168,K180,K198,K203,K211)</f>
        <v>0</v>
      </c>
      <c r="L167" s="19">
        <f t="shared" si="250"/>
        <v>0</v>
      </c>
      <c r="M167" s="19">
        <f t="shared" si="250"/>
        <v>0</v>
      </c>
      <c r="N167" s="19">
        <f t="shared" ref="N167" si="253">SUM(N168,N180,N198,N203,N211)</f>
        <v>250201</v>
      </c>
      <c r="O167" s="19">
        <f t="shared" si="250"/>
        <v>265596</v>
      </c>
      <c r="P167" s="19">
        <f t="shared" si="250"/>
        <v>15395</v>
      </c>
      <c r="Q167" s="19">
        <f t="shared" ref="Q167" si="254">SUM(Q168,Q180,Q198,Q203,Q211)</f>
        <v>274178</v>
      </c>
      <c r="R167" s="19">
        <f t="shared" si="250"/>
        <v>274178</v>
      </c>
      <c r="S167" s="19">
        <f t="shared" si="250"/>
        <v>0</v>
      </c>
      <c r="T167" s="19">
        <f t="shared" ref="T167" si="255">SUM(T168,T180,T198,T203,T211)</f>
        <v>0</v>
      </c>
      <c r="U167" s="19">
        <f t="shared" si="250"/>
        <v>0</v>
      </c>
      <c r="V167" s="19">
        <f t="shared" si="250"/>
        <v>0</v>
      </c>
      <c r="W167" s="19">
        <f t="shared" ref="W167" si="256">SUM(W168,W180,W198,W203,W211)</f>
        <v>2266</v>
      </c>
      <c r="X167" s="19">
        <f t="shared" si="250"/>
        <v>2266</v>
      </c>
      <c r="Y167" s="19">
        <f t="shared" si="250"/>
        <v>0</v>
      </c>
      <c r="Z167" s="19">
        <f t="shared" ref="Z167" si="257">SUM(Z168,Z180,Z198,Z203,Z211)</f>
        <v>0</v>
      </c>
      <c r="AA167" s="19">
        <f t="shared" si="250"/>
        <v>0</v>
      </c>
      <c r="AB167" s="19">
        <f t="shared" si="250"/>
        <v>0</v>
      </c>
    </row>
    <row r="168" spans="1:187" s="20" customFormat="1" x14ac:dyDescent="0.25">
      <c r="A168" s="18" t="s">
        <v>72</v>
      </c>
      <c r="B168" s="19">
        <f t="shared" ref="B168:D246" si="258">E168+H168+K168+N168+Q168+T168+W168+Z168</f>
        <v>121469</v>
      </c>
      <c r="C168" s="19">
        <f t="shared" si="258"/>
        <v>123469</v>
      </c>
      <c r="D168" s="19">
        <f t="shared" si="258"/>
        <v>2000</v>
      </c>
      <c r="E168" s="19">
        <f>SUM(E169:E179)</f>
        <v>0</v>
      </c>
      <c r="F168" s="19">
        <f>SUM(F169:F179)</f>
        <v>0</v>
      </c>
      <c r="G168" s="19">
        <f t="shared" si="102"/>
        <v>0</v>
      </c>
      <c r="H168" s="19">
        <f>SUM(H169:H179)</f>
        <v>0</v>
      </c>
      <c r="I168" s="19">
        <f>SUM(I169:I179)</f>
        <v>0</v>
      </c>
      <c r="J168" s="19">
        <f t="shared" si="103"/>
        <v>0</v>
      </c>
      <c r="K168" s="19">
        <f>SUM(K169:K179)</f>
        <v>0</v>
      </c>
      <c r="L168" s="19">
        <f>SUM(L169:L179)</f>
        <v>0</v>
      </c>
      <c r="M168" s="19">
        <f t="shared" si="104"/>
        <v>0</v>
      </c>
      <c r="N168" s="19">
        <f>SUM(N169:N179)</f>
        <v>102471</v>
      </c>
      <c r="O168" s="19">
        <f>SUM(O169:O179)</f>
        <v>104471</v>
      </c>
      <c r="P168" s="19">
        <f t="shared" si="105"/>
        <v>2000</v>
      </c>
      <c r="Q168" s="19">
        <f>SUM(Q169:Q179)</f>
        <v>18998</v>
      </c>
      <c r="R168" s="19">
        <f>SUM(R169:R179)</f>
        <v>18998</v>
      </c>
      <c r="S168" s="19">
        <f t="shared" si="106"/>
        <v>0</v>
      </c>
      <c r="T168" s="19">
        <f>SUM(T169:T179)</f>
        <v>0</v>
      </c>
      <c r="U168" s="19">
        <f>SUM(U169:U179)</f>
        <v>0</v>
      </c>
      <c r="V168" s="19">
        <f t="shared" si="107"/>
        <v>0</v>
      </c>
      <c r="W168" s="19">
        <f>SUM(W169:W179)</f>
        <v>0</v>
      </c>
      <c r="X168" s="19">
        <f>SUM(X169:X179)</f>
        <v>0</v>
      </c>
      <c r="Y168" s="19">
        <f t="shared" si="108"/>
        <v>0</v>
      </c>
      <c r="Z168" s="19">
        <f>SUM(Z169:Z179)</f>
        <v>0</v>
      </c>
      <c r="AA168" s="19">
        <f>SUM(AA169:AA179)</f>
        <v>0</v>
      </c>
      <c r="AB168" s="19">
        <f t="shared" si="109"/>
        <v>0</v>
      </c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7"/>
      <c r="EZ168" s="17"/>
      <c r="FA168" s="17"/>
      <c r="FB168" s="17"/>
      <c r="FC168" s="17"/>
      <c r="FD168" s="17"/>
      <c r="FE168" s="17"/>
      <c r="FF168" s="17"/>
      <c r="FG168" s="17"/>
      <c r="FH168" s="17"/>
      <c r="FI168" s="17"/>
      <c r="FJ168" s="17"/>
      <c r="FK168" s="17"/>
      <c r="FL168" s="17"/>
      <c r="FM168" s="17"/>
      <c r="FN168" s="17"/>
      <c r="FO168" s="17"/>
      <c r="FP168" s="17"/>
      <c r="FQ168" s="17"/>
      <c r="FR168" s="17"/>
      <c r="FS168" s="17"/>
      <c r="FT168" s="17"/>
      <c r="FU168" s="17"/>
      <c r="FV168" s="17"/>
      <c r="FW168" s="17"/>
      <c r="FX168" s="17"/>
      <c r="FY168" s="17"/>
      <c r="FZ168" s="17"/>
      <c r="GA168" s="17"/>
      <c r="GB168" s="17"/>
      <c r="GC168" s="17"/>
      <c r="GD168" s="17"/>
      <c r="GE168" s="17"/>
    </row>
    <row r="169" spans="1:187" s="20" customFormat="1" x14ac:dyDescent="0.25">
      <c r="A169" s="25" t="s">
        <v>100</v>
      </c>
      <c r="B169" s="26">
        <f t="shared" si="258"/>
        <v>720</v>
      </c>
      <c r="C169" s="26">
        <f t="shared" si="258"/>
        <v>720</v>
      </c>
      <c r="D169" s="26">
        <f t="shared" si="258"/>
        <v>0</v>
      </c>
      <c r="E169" s="26"/>
      <c r="F169" s="26"/>
      <c r="G169" s="26">
        <f t="shared" ref="G169:G247" si="259">F169-E169</f>
        <v>0</v>
      </c>
      <c r="H169" s="26"/>
      <c r="I169" s="26"/>
      <c r="J169" s="26">
        <f t="shared" ref="J169:J247" si="260">I169-H169</f>
        <v>0</v>
      </c>
      <c r="K169" s="26">
        <v>0</v>
      </c>
      <c r="L169" s="26">
        <v>0</v>
      </c>
      <c r="M169" s="26">
        <f t="shared" ref="M169:M247" si="261">L169-K169</f>
        <v>0</v>
      </c>
      <c r="N169" s="26">
        <v>0</v>
      </c>
      <c r="O169" s="26">
        <v>0</v>
      </c>
      <c r="P169" s="26">
        <f t="shared" ref="P169:P247" si="262">O169-N169</f>
        <v>0</v>
      </c>
      <c r="Q169" s="26">
        <v>720</v>
      </c>
      <c r="R169" s="26">
        <v>720</v>
      </c>
      <c r="S169" s="26">
        <f t="shared" ref="S169:S247" si="263">R169-Q169</f>
        <v>0</v>
      </c>
      <c r="T169" s="26"/>
      <c r="U169" s="26"/>
      <c r="V169" s="26">
        <f t="shared" ref="V169:V247" si="264">U169-T169</f>
        <v>0</v>
      </c>
      <c r="W169" s="26"/>
      <c r="X169" s="26"/>
      <c r="Y169" s="26">
        <f t="shared" ref="Y169:Y247" si="265">X169-W169</f>
        <v>0</v>
      </c>
      <c r="Z169" s="26"/>
      <c r="AA169" s="26"/>
      <c r="AB169" s="26">
        <f t="shared" ref="AB169:AB247" si="266">AA169-Z169</f>
        <v>0</v>
      </c>
    </row>
    <row r="170" spans="1:187" s="17" customFormat="1" ht="31.5" x14ac:dyDescent="0.25">
      <c r="A170" s="28" t="s">
        <v>220</v>
      </c>
      <c r="B170" s="30">
        <f t="shared" si="258"/>
        <v>1320</v>
      </c>
      <c r="C170" s="30">
        <f t="shared" si="258"/>
        <v>1320</v>
      </c>
      <c r="D170" s="30">
        <f t="shared" si="258"/>
        <v>0</v>
      </c>
      <c r="E170" s="30"/>
      <c r="F170" s="30"/>
      <c r="G170" s="30">
        <f t="shared" si="259"/>
        <v>0</v>
      </c>
      <c r="H170" s="30"/>
      <c r="I170" s="30"/>
      <c r="J170" s="30">
        <f t="shared" si="260"/>
        <v>0</v>
      </c>
      <c r="K170" s="30">
        <v>0</v>
      </c>
      <c r="L170" s="30">
        <v>0</v>
      </c>
      <c r="M170" s="30">
        <f t="shared" si="261"/>
        <v>0</v>
      </c>
      <c r="N170" s="30">
        <v>0</v>
      </c>
      <c r="O170" s="30">
        <v>0</v>
      </c>
      <c r="P170" s="30">
        <f t="shared" si="262"/>
        <v>0</v>
      </c>
      <c r="Q170" s="30">
        <v>1320</v>
      </c>
      <c r="R170" s="30">
        <v>1320</v>
      </c>
      <c r="S170" s="30">
        <f t="shared" si="263"/>
        <v>0</v>
      </c>
      <c r="T170" s="30"/>
      <c r="U170" s="30"/>
      <c r="V170" s="30">
        <f t="shared" si="264"/>
        <v>0</v>
      </c>
      <c r="W170" s="30"/>
      <c r="X170" s="30"/>
      <c r="Y170" s="30">
        <f t="shared" si="265"/>
        <v>0</v>
      </c>
      <c r="Z170" s="30"/>
      <c r="AA170" s="30"/>
      <c r="AB170" s="30">
        <f t="shared" si="266"/>
        <v>0</v>
      </c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</row>
    <row r="171" spans="1:187" s="17" customFormat="1" ht="31.5" x14ac:dyDescent="0.25">
      <c r="A171" s="28" t="s">
        <v>221</v>
      </c>
      <c r="B171" s="30">
        <f t="shared" si="258"/>
        <v>720</v>
      </c>
      <c r="C171" s="30">
        <f t="shared" si="258"/>
        <v>720</v>
      </c>
      <c r="D171" s="30">
        <f t="shared" si="258"/>
        <v>0</v>
      </c>
      <c r="E171" s="30"/>
      <c r="F171" s="30"/>
      <c r="G171" s="30">
        <f t="shared" si="259"/>
        <v>0</v>
      </c>
      <c r="H171" s="30"/>
      <c r="I171" s="30"/>
      <c r="J171" s="30">
        <f t="shared" si="260"/>
        <v>0</v>
      </c>
      <c r="K171" s="30">
        <v>0</v>
      </c>
      <c r="L171" s="30">
        <v>0</v>
      </c>
      <c r="M171" s="30">
        <f t="shared" si="261"/>
        <v>0</v>
      </c>
      <c r="N171" s="30">
        <v>0</v>
      </c>
      <c r="O171" s="30">
        <v>0</v>
      </c>
      <c r="P171" s="30">
        <f t="shared" si="262"/>
        <v>0</v>
      </c>
      <c r="Q171" s="30">
        <v>720</v>
      </c>
      <c r="R171" s="30">
        <v>720</v>
      </c>
      <c r="S171" s="30">
        <f t="shared" si="263"/>
        <v>0</v>
      </c>
      <c r="T171" s="30"/>
      <c r="U171" s="30"/>
      <c r="V171" s="30">
        <f t="shared" si="264"/>
        <v>0</v>
      </c>
      <c r="W171" s="30"/>
      <c r="X171" s="30"/>
      <c r="Y171" s="30">
        <f t="shared" si="265"/>
        <v>0</v>
      </c>
      <c r="Z171" s="30"/>
      <c r="AA171" s="30"/>
      <c r="AB171" s="30">
        <f t="shared" si="266"/>
        <v>0</v>
      </c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</row>
    <row r="172" spans="1:187" s="17" customFormat="1" ht="31.5" x14ac:dyDescent="0.25">
      <c r="A172" s="28" t="s">
        <v>222</v>
      </c>
      <c r="B172" s="30">
        <f t="shared" si="258"/>
        <v>12355</v>
      </c>
      <c r="C172" s="30">
        <f t="shared" si="258"/>
        <v>12355</v>
      </c>
      <c r="D172" s="30">
        <f t="shared" si="258"/>
        <v>0</v>
      </c>
      <c r="E172" s="30"/>
      <c r="F172" s="30"/>
      <c r="G172" s="30">
        <f t="shared" si="259"/>
        <v>0</v>
      </c>
      <c r="H172" s="30"/>
      <c r="I172" s="30"/>
      <c r="J172" s="30">
        <f t="shared" si="260"/>
        <v>0</v>
      </c>
      <c r="K172" s="30">
        <v>0</v>
      </c>
      <c r="L172" s="30">
        <v>0</v>
      </c>
      <c r="M172" s="30">
        <f t="shared" si="261"/>
        <v>0</v>
      </c>
      <c r="N172" s="30">
        <v>0</v>
      </c>
      <c r="O172" s="30">
        <v>0</v>
      </c>
      <c r="P172" s="30">
        <f t="shared" si="262"/>
        <v>0</v>
      </c>
      <c r="Q172" s="30">
        <v>12355</v>
      </c>
      <c r="R172" s="30">
        <v>12355</v>
      </c>
      <c r="S172" s="30">
        <f t="shared" si="263"/>
        <v>0</v>
      </c>
      <c r="T172" s="30"/>
      <c r="U172" s="30"/>
      <c r="V172" s="30">
        <f t="shared" si="264"/>
        <v>0</v>
      </c>
      <c r="W172" s="30"/>
      <c r="X172" s="30"/>
      <c r="Y172" s="30">
        <f t="shared" si="265"/>
        <v>0</v>
      </c>
      <c r="Z172" s="30"/>
      <c r="AA172" s="30"/>
      <c r="AB172" s="30">
        <f t="shared" si="266"/>
        <v>0</v>
      </c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</row>
    <row r="173" spans="1:187" s="17" customFormat="1" ht="47.25" x14ac:dyDescent="0.25">
      <c r="A173" s="28" t="s">
        <v>223</v>
      </c>
      <c r="B173" s="30">
        <f t="shared" si="258"/>
        <v>1889</v>
      </c>
      <c r="C173" s="30">
        <f t="shared" si="258"/>
        <v>1889</v>
      </c>
      <c r="D173" s="30">
        <f t="shared" si="258"/>
        <v>0</v>
      </c>
      <c r="E173" s="30"/>
      <c r="F173" s="30"/>
      <c r="G173" s="30">
        <f t="shared" si="259"/>
        <v>0</v>
      </c>
      <c r="H173" s="30"/>
      <c r="I173" s="30"/>
      <c r="J173" s="30">
        <f t="shared" si="260"/>
        <v>0</v>
      </c>
      <c r="K173" s="30">
        <v>0</v>
      </c>
      <c r="L173" s="30">
        <v>0</v>
      </c>
      <c r="M173" s="30">
        <f t="shared" si="261"/>
        <v>0</v>
      </c>
      <c r="N173" s="30">
        <v>0</v>
      </c>
      <c r="O173" s="30">
        <v>0</v>
      </c>
      <c r="P173" s="30">
        <f t="shared" si="262"/>
        <v>0</v>
      </c>
      <c r="Q173" s="30">
        <f>929+960</f>
        <v>1889</v>
      </c>
      <c r="R173" s="30">
        <f>929+960</f>
        <v>1889</v>
      </c>
      <c r="S173" s="30">
        <f t="shared" si="263"/>
        <v>0</v>
      </c>
      <c r="T173" s="30"/>
      <c r="U173" s="30"/>
      <c r="V173" s="30">
        <f t="shared" si="264"/>
        <v>0</v>
      </c>
      <c r="W173" s="30"/>
      <c r="X173" s="30"/>
      <c r="Y173" s="30">
        <f t="shared" si="265"/>
        <v>0</v>
      </c>
      <c r="Z173" s="30"/>
      <c r="AA173" s="30"/>
      <c r="AB173" s="30">
        <f t="shared" si="266"/>
        <v>0</v>
      </c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</row>
    <row r="174" spans="1:187" s="17" customFormat="1" ht="31.5" x14ac:dyDescent="0.25">
      <c r="A174" s="28" t="s">
        <v>101</v>
      </c>
      <c r="B174" s="30">
        <f t="shared" si="258"/>
        <v>1994</v>
      </c>
      <c r="C174" s="30">
        <f t="shared" si="258"/>
        <v>1994</v>
      </c>
      <c r="D174" s="30">
        <f t="shared" si="258"/>
        <v>0</v>
      </c>
      <c r="E174" s="30"/>
      <c r="F174" s="30"/>
      <c r="G174" s="30">
        <f t="shared" si="259"/>
        <v>0</v>
      </c>
      <c r="H174" s="30"/>
      <c r="I174" s="30"/>
      <c r="J174" s="30">
        <f t="shared" si="260"/>
        <v>0</v>
      </c>
      <c r="K174" s="30">
        <v>0</v>
      </c>
      <c r="L174" s="30">
        <v>0</v>
      </c>
      <c r="M174" s="30">
        <f t="shared" si="261"/>
        <v>0</v>
      </c>
      <c r="N174" s="30">
        <v>0</v>
      </c>
      <c r="O174" s="30">
        <v>0</v>
      </c>
      <c r="P174" s="30">
        <f t="shared" si="262"/>
        <v>0</v>
      </c>
      <c r="Q174" s="30">
        <v>1994</v>
      </c>
      <c r="R174" s="30">
        <v>1994</v>
      </c>
      <c r="S174" s="30">
        <f t="shared" si="263"/>
        <v>0</v>
      </c>
      <c r="T174" s="30"/>
      <c r="U174" s="30"/>
      <c r="V174" s="30">
        <f t="shared" si="264"/>
        <v>0</v>
      </c>
      <c r="W174" s="30"/>
      <c r="X174" s="30"/>
      <c r="Y174" s="30">
        <f t="shared" si="265"/>
        <v>0</v>
      </c>
      <c r="Z174" s="30"/>
      <c r="AA174" s="30"/>
      <c r="AB174" s="30">
        <f t="shared" si="266"/>
        <v>0</v>
      </c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</row>
    <row r="175" spans="1:187" s="20" customFormat="1" ht="47.25" x14ac:dyDescent="0.25">
      <c r="A175" s="28" t="s">
        <v>201</v>
      </c>
      <c r="B175" s="23">
        <f t="shared" si="258"/>
        <v>30000</v>
      </c>
      <c r="C175" s="23">
        <f t="shared" si="258"/>
        <v>30000</v>
      </c>
      <c r="D175" s="23">
        <f t="shared" si="258"/>
        <v>0</v>
      </c>
      <c r="E175" s="23"/>
      <c r="F175" s="23"/>
      <c r="G175" s="23">
        <f t="shared" si="259"/>
        <v>0</v>
      </c>
      <c r="H175" s="23"/>
      <c r="I175" s="23"/>
      <c r="J175" s="23">
        <f t="shared" si="260"/>
        <v>0</v>
      </c>
      <c r="K175" s="23">
        <v>0</v>
      </c>
      <c r="L175" s="23">
        <v>0</v>
      </c>
      <c r="M175" s="23">
        <f t="shared" si="261"/>
        <v>0</v>
      </c>
      <c r="N175" s="23">
        <v>30000</v>
      </c>
      <c r="O175" s="23">
        <v>30000</v>
      </c>
      <c r="P175" s="23">
        <f t="shared" si="262"/>
        <v>0</v>
      </c>
      <c r="Q175" s="23">
        <v>0</v>
      </c>
      <c r="R175" s="23">
        <v>0</v>
      </c>
      <c r="S175" s="23">
        <f t="shared" si="263"/>
        <v>0</v>
      </c>
      <c r="T175" s="23"/>
      <c r="U175" s="23"/>
      <c r="V175" s="23">
        <f t="shared" si="264"/>
        <v>0</v>
      </c>
      <c r="W175" s="23"/>
      <c r="X175" s="23"/>
      <c r="Y175" s="23">
        <f t="shared" si="265"/>
        <v>0</v>
      </c>
      <c r="Z175" s="23"/>
      <c r="AA175" s="23"/>
      <c r="AB175" s="23">
        <f t="shared" si="266"/>
        <v>0</v>
      </c>
    </row>
    <row r="176" spans="1:187" s="20" customFormat="1" ht="52.5" customHeight="1" x14ac:dyDescent="0.25">
      <c r="A176" s="28" t="s">
        <v>102</v>
      </c>
      <c r="B176" s="23">
        <f t="shared" si="258"/>
        <v>52246</v>
      </c>
      <c r="C176" s="23">
        <f t="shared" si="258"/>
        <v>52246</v>
      </c>
      <c r="D176" s="23">
        <f t="shared" si="258"/>
        <v>0</v>
      </c>
      <c r="E176" s="23"/>
      <c r="F176" s="23"/>
      <c r="G176" s="23">
        <f t="shared" si="259"/>
        <v>0</v>
      </c>
      <c r="H176" s="23"/>
      <c r="I176" s="23"/>
      <c r="J176" s="23">
        <f t="shared" si="260"/>
        <v>0</v>
      </c>
      <c r="K176" s="23">
        <v>0</v>
      </c>
      <c r="L176" s="23">
        <v>0</v>
      </c>
      <c r="M176" s="23">
        <f t="shared" si="261"/>
        <v>0</v>
      </c>
      <c r="N176" s="23">
        <v>52246</v>
      </c>
      <c r="O176" s="23">
        <v>52246</v>
      </c>
      <c r="P176" s="23">
        <f t="shared" si="262"/>
        <v>0</v>
      </c>
      <c r="Q176" s="23">
        <v>0</v>
      </c>
      <c r="R176" s="23">
        <v>0</v>
      </c>
      <c r="S176" s="23">
        <f t="shared" si="263"/>
        <v>0</v>
      </c>
      <c r="T176" s="23"/>
      <c r="U176" s="23"/>
      <c r="V176" s="23">
        <f t="shared" si="264"/>
        <v>0</v>
      </c>
      <c r="W176" s="23"/>
      <c r="X176" s="23"/>
      <c r="Y176" s="23">
        <f t="shared" si="265"/>
        <v>0</v>
      </c>
      <c r="Z176" s="23"/>
      <c r="AA176" s="23"/>
      <c r="AB176" s="23">
        <f t="shared" si="266"/>
        <v>0</v>
      </c>
    </row>
    <row r="177" spans="1:187" s="20" customFormat="1" ht="78.75" x14ac:dyDescent="0.25">
      <c r="A177" s="28" t="s">
        <v>103</v>
      </c>
      <c r="B177" s="23">
        <f t="shared" si="258"/>
        <v>9000</v>
      </c>
      <c r="C177" s="23">
        <f t="shared" si="258"/>
        <v>9000</v>
      </c>
      <c r="D177" s="23">
        <f t="shared" si="258"/>
        <v>0</v>
      </c>
      <c r="E177" s="23"/>
      <c r="F177" s="23"/>
      <c r="G177" s="23">
        <f t="shared" si="259"/>
        <v>0</v>
      </c>
      <c r="H177" s="23"/>
      <c r="I177" s="23"/>
      <c r="J177" s="23">
        <f t="shared" si="260"/>
        <v>0</v>
      </c>
      <c r="K177" s="23">
        <v>0</v>
      </c>
      <c r="L177" s="23">
        <v>0</v>
      </c>
      <c r="M177" s="23">
        <f t="shared" si="261"/>
        <v>0</v>
      </c>
      <c r="N177" s="23">
        <v>9000</v>
      </c>
      <c r="O177" s="23">
        <v>9000</v>
      </c>
      <c r="P177" s="23">
        <f t="shared" si="262"/>
        <v>0</v>
      </c>
      <c r="Q177" s="23">
        <v>0</v>
      </c>
      <c r="R177" s="23">
        <v>0</v>
      </c>
      <c r="S177" s="23">
        <f t="shared" si="263"/>
        <v>0</v>
      </c>
      <c r="T177" s="23"/>
      <c r="U177" s="23"/>
      <c r="V177" s="23">
        <f t="shared" si="264"/>
        <v>0</v>
      </c>
      <c r="W177" s="23"/>
      <c r="X177" s="23"/>
      <c r="Y177" s="23">
        <f t="shared" si="265"/>
        <v>0</v>
      </c>
      <c r="Z177" s="23"/>
      <c r="AA177" s="23"/>
      <c r="AB177" s="23">
        <f t="shared" si="266"/>
        <v>0</v>
      </c>
    </row>
    <row r="178" spans="1:187" s="20" customFormat="1" ht="78.75" x14ac:dyDescent="0.25">
      <c r="A178" s="28" t="s">
        <v>243</v>
      </c>
      <c r="B178" s="23">
        <f t="shared" ref="B178" si="267">E178+H178+K178+N178+Q178+T178+W178+Z178</f>
        <v>0</v>
      </c>
      <c r="C178" s="23">
        <f t="shared" ref="C178" si="268">F178+I178+L178+O178+R178+U178+X178+AA178</f>
        <v>2000</v>
      </c>
      <c r="D178" s="23">
        <f t="shared" ref="D178" si="269">G178+J178+M178+P178+S178+V178+Y178+AB178</f>
        <v>2000</v>
      </c>
      <c r="E178" s="23"/>
      <c r="F178" s="23"/>
      <c r="G178" s="23">
        <f t="shared" ref="G178" si="270">F178-E178</f>
        <v>0</v>
      </c>
      <c r="H178" s="23"/>
      <c r="I178" s="23"/>
      <c r="J178" s="23">
        <f t="shared" ref="J178" si="271">I178-H178</f>
        <v>0</v>
      </c>
      <c r="K178" s="23">
        <v>0</v>
      </c>
      <c r="L178" s="23">
        <v>0</v>
      </c>
      <c r="M178" s="23">
        <f t="shared" ref="M178" si="272">L178-K178</f>
        <v>0</v>
      </c>
      <c r="N178" s="23">
        <v>0</v>
      </c>
      <c r="O178" s="23">
        <v>2000</v>
      </c>
      <c r="P178" s="23">
        <f t="shared" ref="P178" si="273">O178-N178</f>
        <v>2000</v>
      </c>
      <c r="Q178" s="23">
        <v>0</v>
      </c>
      <c r="R178" s="23">
        <v>0</v>
      </c>
      <c r="S178" s="23">
        <f t="shared" ref="S178" si="274">R178-Q178</f>
        <v>0</v>
      </c>
      <c r="T178" s="23"/>
      <c r="U178" s="23"/>
      <c r="V178" s="23">
        <f t="shared" ref="V178" si="275">U178-T178</f>
        <v>0</v>
      </c>
      <c r="W178" s="23"/>
      <c r="X178" s="23"/>
      <c r="Y178" s="23">
        <f t="shared" ref="Y178" si="276">X178-W178</f>
        <v>0</v>
      </c>
      <c r="Z178" s="23"/>
      <c r="AA178" s="23"/>
      <c r="AB178" s="23">
        <f t="shared" ref="AB178" si="277">AA178-Z178</f>
        <v>0</v>
      </c>
    </row>
    <row r="179" spans="1:187" s="20" customFormat="1" ht="94.5" x14ac:dyDescent="0.25">
      <c r="A179" s="28" t="s">
        <v>104</v>
      </c>
      <c r="B179" s="23">
        <f t="shared" si="258"/>
        <v>11225</v>
      </c>
      <c r="C179" s="23">
        <f t="shared" si="258"/>
        <v>11225</v>
      </c>
      <c r="D179" s="23">
        <f t="shared" si="258"/>
        <v>0</v>
      </c>
      <c r="E179" s="23"/>
      <c r="F179" s="23"/>
      <c r="G179" s="23">
        <f t="shared" si="259"/>
        <v>0</v>
      </c>
      <c r="H179" s="23"/>
      <c r="I179" s="23"/>
      <c r="J179" s="23">
        <f t="shared" si="260"/>
        <v>0</v>
      </c>
      <c r="K179" s="23">
        <v>0</v>
      </c>
      <c r="L179" s="23">
        <v>0</v>
      </c>
      <c r="M179" s="23">
        <f t="shared" si="261"/>
        <v>0</v>
      </c>
      <c r="N179" s="23">
        <v>11225</v>
      </c>
      <c r="O179" s="23">
        <v>11225</v>
      </c>
      <c r="P179" s="23">
        <f t="shared" si="262"/>
        <v>0</v>
      </c>
      <c r="Q179" s="23">
        <v>0</v>
      </c>
      <c r="R179" s="23">
        <v>0</v>
      </c>
      <c r="S179" s="23">
        <f t="shared" si="263"/>
        <v>0</v>
      </c>
      <c r="T179" s="23"/>
      <c r="U179" s="23"/>
      <c r="V179" s="23">
        <f t="shared" si="264"/>
        <v>0</v>
      </c>
      <c r="W179" s="23"/>
      <c r="X179" s="23"/>
      <c r="Y179" s="23">
        <f t="shared" si="265"/>
        <v>0</v>
      </c>
      <c r="Z179" s="23"/>
      <c r="AA179" s="23"/>
      <c r="AB179" s="23">
        <f t="shared" si="266"/>
        <v>0</v>
      </c>
    </row>
    <row r="180" spans="1:187" s="20" customFormat="1" ht="31.5" x14ac:dyDescent="0.25">
      <c r="A180" s="18" t="s">
        <v>76</v>
      </c>
      <c r="B180" s="19">
        <f t="shared" si="258"/>
        <v>114074</v>
      </c>
      <c r="C180" s="19">
        <f t="shared" si="258"/>
        <v>122469</v>
      </c>
      <c r="D180" s="19">
        <f t="shared" si="258"/>
        <v>8395</v>
      </c>
      <c r="E180" s="19">
        <f>SUM(E181:E197)</f>
        <v>0</v>
      </c>
      <c r="F180" s="19">
        <f>SUM(F181:F197)</f>
        <v>0</v>
      </c>
      <c r="G180" s="19">
        <f t="shared" si="259"/>
        <v>0</v>
      </c>
      <c r="H180" s="19">
        <f>SUM(H181:H197)</f>
        <v>0</v>
      </c>
      <c r="I180" s="19">
        <f>SUM(I181:I197)</f>
        <v>0</v>
      </c>
      <c r="J180" s="19">
        <f t="shared" si="260"/>
        <v>0</v>
      </c>
      <c r="K180" s="19">
        <f>SUM(K181:K197)</f>
        <v>0</v>
      </c>
      <c r="L180" s="19">
        <f>SUM(L181:L197)</f>
        <v>0</v>
      </c>
      <c r="M180" s="19">
        <f t="shared" si="261"/>
        <v>0</v>
      </c>
      <c r="N180" s="19">
        <f>SUM(N181:N197)</f>
        <v>27932</v>
      </c>
      <c r="O180" s="19">
        <f>SUM(O181:O197)</f>
        <v>36327</v>
      </c>
      <c r="P180" s="19">
        <f t="shared" si="262"/>
        <v>8395</v>
      </c>
      <c r="Q180" s="19">
        <f>SUM(Q181:Q197)</f>
        <v>83876</v>
      </c>
      <c r="R180" s="19">
        <f>SUM(R181:R197)</f>
        <v>83876</v>
      </c>
      <c r="S180" s="19">
        <f t="shared" si="263"/>
        <v>0</v>
      </c>
      <c r="T180" s="19">
        <f>SUM(T181:T197)</f>
        <v>0</v>
      </c>
      <c r="U180" s="19">
        <f>SUM(U181:U197)</f>
        <v>0</v>
      </c>
      <c r="V180" s="19">
        <f t="shared" si="264"/>
        <v>0</v>
      </c>
      <c r="W180" s="19">
        <f>SUM(W181:W197)</f>
        <v>2266</v>
      </c>
      <c r="X180" s="19">
        <f>SUM(X181:X197)</f>
        <v>2266</v>
      </c>
      <c r="Y180" s="19">
        <f t="shared" si="265"/>
        <v>0</v>
      </c>
      <c r="Z180" s="19">
        <f>SUM(Z181:Z197)</f>
        <v>0</v>
      </c>
      <c r="AA180" s="19">
        <f>SUM(AA181:AA197)</f>
        <v>0</v>
      </c>
      <c r="AB180" s="19">
        <f t="shared" si="266"/>
        <v>0</v>
      </c>
    </row>
    <row r="181" spans="1:187" s="20" customFormat="1" ht="94.5" x14ac:dyDescent="0.25">
      <c r="A181" s="28" t="s">
        <v>105</v>
      </c>
      <c r="B181" s="23">
        <f t="shared" si="258"/>
        <v>4684</v>
      </c>
      <c r="C181" s="23">
        <f t="shared" si="258"/>
        <v>4684</v>
      </c>
      <c r="D181" s="23">
        <f t="shared" si="258"/>
        <v>0</v>
      </c>
      <c r="E181" s="23"/>
      <c r="F181" s="23"/>
      <c r="G181" s="23">
        <f t="shared" si="259"/>
        <v>0</v>
      </c>
      <c r="H181" s="23"/>
      <c r="I181" s="23"/>
      <c r="J181" s="23">
        <f t="shared" si="260"/>
        <v>0</v>
      </c>
      <c r="K181" s="23"/>
      <c r="L181" s="23"/>
      <c r="M181" s="23">
        <f t="shared" si="261"/>
        <v>0</v>
      </c>
      <c r="N181" s="23">
        <v>4684</v>
      </c>
      <c r="O181" s="23">
        <v>4684</v>
      </c>
      <c r="P181" s="23">
        <f t="shared" si="262"/>
        <v>0</v>
      </c>
      <c r="Q181" s="23">
        <v>0</v>
      </c>
      <c r="R181" s="23">
        <v>0</v>
      </c>
      <c r="S181" s="23">
        <f t="shared" si="263"/>
        <v>0</v>
      </c>
      <c r="T181" s="23"/>
      <c r="U181" s="23"/>
      <c r="V181" s="23">
        <f t="shared" si="264"/>
        <v>0</v>
      </c>
      <c r="W181" s="23"/>
      <c r="X181" s="23"/>
      <c r="Y181" s="23">
        <f t="shared" si="265"/>
        <v>0</v>
      </c>
      <c r="Z181" s="23"/>
      <c r="AA181" s="23"/>
      <c r="AB181" s="23">
        <f t="shared" si="266"/>
        <v>0</v>
      </c>
    </row>
    <row r="182" spans="1:187" s="20" customFormat="1" ht="94.5" x14ac:dyDescent="0.25">
      <c r="A182" s="28" t="s">
        <v>173</v>
      </c>
      <c r="B182" s="23">
        <f t="shared" si="258"/>
        <v>18000</v>
      </c>
      <c r="C182" s="23">
        <f t="shared" si="258"/>
        <v>18000</v>
      </c>
      <c r="D182" s="23">
        <f t="shared" si="258"/>
        <v>0</v>
      </c>
      <c r="E182" s="23"/>
      <c r="F182" s="23"/>
      <c r="G182" s="23">
        <f t="shared" si="259"/>
        <v>0</v>
      </c>
      <c r="H182" s="23"/>
      <c r="I182" s="23"/>
      <c r="J182" s="23">
        <f t="shared" si="260"/>
        <v>0</v>
      </c>
      <c r="K182" s="23"/>
      <c r="L182" s="23"/>
      <c r="M182" s="23">
        <f t="shared" si="261"/>
        <v>0</v>
      </c>
      <c r="N182" s="23">
        <v>18000</v>
      </c>
      <c r="O182" s="23">
        <v>18000</v>
      </c>
      <c r="P182" s="23">
        <f t="shared" si="262"/>
        <v>0</v>
      </c>
      <c r="Q182" s="23">
        <v>0</v>
      </c>
      <c r="R182" s="23">
        <v>0</v>
      </c>
      <c r="S182" s="23">
        <f t="shared" si="263"/>
        <v>0</v>
      </c>
      <c r="T182" s="23"/>
      <c r="U182" s="23"/>
      <c r="V182" s="23">
        <f t="shared" si="264"/>
        <v>0</v>
      </c>
      <c r="W182" s="23"/>
      <c r="X182" s="23"/>
      <c r="Y182" s="23">
        <f t="shared" si="265"/>
        <v>0</v>
      </c>
      <c r="Z182" s="23"/>
      <c r="AA182" s="23"/>
      <c r="AB182" s="23">
        <f t="shared" si="266"/>
        <v>0</v>
      </c>
    </row>
    <row r="183" spans="1:187" s="20" customFormat="1" ht="47.25" x14ac:dyDescent="0.25">
      <c r="A183" s="28" t="s">
        <v>106</v>
      </c>
      <c r="B183" s="23">
        <f t="shared" si="258"/>
        <v>1500</v>
      </c>
      <c r="C183" s="23">
        <f t="shared" si="258"/>
        <v>2395</v>
      </c>
      <c r="D183" s="23">
        <f t="shared" si="258"/>
        <v>895</v>
      </c>
      <c r="E183" s="23"/>
      <c r="F183" s="23"/>
      <c r="G183" s="23">
        <f t="shared" si="259"/>
        <v>0</v>
      </c>
      <c r="H183" s="23"/>
      <c r="I183" s="23"/>
      <c r="J183" s="23">
        <f t="shared" si="260"/>
        <v>0</v>
      </c>
      <c r="K183" s="23"/>
      <c r="L183" s="23"/>
      <c r="M183" s="23">
        <f t="shared" si="261"/>
        <v>0</v>
      </c>
      <c r="N183" s="23">
        <v>1500</v>
      </c>
      <c r="O183" s="23">
        <f>1500+895</f>
        <v>2395</v>
      </c>
      <c r="P183" s="23">
        <f t="shared" si="262"/>
        <v>895</v>
      </c>
      <c r="Q183" s="23"/>
      <c r="R183" s="23"/>
      <c r="S183" s="23">
        <f t="shared" si="263"/>
        <v>0</v>
      </c>
      <c r="T183" s="23"/>
      <c r="U183" s="23"/>
      <c r="V183" s="23">
        <f t="shared" si="264"/>
        <v>0</v>
      </c>
      <c r="W183" s="23"/>
      <c r="X183" s="23"/>
      <c r="Y183" s="23">
        <f t="shared" si="265"/>
        <v>0</v>
      </c>
      <c r="Z183" s="23"/>
      <c r="AA183" s="23"/>
      <c r="AB183" s="23">
        <f t="shared" si="266"/>
        <v>0</v>
      </c>
    </row>
    <row r="184" spans="1:187" s="20" customFormat="1" ht="78.75" x14ac:dyDescent="0.25">
      <c r="A184" s="28" t="s">
        <v>244</v>
      </c>
      <c r="B184" s="23">
        <f t="shared" si="258"/>
        <v>0</v>
      </c>
      <c r="C184" s="23">
        <f t="shared" si="258"/>
        <v>7500</v>
      </c>
      <c r="D184" s="23">
        <f t="shared" si="258"/>
        <v>7500</v>
      </c>
      <c r="E184" s="23"/>
      <c r="F184" s="23"/>
      <c r="G184" s="23">
        <f t="shared" si="259"/>
        <v>0</v>
      </c>
      <c r="H184" s="23"/>
      <c r="I184" s="23"/>
      <c r="J184" s="23">
        <f t="shared" si="260"/>
        <v>0</v>
      </c>
      <c r="K184" s="23">
        <v>0</v>
      </c>
      <c r="L184" s="23">
        <v>0</v>
      </c>
      <c r="M184" s="23">
        <f t="shared" si="261"/>
        <v>0</v>
      </c>
      <c r="N184" s="23">
        <v>0</v>
      </c>
      <c r="O184" s="23">
        <v>7500</v>
      </c>
      <c r="P184" s="23">
        <f t="shared" si="262"/>
        <v>7500</v>
      </c>
      <c r="Q184" s="23">
        <v>0</v>
      </c>
      <c r="R184" s="23">
        <v>0</v>
      </c>
      <c r="S184" s="23">
        <f t="shared" si="263"/>
        <v>0</v>
      </c>
      <c r="T184" s="23"/>
      <c r="U184" s="23"/>
      <c r="V184" s="23">
        <f t="shared" si="264"/>
        <v>0</v>
      </c>
      <c r="W184" s="23"/>
      <c r="X184" s="23"/>
      <c r="Y184" s="23">
        <f t="shared" si="265"/>
        <v>0</v>
      </c>
      <c r="Z184" s="23"/>
      <c r="AA184" s="23"/>
      <c r="AB184" s="23">
        <f t="shared" si="266"/>
        <v>0</v>
      </c>
    </row>
    <row r="185" spans="1:187" s="17" customFormat="1" ht="63" x14ac:dyDescent="0.25">
      <c r="A185" s="28" t="s">
        <v>107</v>
      </c>
      <c r="B185" s="30">
        <f t="shared" si="258"/>
        <v>3748</v>
      </c>
      <c r="C185" s="30">
        <f t="shared" si="258"/>
        <v>3748</v>
      </c>
      <c r="D185" s="30">
        <f t="shared" si="258"/>
        <v>0</v>
      </c>
      <c r="E185" s="30"/>
      <c r="F185" s="30"/>
      <c r="G185" s="30">
        <f t="shared" si="259"/>
        <v>0</v>
      </c>
      <c r="H185" s="30"/>
      <c r="I185" s="30"/>
      <c r="J185" s="30">
        <f t="shared" si="260"/>
        <v>0</v>
      </c>
      <c r="K185" s="30"/>
      <c r="L185" s="30"/>
      <c r="M185" s="30">
        <f t="shared" si="261"/>
        <v>0</v>
      </c>
      <c r="N185" s="30">
        <v>3748</v>
      </c>
      <c r="O185" s="30">
        <v>3748</v>
      </c>
      <c r="P185" s="30">
        <f t="shared" si="262"/>
        <v>0</v>
      </c>
      <c r="Q185" s="30">
        <v>0</v>
      </c>
      <c r="R185" s="30">
        <v>0</v>
      </c>
      <c r="S185" s="30">
        <f t="shared" si="263"/>
        <v>0</v>
      </c>
      <c r="T185" s="30"/>
      <c r="U185" s="30"/>
      <c r="V185" s="30">
        <f t="shared" si="264"/>
        <v>0</v>
      </c>
      <c r="W185" s="30"/>
      <c r="X185" s="30"/>
      <c r="Y185" s="30">
        <f t="shared" si="265"/>
        <v>0</v>
      </c>
      <c r="Z185" s="30"/>
      <c r="AA185" s="30"/>
      <c r="AB185" s="30">
        <f t="shared" si="266"/>
        <v>0</v>
      </c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</row>
    <row r="186" spans="1:187" s="17" customFormat="1" ht="31.5" x14ac:dyDescent="0.25">
      <c r="A186" s="28" t="s">
        <v>108</v>
      </c>
      <c r="B186" s="30">
        <f t="shared" si="258"/>
        <v>3500</v>
      </c>
      <c r="C186" s="30">
        <f t="shared" si="258"/>
        <v>3500</v>
      </c>
      <c r="D186" s="30">
        <f t="shared" si="258"/>
        <v>0</v>
      </c>
      <c r="E186" s="30"/>
      <c r="F186" s="30"/>
      <c r="G186" s="30">
        <f t="shared" si="259"/>
        <v>0</v>
      </c>
      <c r="H186" s="30"/>
      <c r="I186" s="30"/>
      <c r="J186" s="30">
        <f t="shared" si="260"/>
        <v>0</v>
      </c>
      <c r="K186" s="30">
        <v>0</v>
      </c>
      <c r="L186" s="30">
        <v>0</v>
      </c>
      <c r="M186" s="30">
        <f t="shared" si="261"/>
        <v>0</v>
      </c>
      <c r="N186" s="30"/>
      <c r="O186" s="30"/>
      <c r="P186" s="30">
        <f t="shared" si="262"/>
        <v>0</v>
      </c>
      <c r="Q186" s="30">
        <v>3500</v>
      </c>
      <c r="R186" s="30">
        <v>3500</v>
      </c>
      <c r="S186" s="30">
        <f t="shared" si="263"/>
        <v>0</v>
      </c>
      <c r="T186" s="30"/>
      <c r="U186" s="30"/>
      <c r="V186" s="30">
        <f t="shared" si="264"/>
        <v>0</v>
      </c>
      <c r="W186" s="30"/>
      <c r="X186" s="30"/>
      <c r="Y186" s="30">
        <f t="shared" si="265"/>
        <v>0</v>
      </c>
      <c r="Z186" s="30"/>
      <c r="AA186" s="30"/>
      <c r="AB186" s="30">
        <f t="shared" si="266"/>
        <v>0</v>
      </c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</row>
    <row r="187" spans="1:187" s="56" customFormat="1" ht="31.5" x14ac:dyDescent="0.25">
      <c r="A187" s="54" t="s">
        <v>109</v>
      </c>
      <c r="B187" s="55">
        <f t="shared" si="258"/>
        <v>4442</v>
      </c>
      <c r="C187" s="55">
        <f t="shared" si="258"/>
        <v>4442</v>
      </c>
      <c r="D187" s="55">
        <f t="shared" si="258"/>
        <v>0</v>
      </c>
      <c r="E187" s="55"/>
      <c r="F187" s="55"/>
      <c r="G187" s="55">
        <f t="shared" si="259"/>
        <v>0</v>
      </c>
      <c r="H187" s="55"/>
      <c r="I187" s="55"/>
      <c r="J187" s="55">
        <f t="shared" si="260"/>
        <v>0</v>
      </c>
      <c r="K187" s="55">
        <v>0</v>
      </c>
      <c r="L187" s="55">
        <v>0</v>
      </c>
      <c r="M187" s="55">
        <f t="shared" si="261"/>
        <v>0</v>
      </c>
      <c r="N187" s="55"/>
      <c r="O187" s="55"/>
      <c r="P187" s="55">
        <f t="shared" si="262"/>
        <v>0</v>
      </c>
      <c r="Q187" s="55">
        <f>3360+1082</f>
        <v>4442</v>
      </c>
      <c r="R187" s="55">
        <f>3360+1082</f>
        <v>4442</v>
      </c>
      <c r="S187" s="55">
        <f t="shared" si="263"/>
        <v>0</v>
      </c>
      <c r="T187" s="55"/>
      <c r="U187" s="55"/>
      <c r="V187" s="55">
        <f t="shared" si="264"/>
        <v>0</v>
      </c>
      <c r="W187" s="55"/>
      <c r="X187" s="55"/>
      <c r="Y187" s="55">
        <f t="shared" si="265"/>
        <v>0</v>
      </c>
      <c r="Z187" s="55"/>
      <c r="AA187" s="55"/>
      <c r="AB187" s="55">
        <f t="shared" si="266"/>
        <v>0</v>
      </c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3"/>
      <c r="CP187" s="53"/>
      <c r="CQ187" s="53"/>
      <c r="CR187" s="53"/>
      <c r="CS187" s="53"/>
      <c r="CT187" s="53"/>
      <c r="CU187" s="53"/>
      <c r="CV187" s="53"/>
      <c r="CW187" s="53"/>
      <c r="CX187" s="53"/>
      <c r="CY187" s="53"/>
      <c r="CZ187" s="53"/>
      <c r="DA187" s="53"/>
      <c r="DB187" s="53"/>
      <c r="DC187" s="53"/>
      <c r="DD187" s="53"/>
      <c r="DE187" s="53"/>
      <c r="DF187" s="53"/>
      <c r="DG187" s="53"/>
      <c r="DH187" s="53"/>
      <c r="DI187" s="53"/>
      <c r="DJ187" s="53"/>
      <c r="DK187" s="53"/>
      <c r="DL187" s="53"/>
      <c r="DM187" s="53"/>
      <c r="DN187" s="53"/>
      <c r="DO187" s="53"/>
      <c r="DP187" s="53"/>
      <c r="DQ187" s="53"/>
      <c r="DR187" s="53"/>
      <c r="DS187" s="53"/>
      <c r="DT187" s="53"/>
      <c r="DU187" s="53"/>
      <c r="DV187" s="53"/>
      <c r="DW187" s="53"/>
      <c r="DX187" s="53"/>
      <c r="DY187" s="53"/>
      <c r="DZ187" s="53"/>
      <c r="EA187" s="53"/>
      <c r="EB187" s="53"/>
      <c r="EC187" s="53"/>
      <c r="ED187" s="53"/>
      <c r="EE187" s="53"/>
      <c r="EF187" s="53"/>
      <c r="EG187" s="53"/>
      <c r="EH187" s="53"/>
      <c r="EI187" s="53"/>
      <c r="EJ187" s="53"/>
      <c r="EK187" s="53"/>
      <c r="EL187" s="53"/>
      <c r="EM187" s="53"/>
      <c r="EN187" s="53"/>
      <c r="EO187" s="53"/>
      <c r="EP187" s="53"/>
      <c r="EQ187" s="53"/>
      <c r="ER187" s="53"/>
      <c r="ES187" s="53"/>
      <c r="ET187" s="53"/>
      <c r="EU187" s="53"/>
      <c r="EV187" s="53"/>
      <c r="EW187" s="53"/>
      <c r="EX187" s="53"/>
      <c r="EY187" s="53"/>
      <c r="EZ187" s="53"/>
      <c r="FA187" s="53"/>
      <c r="FB187" s="53"/>
      <c r="FC187" s="53"/>
      <c r="FD187" s="53"/>
      <c r="FE187" s="53"/>
      <c r="FF187" s="53"/>
      <c r="FG187" s="53"/>
      <c r="FH187" s="53"/>
      <c r="FI187" s="53"/>
      <c r="FJ187" s="53"/>
      <c r="FK187" s="53"/>
      <c r="FL187" s="53"/>
      <c r="FM187" s="53"/>
      <c r="FN187" s="53"/>
      <c r="FO187" s="53"/>
      <c r="FP187" s="53"/>
      <c r="FQ187" s="53"/>
      <c r="FR187" s="53"/>
      <c r="FS187" s="53"/>
      <c r="FT187" s="53"/>
      <c r="FU187" s="53"/>
      <c r="FV187" s="53"/>
      <c r="FW187" s="53"/>
      <c r="FX187" s="53"/>
      <c r="FY187" s="53"/>
      <c r="FZ187" s="53"/>
      <c r="GA187" s="53"/>
      <c r="GB187" s="53"/>
      <c r="GC187" s="53"/>
      <c r="GD187" s="53"/>
      <c r="GE187" s="53"/>
    </row>
    <row r="188" spans="1:187" s="17" customFormat="1" ht="31.5" x14ac:dyDescent="0.25">
      <c r="A188" s="28" t="s">
        <v>110</v>
      </c>
      <c r="B188" s="30">
        <f t="shared" si="258"/>
        <v>3816</v>
      </c>
      <c r="C188" s="30">
        <f t="shared" si="258"/>
        <v>3816</v>
      </c>
      <c r="D188" s="30">
        <f t="shared" si="258"/>
        <v>0</v>
      </c>
      <c r="E188" s="30"/>
      <c r="F188" s="30"/>
      <c r="G188" s="30">
        <f t="shared" si="259"/>
        <v>0</v>
      </c>
      <c r="H188" s="30"/>
      <c r="I188" s="30"/>
      <c r="J188" s="30">
        <f t="shared" si="260"/>
        <v>0</v>
      </c>
      <c r="K188" s="30">
        <v>0</v>
      </c>
      <c r="L188" s="30">
        <v>0</v>
      </c>
      <c r="M188" s="30">
        <f t="shared" si="261"/>
        <v>0</v>
      </c>
      <c r="N188" s="30"/>
      <c r="O188" s="30"/>
      <c r="P188" s="30">
        <f t="shared" si="262"/>
        <v>0</v>
      </c>
      <c r="Q188" s="30">
        <v>3816</v>
      </c>
      <c r="R188" s="30">
        <v>3816</v>
      </c>
      <c r="S188" s="30">
        <f t="shared" si="263"/>
        <v>0</v>
      </c>
      <c r="T188" s="30"/>
      <c r="U188" s="30"/>
      <c r="V188" s="30">
        <f t="shared" si="264"/>
        <v>0</v>
      </c>
      <c r="W188" s="30"/>
      <c r="X188" s="30"/>
      <c r="Y188" s="30">
        <f t="shared" si="265"/>
        <v>0</v>
      </c>
      <c r="Z188" s="30"/>
      <c r="AA188" s="30"/>
      <c r="AB188" s="30">
        <f t="shared" si="266"/>
        <v>0</v>
      </c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</row>
    <row r="189" spans="1:187" s="56" customFormat="1" ht="31.5" x14ac:dyDescent="0.25">
      <c r="A189" s="54" t="s">
        <v>233</v>
      </c>
      <c r="B189" s="55">
        <f t="shared" si="258"/>
        <v>2635</v>
      </c>
      <c r="C189" s="55">
        <f t="shared" si="258"/>
        <v>2635</v>
      </c>
      <c r="D189" s="55">
        <f t="shared" si="258"/>
        <v>0</v>
      </c>
      <c r="E189" s="55"/>
      <c r="F189" s="55"/>
      <c r="G189" s="55">
        <f t="shared" si="259"/>
        <v>0</v>
      </c>
      <c r="H189" s="55"/>
      <c r="I189" s="55"/>
      <c r="J189" s="55">
        <f t="shared" si="260"/>
        <v>0</v>
      </c>
      <c r="K189" s="55">
        <v>0</v>
      </c>
      <c r="L189" s="55">
        <v>0</v>
      </c>
      <c r="M189" s="55">
        <f t="shared" si="261"/>
        <v>0</v>
      </c>
      <c r="N189" s="55"/>
      <c r="O189" s="55"/>
      <c r="P189" s="55">
        <f t="shared" si="262"/>
        <v>0</v>
      </c>
      <c r="Q189" s="55">
        <v>2635</v>
      </c>
      <c r="R189" s="55">
        <v>2635</v>
      </c>
      <c r="S189" s="55">
        <f t="shared" si="263"/>
        <v>0</v>
      </c>
      <c r="T189" s="55"/>
      <c r="U189" s="55"/>
      <c r="V189" s="55">
        <f t="shared" si="264"/>
        <v>0</v>
      </c>
      <c r="W189" s="55"/>
      <c r="X189" s="55"/>
      <c r="Y189" s="55">
        <f t="shared" si="265"/>
        <v>0</v>
      </c>
      <c r="Z189" s="55"/>
      <c r="AA189" s="55"/>
      <c r="AB189" s="55">
        <f t="shared" si="266"/>
        <v>0</v>
      </c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3"/>
      <c r="CP189" s="53"/>
      <c r="CQ189" s="53"/>
      <c r="CR189" s="53"/>
      <c r="CS189" s="53"/>
      <c r="CT189" s="53"/>
      <c r="CU189" s="53"/>
      <c r="CV189" s="53"/>
      <c r="CW189" s="53"/>
      <c r="CX189" s="53"/>
      <c r="CY189" s="53"/>
      <c r="CZ189" s="53"/>
      <c r="DA189" s="53"/>
      <c r="DB189" s="53"/>
      <c r="DC189" s="53"/>
      <c r="DD189" s="53"/>
      <c r="DE189" s="53"/>
      <c r="DF189" s="53"/>
      <c r="DG189" s="53"/>
      <c r="DH189" s="53"/>
      <c r="DI189" s="53"/>
      <c r="DJ189" s="53"/>
      <c r="DK189" s="53"/>
      <c r="DL189" s="53"/>
      <c r="DM189" s="53"/>
      <c r="DN189" s="53"/>
      <c r="DO189" s="53"/>
      <c r="DP189" s="53"/>
      <c r="DQ189" s="53"/>
      <c r="DR189" s="53"/>
      <c r="DS189" s="53"/>
      <c r="DT189" s="53"/>
      <c r="DU189" s="53"/>
      <c r="DV189" s="53"/>
      <c r="DW189" s="53"/>
      <c r="DX189" s="53"/>
      <c r="DY189" s="53"/>
      <c r="DZ189" s="53"/>
      <c r="EA189" s="53"/>
      <c r="EB189" s="53"/>
      <c r="EC189" s="53"/>
      <c r="ED189" s="53"/>
      <c r="EE189" s="53"/>
      <c r="EF189" s="53"/>
      <c r="EG189" s="53"/>
      <c r="EH189" s="53"/>
      <c r="EI189" s="53"/>
      <c r="EJ189" s="53"/>
      <c r="EK189" s="53"/>
      <c r="EL189" s="53"/>
      <c r="EM189" s="53"/>
      <c r="EN189" s="53"/>
      <c r="EO189" s="53"/>
      <c r="EP189" s="53"/>
      <c r="EQ189" s="53"/>
      <c r="ER189" s="53"/>
      <c r="ES189" s="53"/>
      <c r="ET189" s="53"/>
      <c r="EU189" s="53"/>
      <c r="EV189" s="53"/>
      <c r="EW189" s="53"/>
      <c r="EX189" s="53"/>
      <c r="EY189" s="53"/>
      <c r="EZ189" s="53"/>
      <c r="FA189" s="53"/>
      <c r="FB189" s="53"/>
      <c r="FC189" s="53"/>
      <c r="FD189" s="53"/>
      <c r="FE189" s="53"/>
      <c r="FF189" s="53"/>
      <c r="FG189" s="53"/>
      <c r="FH189" s="53"/>
      <c r="FI189" s="53"/>
      <c r="FJ189" s="53"/>
      <c r="FK189" s="53"/>
      <c r="FL189" s="53"/>
      <c r="FM189" s="53"/>
      <c r="FN189" s="53"/>
      <c r="FO189" s="53"/>
      <c r="FP189" s="53"/>
      <c r="FQ189" s="53"/>
      <c r="FR189" s="53"/>
      <c r="FS189" s="53"/>
      <c r="FT189" s="53"/>
      <c r="FU189" s="53"/>
      <c r="FV189" s="53"/>
      <c r="FW189" s="53"/>
      <c r="FX189" s="53"/>
      <c r="FY189" s="53"/>
      <c r="FZ189" s="53"/>
      <c r="GA189" s="53"/>
      <c r="GB189" s="53"/>
      <c r="GC189" s="53"/>
      <c r="GD189" s="53"/>
      <c r="GE189" s="53"/>
    </row>
    <row r="190" spans="1:187" s="56" customFormat="1" ht="31.5" x14ac:dyDescent="0.25">
      <c r="A190" s="54" t="s">
        <v>234</v>
      </c>
      <c r="B190" s="55">
        <f t="shared" si="258"/>
        <v>3976</v>
      </c>
      <c r="C190" s="55">
        <f t="shared" si="258"/>
        <v>3976</v>
      </c>
      <c r="D190" s="55">
        <f t="shared" si="258"/>
        <v>0</v>
      </c>
      <c r="E190" s="55"/>
      <c r="F190" s="55"/>
      <c r="G190" s="55">
        <f t="shared" si="259"/>
        <v>0</v>
      </c>
      <c r="H190" s="55"/>
      <c r="I190" s="55"/>
      <c r="J190" s="55">
        <f t="shared" si="260"/>
        <v>0</v>
      </c>
      <c r="K190" s="55">
        <v>0</v>
      </c>
      <c r="L190" s="55">
        <v>0</v>
      </c>
      <c r="M190" s="55">
        <f t="shared" si="261"/>
        <v>0</v>
      </c>
      <c r="N190" s="55"/>
      <c r="O190" s="55"/>
      <c r="P190" s="55">
        <f t="shared" si="262"/>
        <v>0</v>
      </c>
      <c r="Q190" s="55">
        <v>3976</v>
      </c>
      <c r="R190" s="55">
        <v>3976</v>
      </c>
      <c r="S190" s="55">
        <f t="shared" si="263"/>
        <v>0</v>
      </c>
      <c r="T190" s="55"/>
      <c r="U190" s="55"/>
      <c r="V190" s="55">
        <f t="shared" si="264"/>
        <v>0</v>
      </c>
      <c r="W190" s="55"/>
      <c r="X190" s="55"/>
      <c r="Y190" s="55">
        <f t="shared" si="265"/>
        <v>0</v>
      </c>
      <c r="Z190" s="55"/>
      <c r="AA190" s="55"/>
      <c r="AB190" s="55">
        <f t="shared" si="266"/>
        <v>0</v>
      </c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3"/>
      <c r="CP190" s="53"/>
      <c r="CQ190" s="53"/>
      <c r="CR190" s="53"/>
      <c r="CS190" s="53"/>
      <c r="CT190" s="53"/>
      <c r="CU190" s="53"/>
      <c r="CV190" s="53"/>
      <c r="CW190" s="53"/>
      <c r="CX190" s="53"/>
      <c r="CY190" s="53"/>
      <c r="CZ190" s="53"/>
      <c r="DA190" s="53"/>
      <c r="DB190" s="53"/>
      <c r="DC190" s="53"/>
      <c r="DD190" s="53"/>
      <c r="DE190" s="53"/>
      <c r="DF190" s="53"/>
      <c r="DG190" s="53"/>
      <c r="DH190" s="53"/>
      <c r="DI190" s="53"/>
      <c r="DJ190" s="53"/>
      <c r="DK190" s="53"/>
      <c r="DL190" s="53"/>
      <c r="DM190" s="53"/>
      <c r="DN190" s="53"/>
      <c r="DO190" s="53"/>
      <c r="DP190" s="53"/>
      <c r="DQ190" s="53"/>
      <c r="DR190" s="53"/>
      <c r="DS190" s="53"/>
      <c r="DT190" s="53"/>
      <c r="DU190" s="53"/>
      <c r="DV190" s="53"/>
      <c r="DW190" s="53"/>
      <c r="DX190" s="53"/>
      <c r="DY190" s="53"/>
      <c r="DZ190" s="53"/>
      <c r="EA190" s="53"/>
      <c r="EB190" s="53"/>
      <c r="EC190" s="53"/>
      <c r="ED190" s="53"/>
      <c r="EE190" s="53"/>
      <c r="EF190" s="53"/>
      <c r="EG190" s="53"/>
      <c r="EH190" s="53"/>
      <c r="EI190" s="53"/>
      <c r="EJ190" s="53"/>
      <c r="EK190" s="53"/>
      <c r="EL190" s="53"/>
      <c r="EM190" s="53"/>
      <c r="EN190" s="53"/>
      <c r="EO190" s="53"/>
      <c r="EP190" s="53"/>
      <c r="EQ190" s="53"/>
      <c r="ER190" s="53"/>
      <c r="ES190" s="53"/>
      <c r="ET190" s="53"/>
      <c r="EU190" s="53"/>
      <c r="EV190" s="53"/>
      <c r="EW190" s="53"/>
      <c r="EX190" s="53"/>
      <c r="EY190" s="53"/>
      <c r="EZ190" s="53"/>
      <c r="FA190" s="53"/>
      <c r="FB190" s="53"/>
      <c r="FC190" s="53"/>
      <c r="FD190" s="53"/>
      <c r="FE190" s="53"/>
      <c r="FF190" s="53"/>
      <c r="FG190" s="53"/>
      <c r="FH190" s="53"/>
      <c r="FI190" s="53"/>
      <c r="FJ190" s="53"/>
      <c r="FK190" s="53"/>
      <c r="FL190" s="53"/>
      <c r="FM190" s="53"/>
      <c r="FN190" s="53"/>
      <c r="FO190" s="53"/>
      <c r="FP190" s="53"/>
      <c r="FQ190" s="53"/>
      <c r="FR190" s="53"/>
      <c r="FS190" s="53"/>
      <c r="FT190" s="53"/>
      <c r="FU190" s="53"/>
      <c r="FV190" s="53"/>
      <c r="FW190" s="53"/>
      <c r="FX190" s="53"/>
      <c r="FY190" s="53"/>
      <c r="FZ190" s="53"/>
      <c r="GA190" s="53"/>
      <c r="GB190" s="53"/>
      <c r="GC190" s="53"/>
      <c r="GD190" s="53"/>
      <c r="GE190" s="53"/>
    </row>
    <row r="191" spans="1:187" s="56" customFormat="1" ht="29.25" customHeight="1" x14ac:dyDescent="0.25">
      <c r="A191" s="54" t="s">
        <v>235</v>
      </c>
      <c r="B191" s="55">
        <f t="shared" si="258"/>
        <v>2266</v>
      </c>
      <c r="C191" s="55">
        <f t="shared" si="258"/>
        <v>2266</v>
      </c>
      <c r="D191" s="55">
        <f t="shared" si="258"/>
        <v>0</v>
      </c>
      <c r="E191" s="55"/>
      <c r="F191" s="55"/>
      <c r="G191" s="55">
        <f t="shared" si="259"/>
        <v>0</v>
      </c>
      <c r="H191" s="55"/>
      <c r="I191" s="55"/>
      <c r="J191" s="55">
        <f t="shared" si="260"/>
        <v>0</v>
      </c>
      <c r="K191" s="55">
        <v>0</v>
      </c>
      <c r="L191" s="55">
        <v>0</v>
      </c>
      <c r="M191" s="55">
        <f t="shared" si="261"/>
        <v>0</v>
      </c>
      <c r="N191" s="55"/>
      <c r="O191" s="55"/>
      <c r="P191" s="55">
        <f t="shared" si="262"/>
        <v>0</v>
      </c>
      <c r="Q191" s="55">
        <v>0</v>
      </c>
      <c r="R191" s="55">
        <v>0</v>
      </c>
      <c r="S191" s="55">
        <f t="shared" si="263"/>
        <v>0</v>
      </c>
      <c r="T191" s="55"/>
      <c r="U191" s="55"/>
      <c r="V191" s="55">
        <f t="shared" si="264"/>
        <v>0</v>
      </c>
      <c r="W191" s="55">
        <v>2266</v>
      </c>
      <c r="X191" s="55">
        <v>2266</v>
      </c>
      <c r="Y191" s="55">
        <f t="shared" si="265"/>
        <v>0</v>
      </c>
      <c r="Z191" s="55"/>
      <c r="AA191" s="55"/>
      <c r="AB191" s="55">
        <f t="shared" si="266"/>
        <v>0</v>
      </c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3"/>
      <c r="CP191" s="53"/>
      <c r="CQ191" s="53"/>
      <c r="CR191" s="53"/>
      <c r="CS191" s="53"/>
      <c r="CT191" s="53"/>
      <c r="CU191" s="53"/>
      <c r="CV191" s="53"/>
      <c r="CW191" s="53"/>
      <c r="CX191" s="53"/>
      <c r="CY191" s="53"/>
      <c r="CZ191" s="53"/>
      <c r="DA191" s="53"/>
      <c r="DB191" s="53"/>
      <c r="DC191" s="53"/>
      <c r="DD191" s="53"/>
      <c r="DE191" s="53"/>
      <c r="DF191" s="53"/>
      <c r="DG191" s="53"/>
      <c r="DH191" s="53"/>
      <c r="DI191" s="53"/>
      <c r="DJ191" s="53"/>
      <c r="DK191" s="53"/>
      <c r="DL191" s="53"/>
      <c r="DM191" s="53"/>
      <c r="DN191" s="53"/>
      <c r="DO191" s="53"/>
      <c r="DP191" s="53"/>
      <c r="DQ191" s="53"/>
      <c r="DR191" s="53"/>
      <c r="DS191" s="53"/>
      <c r="DT191" s="53"/>
      <c r="DU191" s="53"/>
      <c r="DV191" s="53"/>
      <c r="DW191" s="53"/>
      <c r="DX191" s="53"/>
      <c r="DY191" s="53"/>
      <c r="DZ191" s="53"/>
      <c r="EA191" s="53"/>
      <c r="EB191" s="53"/>
      <c r="EC191" s="53"/>
      <c r="ED191" s="53"/>
      <c r="EE191" s="53"/>
      <c r="EF191" s="53"/>
      <c r="EG191" s="53"/>
      <c r="EH191" s="53"/>
      <c r="EI191" s="53"/>
      <c r="EJ191" s="53"/>
      <c r="EK191" s="53"/>
      <c r="EL191" s="53"/>
      <c r="EM191" s="53"/>
      <c r="EN191" s="53"/>
      <c r="EO191" s="53"/>
      <c r="EP191" s="53"/>
      <c r="EQ191" s="53"/>
      <c r="ER191" s="53"/>
      <c r="ES191" s="53"/>
      <c r="ET191" s="53"/>
      <c r="EU191" s="53"/>
      <c r="EV191" s="53"/>
      <c r="EW191" s="53"/>
      <c r="EX191" s="53"/>
      <c r="EY191" s="53"/>
      <c r="EZ191" s="53"/>
      <c r="FA191" s="53"/>
      <c r="FB191" s="53"/>
      <c r="FC191" s="53"/>
      <c r="FD191" s="53"/>
      <c r="FE191" s="53"/>
      <c r="FF191" s="53"/>
      <c r="FG191" s="53"/>
      <c r="FH191" s="53"/>
      <c r="FI191" s="53"/>
      <c r="FJ191" s="53"/>
      <c r="FK191" s="53"/>
      <c r="FL191" s="53"/>
      <c r="FM191" s="53"/>
      <c r="FN191" s="53"/>
      <c r="FO191" s="53"/>
      <c r="FP191" s="53"/>
      <c r="FQ191" s="53"/>
      <c r="FR191" s="53"/>
      <c r="FS191" s="53"/>
      <c r="FT191" s="53"/>
      <c r="FU191" s="53"/>
      <c r="FV191" s="53"/>
      <c r="FW191" s="53"/>
      <c r="FX191" s="53"/>
      <c r="FY191" s="53"/>
      <c r="FZ191" s="53"/>
      <c r="GA191" s="53"/>
      <c r="GB191" s="53"/>
      <c r="GC191" s="53"/>
      <c r="GD191" s="53"/>
      <c r="GE191" s="53"/>
    </row>
    <row r="192" spans="1:187" s="17" customFormat="1" ht="47.25" x14ac:dyDescent="0.25">
      <c r="A192" s="28" t="s">
        <v>224</v>
      </c>
      <c r="B192" s="30">
        <f t="shared" si="258"/>
        <v>5843</v>
      </c>
      <c r="C192" s="30">
        <f t="shared" si="258"/>
        <v>5843</v>
      </c>
      <c r="D192" s="30">
        <f t="shared" si="258"/>
        <v>0</v>
      </c>
      <c r="E192" s="30"/>
      <c r="F192" s="30"/>
      <c r="G192" s="30">
        <f t="shared" si="259"/>
        <v>0</v>
      </c>
      <c r="H192" s="30"/>
      <c r="I192" s="30"/>
      <c r="J192" s="30">
        <f t="shared" si="260"/>
        <v>0</v>
      </c>
      <c r="K192" s="30">
        <v>0</v>
      </c>
      <c r="L192" s="30">
        <v>0</v>
      </c>
      <c r="M192" s="30">
        <f t="shared" si="261"/>
        <v>0</v>
      </c>
      <c r="N192" s="30"/>
      <c r="O192" s="30"/>
      <c r="P192" s="30">
        <f t="shared" si="262"/>
        <v>0</v>
      </c>
      <c r="Q192" s="30">
        <v>5843</v>
      </c>
      <c r="R192" s="30">
        <v>5843</v>
      </c>
      <c r="S192" s="30">
        <f t="shared" si="263"/>
        <v>0</v>
      </c>
      <c r="T192" s="30"/>
      <c r="U192" s="30"/>
      <c r="V192" s="30">
        <f t="shared" si="264"/>
        <v>0</v>
      </c>
      <c r="W192" s="30"/>
      <c r="X192" s="30"/>
      <c r="Y192" s="30">
        <f t="shared" si="265"/>
        <v>0</v>
      </c>
      <c r="Z192" s="30"/>
      <c r="AA192" s="30"/>
      <c r="AB192" s="30">
        <f t="shared" si="266"/>
        <v>0</v>
      </c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</row>
    <row r="193" spans="1:187" s="17" customFormat="1" ht="31.5" x14ac:dyDescent="0.25">
      <c r="A193" s="28" t="s">
        <v>111</v>
      </c>
      <c r="B193" s="30">
        <f t="shared" si="258"/>
        <v>2400</v>
      </c>
      <c r="C193" s="30">
        <f t="shared" si="258"/>
        <v>2400</v>
      </c>
      <c r="D193" s="30">
        <f t="shared" si="258"/>
        <v>0</v>
      </c>
      <c r="E193" s="30"/>
      <c r="F193" s="30"/>
      <c r="G193" s="30">
        <f t="shared" si="259"/>
        <v>0</v>
      </c>
      <c r="H193" s="30"/>
      <c r="I193" s="30"/>
      <c r="J193" s="30">
        <f t="shared" si="260"/>
        <v>0</v>
      </c>
      <c r="K193" s="30">
        <v>0</v>
      </c>
      <c r="L193" s="30">
        <v>0</v>
      </c>
      <c r="M193" s="30">
        <f t="shared" si="261"/>
        <v>0</v>
      </c>
      <c r="N193" s="30"/>
      <c r="O193" s="30"/>
      <c r="P193" s="30">
        <f t="shared" si="262"/>
        <v>0</v>
      </c>
      <c r="Q193" s="30">
        <v>2400</v>
      </c>
      <c r="R193" s="30">
        <v>2400</v>
      </c>
      <c r="S193" s="30">
        <f t="shared" si="263"/>
        <v>0</v>
      </c>
      <c r="T193" s="30"/>
      <c r="U193" s="30"/>
      <c r="V193" s="30">
        <f t="shared" si="264"/>
        <v>0</v>
      </c>
      <c r="W193" s="30"/>
      <c r="X193" s="30"/>
      <c r="Y193" s="30">
        <f t="shared" si="265"/>
        <v>0</v>
      </c>
      <c r="Z193" s="30"/>
      <c r="AA193" s="30"/>
      <c r="AB193" s="30">
        <f t="shared" si="266"/>
        <v>0</v>
      </c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</row>
    <row r="194" spans="1:187" s="20" customFormat="1" ht="47.25" x14ac:dyDescent="0.25">
      <c r="A194" s="25" t="s">
        <v>112</v>
      </c>
      <c r="B194" s="26">
        <f t="shared" si="258"/>
        <v>7113</v>
      </c>
      <c r="C194" s="26">
        <f t="shared" si="258"/>
        <v>7113</v>
      </c>
      <c r="D194" s="26">
        <f t="shared" si="258"/>
        <v>0</v>
      </c>
      <c r="E194" s="26"/>
      <c r="F194" s="26"/>
      <c r="G194" s="26">
        <f t="shared" si="259"/>
        <v>0</v>
      </c>
      <c r="H194" s="26"/>
      <c r="I194" s="26"/>
      <c r="J194" s="26">
        <f t="shared" si="260"/>
        <v>0</v>
      </c>
      <c r="K194" s="26"/>
      <c r="L194" s="26"/>
      <c r="M194" s="26">
        <f t="shared" si="261"/>
        <v>0</v>
      </c>
      <c r="N194" s="26">
        <v>0</v>
      </c>
      <c r="O194" s="26">
        <v>0</v>
      </c>
      <c r="P194" s="26">
        <f t="shared" si="262"/>
        <v>0</v>
      </c>
      <c r="Q194" s="26">
        <f>6414+699</f>
        <v>7113</v>
      </c>
      <c r="R194" s="26">
        <f>6414+699</f>
        <v>7113</v>
      </c>
      <c r="S194" s="26">
        <f t="shared" si="263"/>
        <v>0</v>
      </c>
      <c r="T194" s="26"/>
      <c r="U194" s="26"/>
      <c r="V194" s="26">
        <f t="shared" si="264"/>
        <v>0</v>
      </c>
      <c r="W194" s="26"/>
      <c r="X194" s="26"/>
      <c r="Y194" s="26">
        <f t="shared" si="265"/>
        <v>0</v>
      </c>
      <c r="Z194" s="26"/>
      <c r="AA194" s="26"/>
      <c r="AB194" s="26">
        <f t="shared" si="266"/>
        <v>0</v>
      </c>
    </row>
    <row r="195" spans="1:187" s="20" customFormat="1" ht="31.5" x14ac:dyDescent="0.25">
      <c r="A195" s="28" t="s">
        <v>225</v>
      </c>
      <c r="B195" s="23">
        <f t="shared" si="258"/>
        <v>14998</v>
      </c>
      <c r="C195" s="23">
        <f t="shared" si="258"/>
        <v>14998</v>
      </c>
      <c r="D195" s="23">
        <f t="shared" si="258"/>
        <v>0</v>
      </c>
      <c r="E195" s="23"/>
      <c r="F195" s="23"/>
      <c r="G195" s="23">
        <f t="shared" si="259"/>
        <v>0</v>
      </c>
      <c r="H195" s="23"/>
      <c r="I195" s="23"/>
      <c r="J195" s="23">
        <f t="shared" si="260"/>
        <v>0</v>
      </c>
      <c r="K195" s="23"/>
      <c r="L195" s="23"/>
      <c r="M195" s="23">
        <f t="shared" si="261"/>
        <v>0</v>
      </c>
      <c r="N195" s="23">
        <v>0</v>
      </c>
      <c r="O195" s="23">
        <v>0</v>
      </c>
      <c r="P195" s="23">
        <f t="shared" si="262"/>
        <v>0</v>
      </c>
      <c r="Q195" s="23">
        <v>14998</v>
      </c>
      <c r="R195" s="23">
        <v>14998</v>
      </c>
      <c r="S195" s="23">
        <f t="shared" si="263"/>
        <v>0</v>
      </c>
      <c r="T195" s="23"/>
      <c r="U195" s="23"/>
      <c r="V195" s="23">
        <f t="shared" si="264"/>
        <v>0</v>
      </c>
      <c r="W195" s="23"/>
      <c r="X195" s="23"/>
      <c r="Y195" s="23">
        <f t="shared" si="265"/>
        <v>0</v>
      </c>
      <c r="Z195" s="23"/>
      <c r="AA195" s="23"/>
      <c r="AB195" s="23">
        <f t="shared" si="266"/>
        <v>0</v>
      </c>
    </row>
    <row r="196" spans="1:187" s="20" customFormat="1" ht="63" x14ac:dyDescent="0.25">
      <c r="A196" s="25" t="s">
        <v>238</v>
      </c>
      <c r="B196" s="26">
        <f t="shared" si="258"/>
        <v>23826</v>
      </c>
      <c r="C196" s="26">
        <f t="shared" si="258"/>
        <v>23826</v>
      </c>
      <c r="D196" s="26">
        <f t="shared" si="258"/>
        <v>0</v>
      </c>
      <c r="E196" s="26">
        <v>0</v>
      </c>
      <c r="F196" s="26">
        <v>0</v>
      </c>
      <c r="G196" s="26">
        <f t="shared" si="259"/>
        <v>0</v>
      </c>
      <c r="H196" s="26"/>
      <c r="I196" s="26"/>
      <c r="J196" s="26">
        <f t="shared" si="260"/>
        <v>0</v>
      </c>
      <c r="K196" s="26"/>
      <c r="L196" s="26"/>
      <c r="M196" s="26">
        <f t="shared" si="261"/>
        <v>0</v>
      </c>
      <c r="N196" s="26"/>
      <c r="O196" s="26"/>
      <c r="P196" s="26">
        <f t="shared" si="262"/>
        <v>0</v>
      </c>
      <c r="Q196" s="26">
        <f>3605+20221</f>
        <v>23826</v>
      </c>
      <c r="R196" s="26">
        <f>3605+20221</f>
        <v>23826</v>
      </c>
      <c r="S196" s="26">
        <f t="shared" si="263"/>
        <v>0</v>
      </c>
      <c r="T196" s="26"/>
      <c r="U196" s="26"/>
      <c r="V196" s="26">
        <f t="shared" si="264"/>
        <v>0</v>
      </c>
      <c r="W196" s="26"/>
      <c r="X196" s="26"/>
      <c r="Y196" s="26">
        <f t="shared" si="265"/>
        <v>0</v>
      </c>
      <c r="Z196" s="26"/>
      <c r="AA196" s="26"/>
      <c r="AB196" s="26">
        <f t="shared" si="266"/>
        <v>0</v>
      </c>
    </row>
    <row r="197" spans="1:187" s="53" customFormat="1" x14ac:dyDescent="0.25">
      <c r="A197" s="51" t="s">
        <v>113</v>
      </c>
      <c r="B197" s="52">
        <f t="shared" si="258"/>
        <v>11327</v>
      </c>
      <c r="C197" s="52">
        <f t="shared" si="258"/>
        <v>11327</v>
      </c>
      <c r="D197" s="52">
        <f t="shared" si="258"/>
        <v>0</v>
      </c>
      <c r="E197" s="52"/>
      <c r="F197" s="52"/>
      <c r="G197" s="52">
        <f t="shared" si="259"/>
        <v>0</v>
      </c>
      <c r="H197" s="52"/>
      <c r="I197" s="52"/>
      <c r="J197" s="52">
        <f t="shared" si="260"/>
        <v>0</v>
      </c>
      <c r="K197" s="52"/>
      <c r="L197" s="52"/>
      <c r="M197" s="52">
        <f t="shared" si="261"/>
        <v>0</v>
      </c>
      <c r="N197" s="52">
        <v>0</v>
      </c>
      <c r="O197" s="52">
        <v>0</v>
      </c>
      <c r="P197" s="52">
        <f t="shared" si="262"/>
        <v>0</v>
      </c>
      <c r="Q197" s="52">
        <f>11806-479</f>
        <v>11327</v>
      </c>
      <c r="R197" s="52">
        <f>11806-479</f>
        <v>11327</v>
      </c>
      <c r="S197" s="52">
        <f t="shared" si="263"/>
        <v>0</v>
      </c>
      <c r="T197" s="52"/>
      <c r="U197" s="52"/>
      <c r="V197" s="52">
        <f t="shared" si="264"/>
        <v>0</v>
      </c>
      <c r="W197" s="52"/>
      <c r="X197" s="52"/>
      <c r="Y197" s="52">
        <f t="shared" si="265"/>
        <v>0</v>
      </c>
      <c r="Z197" s="52"/>
      <c r="AA197" s="52"/>
      <c r="AB197" s="52">
        <f t="shared" si="266"/>
        <v>0</v>
      </c>
    </row>
    <row r="198" spans="1:187" s="20" customFormat="1" x14ac:dyDescent="0.25">
      <c r="A198" s="18" t="s">
        <v>114</v>
      </c>
      <c r="B198" s="19">
        <f t="shared" si="258"/>
        <v>183988</v>
      </c>
      <c r="C198" s="19">
        <f t="shared" si="258"/>
        <v>183988</v>
      </c>
      <c r="D198" s="19">
        <f t="shared" si="258"/>
        <v>0</v>
      </c>
      <c r="E198" s="19">
        <f t="shared" ref="E198" si="278">SUM(E199:E202)</f>
        <v>0</v>
      </c>
      <c r="F198" s="19">
        <f t="shared" ref="F198:AA198" si="279">SUM(F199:F202)</f>
        <v>0</v>
      </c>
      <c r="G198" s="19">
        <f t="shared" si="259"/>
        <v>0</v>
      </c>
      <c r="H198" s="19">
        <f t="shared" ref="H198" si="280">SUM(H199:H202)</f>
        <v>0</v>
      </c>
      <c r="I198" s="19">
        <f t="shared" si="279"/>
        <v>0</v>
      </c>
      <c r="J198" s="19">
        <f t="shared" si="260"/>
        <v>0</v>
      </c>
      <c r="K198" s="19">
        <f t="shared" ref="K198" si="281">SUM(K199:K202)</f>
        <v>0</v>
      </c>
      <c r="L198" s="19">
        <f t="shared" si="279"/>
        <v>0</v>
      </c>
      <c r="M198" s="19">
        <f t="shared" si="261"/>
        <v>0</v>
      </c>
      <c r="N198" s="19">
        <f t="shared" ref="N198" si="282">SUM(N199:N202)</f>
        <v>113488</v>
      </c>
      <c r="O198" s="19">
        <f t="shared" si="279"/>
        <v>113488</v>
      </c>
      <c r="P198" s="19">
        <f t="shared" si="262"/>
        <v>0</v>
      </c>
      <c r="Q198" s="19">
        <f t="shared" ref="Q198" si="283">SUM(Q199:Q202)</f>
        <v>70500</v>
      </c>
      <c r="R198" s="19">
        <f t="shared" si="279"/>
        <v>70500</v>
      </c>
      <c r="S198" s="19">
        <f t="shared" si="263"/>
        <v>0</v>
      </c>
      <c r="T198" s="19">
        <f t="shared" ref="T198" si="284">SUM(T199:T202)</f>
        <v>0</v>
      </c>
      <c r="U198" s="19">
        <f t="shared" si="279"/>
        <v>0</v>
      </c>
      <c r="V198" s="19">
        <f t="shared" si="264"/>
        <v>0</v>
      </c>
      <c r="W198" s="19">
        <f t="shared" ref="W198" si="285">SUM(W199:W202)</f>
        <v>0</v>
      </c>
      <c r="X198" s="19">
        <f t="shared" si="279"/>
        <v>0</v>
      </c>
      <c r="Y198" s="19">
        <f t="shared" si="265"/>
        <v>0</v>
      </c>
      <c r="Z198" s="19">
        <f t="shared" ref="Z198" si="286">SUM(Z199:Z202)</f>
        <v>0</v>
      </c>
      <c r="AA198" s="19">
        <f t="shared" si="279"/>
        <v>0</v>
      </c>
      <c r="AB198" s="19">
        <f t="shared" si="266"/>
        <v>0</v>
      </c>
    </row>
    <row r="199" spans="1:187" s="17" customFormat="1" ht="31.5" x14ac:dyDescent="0.25">
      <c r="A199" s="28" t="s">
        <v>115</v>
      </c>
      <c r="B199" s="30">
        <f t="shared" si="258"/>
        <v>70500</v>
      </c>
      <c r="C199" s="30">
        <f t="shared" si="258"/>
        <v>70500</v>
      </c>
      <c r="D199" s="30">
        <f t="shared" si="258"/>
        <v>0</v>
      </c>
      <c r="E199" s="30"/>
      <c r="F199" s="30"/>
      <c r="G199" s="30">
        <f t="shared" si="259"/>
        <v>0</v>
      </c>
      <c r="H199" s="30"/>
      <c r="I199" s="30"/>
      <c r="J199" s="30">
        <f t="shared" si="260"/>
        <v>0</v>
      </c>
      <c r="K199" s="30">
        <v>0</v>
      </c>
      <c r="L199" s="30">
        <v>0</v>
      </c>
      <c r="M199" s="30">
        <f t="shared" si="261"/>
        <v>0</v>
      </c>
      <c r="N199" s="30"/>
      <c r="O199" s="30"/>
      <c r="P199" s="30">
        <f t="shared" si="262"/>
        <v>0</v>
      </c>
      <c r="Q199" s="30">
        <v>70500</v>
      </c>
      <c r="R199" s="30">
        <v>70500</v>
      </c>
      <c r="S199" s="30">
        <f t="shared" si="263"/>
        <v>0</v>
      </c>
      <c r="T199" s="30"/>
      <c r="U199" s="30"/>
      <c r="V199" s="30">
        <f t="shared" si="264"/>
        <v>0</v>
      </c>
      <c r="W199" s="30"/>
      <c r="X199" s="30"/>
      <c r="Y199" s="30">
        <f t="shared" si="265"/>
        <v>0</v>
      </c>
      <c r="Z199" s="30"/>
      <c r="AA199" s="30"/>
      <c r="AB199" s="30">
        <f t="shared" si="266"/>
        <v>0</v>
      </c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</row>
    <row r="200" spans="1:187" s="20" customFormat="1" ht="94.5" x14ac:dyDescent="0.25">
      <c r="A200" s="28" t="s">
        <v>116</v>
      </c>
      <c r="B200" s="23">
        <f t="shared" si="258"/>
        <v>77500</v>
      </c>
      <c r="C200" s="23">
        <f t="shared" si="258"/>
        <v>77500</v>
      </c>
      <c r="D200" s="23">
        <f t="shared" si="258"/>
        <v>0</v>
      </c>
      <c r="E200" s="23"/>
      <c r="F200" s="23"/>
      <c r="G200" s="23">
        <f t="shared" si="259"/>
        <v>0</v>
      </c>
      <c r="H200" s="23"/>
      <c r="I200" s="23"/>
      <c r="J200" s="23">
        <f t="shared" si="260"/>
        <v>0</v>
      </c>
      <c r="K200" s="23">
        <v>0</v>
      </c>
      <c r="L200" s="23">
        <v>0</v>
      </c>
      <c r="M200" s="23">
        <f t="shared" si="261"/>
        <v>0</v>
      </c>
      <c r="N200" s="23">
        <v>77500</v>
      </c>
      <c r="O200" s="23">
        <v>77500</v>
      </c>
      <c r="P200" s="23">
        <f t="shared" si="262"/>
        <v>0</v>
      </c>
      <c r="Q200" s="23"/>
      <c r="R200" s="23"/>
      <c r="S200" s="23">
        <f t="shared" si="263"/>
        <v>0</v>
      </c>
      <c r="T200" s="23"/>
      <c r="U200" s="23"/>
      <c r="V200" s="23">
        <f t="shared" si="264"/>
        <v>0</v>
      </c>
      <c r="W200" s="23"/>
      <c r="X200" s="23"/>
      <c r="Y200" s="23">
        <f t="shared" si="265"/>
        <v>0</v>
      </c>
      <c r="Z200" s="23"/>
      <c r="AA200" s="23"/>
      <c r="AB200" s="23">
        <f t="shared" si="266"/>
        <v>0</v>
      </c>
    </row>
    <row r="201" spans="1:187" s="20" customFormat="1" ht="78.75" x14ac:dyDescent="0.25">
      <c r="A201" s="28" t="s">
        <v>117</v>
      </c>
      <c r="B201" s="23">
        <f t="shared" si="258"/>
        <v>35988</v>
      </c>
      <c r="C201" s="23">
        <f t="shared" si="258"/>
        <v>35988</v>
      </c>
      <c r="D201" s="23">
        <f t="shared" si="258"/>
        <v>0</v>
      </c>
      <c r="E201" s="23"/>
      <c r="F201" s="23"/>
      <c r="G201" s="23">
        <f t="shared" si="259"/>
        <v>0</v>
      </c>
      <c r="H201" s="23"/>
      <c r="I201" s="23"/>
      <c r="J201" s="23">
        <f t="shared" si="260"/>
        <v>0</v>
      </c>
      <c r="K201" s="23">
        <v>0</v>
      </c>
      <c r="L201" s="23">
        <v>0</v>
      </c>
      <c r="M201" s="23">
        <f t="shared" si="261"/>
        <v>0</v>
      </c>
      <c r="N201" s="23">
        <f>29988+6000</f>
        <v>35988</v>
      </c>
      <c r="O201" s="23">
        <f>29988+6000</f>
        <v>35988</v>
      </c>
      <c r="P201" s="23">
        <f t="shared" si="262"/>
        <v>0</v>
      </c>
      <c r="Q201" s="23"/>
      <c r="R201" s="23"/>
      <c r="S201" s="23">
        <f t="shared" si="263"/>
        <v>0</v>
      </c>
      <c r="T201" s="23"/>
      <c r="U201" s="23"/>
      <c r="V201" s="23">
        <f t="shared" si="264"/>
        <v>0</v>
      </c>
      <c r="W201" s="23"/>
      <c r="X201" s="23"/>
      <c r="Y201" s="23">
        <f t="shared" si="265"/>
        <v>0</v>
      </c>
      <c r="Z201" s="23"/>
      <c r="AA201" s="23"/>
      <c r="AB201" s="23">
        <f t="shared" si="266"/>
        <v>0</v>
      </c>
    </row>
    <row r="202" spans="1:187" s="17" customFormat="1" x14ac:dyDescent="0.25">
      <c r="A202" s="28"/>
      <c r="B202" s="30">
        <f t="shared" si="258"/>
        <v>0</v>
      </c>
      <c r="C202" s="30">
        <f t="shared" si="258"/>
        <v>0</v>
      </c>
      <c r="D202" s="30">
        <f t="shared" si="258"/>
        <v>0</v>
      </c>
      <c r="E202" s="30"/>
      <c r="F202" s="30"/>
      <c r="G202" s="30">
        <f t="shared" si="259"/>
        <v>0</v>
      </c>
      <c r="H202" s="30"/>
      <c r="I202" s="30"/>
      <c r="J202" s="30">
        <f t="shared" si="260"/>
        <v>0</v>
      </c>
      <c r="K202" s="30">
        <v>0</v>
      </c>
      <c r="L202" s="30">
        <v>0</v>
      </c>
      <c r="M202" s="30">
        <f t="shared" si="261"/>
        <v>0</v>
      </c>
      <c r="N202" s="30"/>
      <c r="O202" s="30"/>
      <c r="P202" s="30">
        <f t="shared" si="262"/>
        <v>0</v>
      </c>
      <c r="Q202" s="30"/>
      <c r="R202" s="30"/>
      <c r="S202" s="30">
        <f t="shared" si="263"/>
        <v>0</v>
      </c>
      <c r="T202" s="30"/>
      <c r="U202" s="30"/>
      <c r="V202" s="30">
        <f t="shared" si="264"/>
        <v>0</v>
      </c>
      <c r="W202" s="30"/>
      <c r="X202" s="30"/>
      <c r="Y202" s="30">
        <f t="shared" si="265"/>
        <v>0</v>
      </c>
      <c r="Z202" s="30"/>
      <c r="AA202" s="30"/>
      <c r="AB202" s="30">
        <f t="shared" si="266"/>
        <v>0</v>
      </c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</row>
    <row r="203" spans="1:187" s="20" customFormat="1" x14ac:dyDescent="0.25">
      <c r="A203" s="18" t="s">
        <v>93</v>
      </c>
      <c r="B203" s="19">
        <f t="shared" si="258"/>
        <v>46580</v>
      </c>
      <c r="C203" s="19">
        <f t="shared" si="258"/>
        <v>51580</v>
      </c>
      <c r="D203" s="19">
        <f t="shared" si="258"/>
        <v>5000</v>
      </c>
      <c r="E203" s="19">
        <f t="shared" ref="E203" si="287">SUM(E204:E210)</f>
        <v>0</v>
      </c>
      <c r="F203" s="19">
        <f t="shared" ref="F203:AA203" si="288">SUM(F204:F210)</f>
        <v>0</v>
      </c>
      <c r="G203" s="19">
        <f t="shared" si="259"/>
        <v>0</v>
      </c>
      <c r="H203" s="19">
        <f t="shared" ref="H203" si="289">SUM(H204:H210)</f>
        <v>0</v>
      </c>
      <c r="I203" s="19">
        <f t="shared" si="288"/>
        <v>0</v>
      </c>
      <c r="J203" s="19">
        <f t="shared" si="260"/>
        <v>0</v>
      </c>
      <c r="K203" s="19">
        <f t="shared" ref="K203" si="290">SUM(K204:K210)</f>
        <v>0</v>
      </c>
      <c r="L203" s="19">
        <f t="shared" si="288"/>
        <v>0</v>
      </c>
      <c r="M203" s="19">
        <f t="shared" si="261"/>
        <v>0</v>
      </c>
      <c r="N203" s="19">
        <f t="shared" ref="N203" si="291">SUM(N204:N210)</f>
        <v>6310</v>
      </c>
      <c r="O203" s="19">
        <f t="shared" si="288"/>
        <v>11310</v>
      </c>
      <c r="P203" s="19">
        <f t="shared" si="262"/>
        <v>5000</v>
      </c>
      <c r="Q203" s="19">
        <f t="shared" ref="Q203" si="292">SUM(Q204:Q210)</f>
        <v>40270</v>
      </c>
      <c r="R203" s="19">
        <f t="shared" si="288"/>
        <v>40270</v>
      </c>
      <c r="S203" s="19">
        <f t="shared" si="263"/>
        <v>0</v>
      </c>
      <c r="T203" s="19">
        <f t="shared" ref="T203" si="293">SUM(T204:T210)</f>
        <v>0</v>
      </c>
      <c r="U203" s="19">
        <f t="shared" si="288"/>
        <v>0</v>
      </c>
      <c r="V203" s="19">
        <f t="shared" si="264"/>
        <v>0</v>
      </c>
      <c r="W203" s="19">
        <f t="shared" ref="W203" si="294">SUM(W204:W210)</f>
        <v>0</v>
      </c>
      <c r="X203" s="19">
        <f t="shared" si="288"/>
        <v>0</v>
      </c>
      <c r="Y203" s="19">
        <f t="shared" si="265"/>
        <v>0</v>
      </c>
      <c r="Z203" s="19">
        <f t="shared" ref="Z203" si="295">SUM(Z204:Z210)</f>
        <v>0</v>
      </c>
      <c r="AA203" s="19">
        <f t="shared" si="288"/>
        <v>0</v>
      </c>
      <c r="AB203" s="19">
        <f t="shared" si="266"/>
        <v>0</v>
      </c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17"/>
      <c r="EI203" s="17"/>
      <c r="EJ203" s="17"/>
      <c r="EK203" s="17"/>
      <c r="EL203" s="17"/>
      <c r="EM203" s="17"/>
      <c r="EN203" s="17"/>
      <c r="EO203" s="17"/>
      <c r="EP203" s="17"/>
      <c r="EQ203" s="17"/>
      <c r="ER203" s="17"/>
      <c r="ES203" s="17"/>
      <c r="ET203" s="17"/>
      <c r="EU203" s="17"/>
      <c r="EV203" s="17"/>
      <c r="EW203" s="17"/>
      <c r="EX203" s="17"/>
      <c r="EY203" s="17"/>
      <c r="EZ203" s="17"/>
      <c r="FA203" s="17"/>
      <c r="FB203" s="17"/>
      <c r="FC203" s="17"/>
      <c r="FD203" s="17"/>
      <c r="FE203" s="17"/>
      <c r="FF203" s="17"/>
      <c r="FG203" s="17"/>
      <c r="FH203" s="17"/>
      <c r="FI203" s="17"/>
      <c r="FJ203" s="17"/>
      <c r="FK203" s="17"/>
      <c r="FL203" s="17"/>
      <c r="FM203" s="17"/>
      <c r="FN203" s="17"/>
      <c r="FO203" s="17"/>
      <c r="FP203" s="17"/>
      <c r="FQ203" s="17"/>
      <c r="FR203" s="17"/>
      <c r="FS203" s="17"/>
      <c r="FT203" s="17"/>
      <c r="FU203" s="17"/>
      <c r="FV203" s="17"/>
      <c r="FW203" s="17"/>
      <c r="FX203" s="17"/>
      <c r="FY203" s="17"/>
      <c r="FZ203" s="17"/>
      <c r="GA203" s="17"/>
      <c r="GB203" s="17"/>
      <c r="GC203" s="17"/>
      <c r="GD203" s="17"/>
      <c r="GE203" s="17"/>
    </row>
    <row r="204" spans="1:187" s="20" customFormat="1" ht="47.25" x14ac:dyDescent="0.25">
      <c r="A204" s="27" t="s">
        <v>226</v>
      </c>
      <c r="B204" s="26">
        <f t="shared" si="258"/>
        <v>6802</v>
      </c>
      <c r="C204" s="26">
        <f t="shared" si="258"/>
        <v>6802</v>
      </c>
      <c r="D204" s="26">
        <f t="shared" si="258"/>
        <v>0</v>
      </c>
      <c r="E204" s="26"/>
      <c r="F204" s="26"/>
      <c r="G204" s="26">
        <f t="shared" si="259"/>
        <v>0</v>
      </c>
      <c r="H204" s="26"/>
      <c r="I204" s="26"/>
      <c r="J204" s="26">
        <f t="shared" si="260"/>
        <v>0</v>
      </c>
      <c r="K204" s="26"/>
      <c r="L204" s="26"/>
      <c r="M204" s="26">
        <f t="shared" si="261"/>
        <v>0</v>
      </c>
      <c r="N204" s="26">
        <v>0</v>
      </c>
      <c r="O204" s="26">
        <v>0</v>
      </c>
      <c r="P204" s="26">
        <f t="shared" si="262"/>
        <v>0</v>
      </c>
      <c r="Q204" s="26">
        <f>7405-603</f>
        <v>6802</v>
      </c>
      <c r="R204" s="26">
        <f>7405-603</f>
        <v>6802</v>
      </c>
      <c r="S204" s="26">
        <f t="shared" si="263"/>
        <v>0</v>
      </c>
      <c r="T204" s="26"/>
      <c r="U204" s="26"/>
      <c r="V204" s="26">
        <f t="shared" si="264"/>
        <v>0</v>
      </c>
      <c r="W204" s="26"/>
      <c r="X204" s="26"/>
      <c r="Y204" s="26">
        <f t="shared" si="265"/>
        <v>0</v>
      </c>
      <c r="Z204" s="26"/>
      <c r="AA204" s="26"/>
      <c r="AB204" s="26">
        <f t="shared" si="266"/>
        <v>0</v>
      </c>
    </row>
    <row r="205" spans="1:187" s="20" customFormat="1" ht="31.5" x14ac:dyDescent="0.25">
      <c r="A205" s="28" t="s">
        <v>227</v>
      </c>
      <c r="B205" s="23">
        <f t="shared" si="258"/>
        <v>6024</v>
      </c>
      <c r="C205" s="23">
        <f t="shared" si="258"/>
        <v>6024</v>
      </c>
      <c r="D205" s="23">
        <f t="shared" si="258"/>
        <v>0</v>
      </c>
      <c r="E205" s="23"/>
      <c r="F205" s="23"/>
      <c r="G205" s="23">
        <f t="shared" si="259"/>
        <v>0</v>
      </c>
      <c r="H205" s="23"/>
      <c r="I205" s="23"/>
      <c r="J205" s="23">
        <f t="shared" si="260"/>
        <v>0</v>
      </c>
      <c r="K205" s="23"/>
      <c r="L205" s="23"/>
      <c r="M205" s="23">
        <f t="shared" si="261"/>
        <v>0</v>
      </c>
      <c r="N205" s="23">
        <v>0</v>
      </c>
      <c r="O205" s="23">
        <v>0</v>
      </c>
      <c r="P205" s="23">
        <f t="shared" si="262"/>
        <v>0</v>
      </c>
      <c r="Q205" s="23">
        <v>6024</v>
      </c>
      <c r="R205" s="23">
        <v>6024</v>
      </c>
      <c r="S205" s="23">
        <f t="shared" si="263"/>
        <v>0</v>
      </c>
      <c r="T205" s="23"/>
      <c r="U205" s="23"/>
      <c r="V205" s="23">
        <f t="shared" si="264"/>
        <v>0</v>
      </c>
      <c r="W205" s="23"/>
      <c r="X205" s="23"/>
      <c r="Y205" s="23">
        <f t="shared" si="265"/>
        <v>0</v>
      </c>
      <c r="Z205" s="23"/>
      <c r="AA205" s="23"/>
      <c r="AB205" s="23">
        <f t="shared" si="266"/>
        <v>0</v>
      </c>
    </row>
    <row r="206" spans="1:187" s="20" customFormat="1" ht="47.25" x14ac:dyDescent="0.25">
      <c r="A206" s="28" t="s">
        <v>228</v>
      </c>
      <c r="B206" s="23">
        <f t="shared" si="258"/>
        <v>19988</v>
      </c>
      <c r="C206" s="23">
        <f t="shared" si="258"/>
        <v>19988</v>
      </c>
      <c r="D206" s="23">
        <f t="shared" si="258"/>
        <v>0</v>
      </c>
      <c r="E206" s="23"/>
      <c r="F206" s="23"/>
      <c r="G206" s="23">
        <f t="shared" si="259"/>
        <v>0</v>
      </c>
      <c r="H206" s="23"/>
      <c r="I206" s="23"/>
      <c r="J206" s="23">
        <f t="shared" si="260"/>
        <v>0</v>
      </c>
      <c r="K206" s="23"/>
      <c r="L206" s="23"/>
      <c r="M206" s="23">
        <f t="shared" si="261"/>
        <v>0</v>
      </c>
      <c r="N206" s="23">
        <v>0</v>
      </c>
      <c r="O206" s="23">
        <v>0</v>
      </c>
      <c r="P206" s="23">
        <f t="shared" si="262"/>
        <v>0</v>
      </c>
      <c r="Q206" s="23">
        <v>19988</v>
      </c>
      <c r="R206" s="23">
        <v>19988</v>
      </c>
      <c r="S206" s="23">
        <f t="shared" si="263"/>
        <v>0</v>
      </c>
      <c r="T206" s="23"/>
      <c r="U206" s="23"/>
      <c r="V206" s="23">
        <f t="shared" si="264"/>
        <v>0</v>
      </c>
      <c r="W206" s="23"/>
      <c r="X206" s="23"/>
      <c r="Y206" s="23">
        <f t="shared" si="265"/>
        <v>0</v>
      </c>
      <c r="Z206" s="23"/>
      <c r="AA206" s="23"/>
      <c r="AB206" s="23">
        <f t="shared" si="266"/>
        <v>0</v>
      </c>
    </row>
    <row r="207" spans="1:187" s="20" customFormat="1" ht="31.5" x14ac:dyDescent="0.25">
      <c r="A207" s="28" t="s">
        <v>229</v>
      </c>
      <c r="B207" s="23">
        <f t="shared" si="258"/>
        <v>7456</v>
      </c>
      <c r="C207" s="23">
        <f t="shared" si="258"/>
        <v>7456</v>
      </c>
      <c r="D207" s="23">
        <f t="shared" si="258"/>
        <v>0</v>
      </c>
      <c r="E207" s="23"/>
      <c r="F207" s="23"/>
      <c r="G207" s="23">
        <f t="shared" si="259"/>
        <v>0</v>
      </c>
      <c r="H207" s="23"/>
      <c r="I207" s="23"/>
      <c r="J207" s="23">
        <f t="shared" si="260"/>
        <v>0</v>
      </c>
      <c r="K207" s="23"/>
      <c r="L207" s="23"/>
      <c r="M207" s="23">
        <f t="shared" si="261"/>
        <v>0</v>
      </c>
      <c r="N207" s="23">
        <v>0</v>
      </c>
      <c r="O207" s="23">
        <v>0</v>
      </c>
      <c r="P207" s="23">
        <f t="shared" si="262"/>
        <v>0</v>
      </c>
      <c r="Q207" s="23">
        <v>7456</v>
      </c>
      <c r="R207" s="23">
        <v>7456</v>
      </c>
      <c r="S207" s="23">
        <f t="shared" si="263"/>
        <v>0</v>
      </c>
      <c r="T207" s="23"/>
      <c r="U207" s="23"/>
      <c r="V207" s="23">
        <f t="shared" si="264"/>
        <v>0</v>
      </c>
      <c r="W207" s="23"/>
      <c r="X207" s="23"/>
      <c r="Y207" s="23">
        <f t="shared" si="265"/>
        <v>0</v>
      </c>
      <c r="Z207" s="23"/>
      <c r="AA207" s="23"/>
      <c r="AB207" s="23">
        <f t="shared" si="266"/>
        <v>0</v>
      </c>
    </row>
    <row r="208" spans="1:187" s="20" customFormat="1" ht="78.75" x14ac:dyDescent="0.25">
      <c r="A208" s="28" t="s">
        <v>245</v>
      </c>
      <c r="B208" s="23">
        <f t="shared" ref="B208" si="296">E208+H208+K208+N208+Q208+T208+W208+Z208</f>
        <v>0</v>
      </c>
      <c r="C208" s="23">
        <f t="shared" ref="C208" si="297">F208+I208+L208+O208+R208+U208+X208+AA208</f>
        <v>5000</v>
      </c>
      <c r="D208" s="23">
        <f t="shared" ref="D208" si="298">G208+J208+M208+P208+S208+V208+Y208+AB208</f>
        <v>5000</v>
      </c>
      <c r="E208" s="23"/>
      <c r="F208" s="23"/>
      <c r="G208" s="23">
        <f t="shared" ref="G208" si="299">F208-E208</f>
        <v>0</v>
      </c>
      <c r="H208" s="23"/>
      <c r="I208" s="23"/>
      <c r="J208" s="23">
        <f t="shared" ref="J208" si="300">I208-H208</f>
        <v>0</v>
      </c>
      <c r="K208" s="23">
        <v>0</v>
      </c>
      <c r="L208" s="23">
        <v>0</v>
      </c>
      <c r="M208" s="23">
        <f t="shared" ref="M208" si="301">L208-K208</f>
        <v>0</v>
      </c>
      <c r="N208" s="23">
        <v>0</v>
      </c>
      <c r="O208" s="23">
        <v>5000</v>
      </c>
      <c r="P208" s="23">
        <f t="shared" ref="P208" si="302">O208-N208</f>
        <v>5000</v>
      </c>
      <c r="Q208" s="23">
        <v>0</v>
      </c>
      <c r="R208" s="23">
        <v>0</v>
      </c>
      <c r="S208" s="23">
        <f t="shared" ref="S208" si="303">R208-Q208</f>
        <v>0</v>
      </c>
      <c r="T208" s="23"/>
      <c r="U208" s="23"/>
      <c r="V208" s="23">
        <f t="shared" ref="V208" si="304">U208-T208</f>
        <v>0</v>
      </c>
      <c r="W208" s="23"/>
      <c r="X208" s="23"/>
      <c r="Y208" s="23">
        <f t="shared" ref="Y208" si="305">X208-W208</f>
        <v>0</v>
      </c>
      <c r="Z208" s="23"/>
      <c r="AA208" s="23"/>
      <c r="AB208" s="23">
        <f t="shared" ref="AB208" si="306">AA208-Z208</f>
        <v>0</v>
      </c>
    </row>
    <row r="209" spans="1:187" s="20" customFormat="1" ht="94.5" x14ac:dyDescent="0.25">
      <c r="A209" s="28" t="s">
        <v>118</v>
      </c>
      <c r="B209" s="23">
        <f t="shared" si="258"/>
        <v>5000</v>
      </c>
      <c r="C209" s="23">
        <f t="shared" si="258"/>
        <v>5000</v>
      </c>
      <c r="D209" s="23">
        <f t="shared" si="258"/>
        <v>0</v>
      </c>
      <c r="E209" s="23"/>
      <c r="F209" s="23"/>
      <c r="G209" s="23">
        <f t="shared" si="259"/>
        <v>0</v>
      </c>
      <c r="H209" s="23"/>
      <c r="I209" s="23"/>
      <c r="J209" s="23">
        <f t="shared" si="260"/>
        <v>0</v>
      </c>
      <c r="K209" s="23">
        <v>0</v>
      </c>
      <c r="L209" s="23">
        <v>0</v>
      </c>
      <c r="M209" s="23">
        <f t="shared" si="261"/>
        <v>0</v>
      </c>
      <c r="N209" s="23">
        <v>5000</v>
      </c>
      <c r="O209" s="23">
        <v>5000</v>
      </c>
      <c r="P209" s="23">
        <f t="shared" si="262"/>
        <v>0</v>
      </c>
      <c r="Q209" s="23"/>
      <c r="R209" s="23"/>
      <c r="S209" s="23">
        <f t="shared" si="263"/>
        <v>0</v>
      </c>
      <c r="T209" s="23"/>
      <c r="U209" s="23"/>
      <c r="V209" s="23">
        <f t="shared" si="264"/>
        <v>0</v>
      </c>
      <c r="W209" s="23"/>
      <c r="X209" s="23"/>
      <c r="Y209" s="23">
        <f t="shared" si="265"/>
        <v>0</v>
      </c>
      <c r="Z209" s="23"/>
      <c r="AA209" s="23"/>
      <c r="AB209" s="23">
        <f t="shared" si="266"/>
        <v>0</v>
      </c>
    </row>
    <row r="210" spans="1:187" s="20" customFormat="1" ht="94.5" x14ac:dyDescent="0.25">
      <c r="A210" s="28" t="s">
        <v>119</v>
      </c>
      <c r="B210" s="23">
        <f t="shared" si="258"/>
        <v>1310</v>
      </c>
      <c r="C210" s="23">
        <f t="shared" si="258"/>
        <v>1310</v>
      </c>
      <c r="D210" s="23">
        <f t="shared" si="258"/>
        <v>0</v>
      </c>
      <c r="E210" s="23"/>
      <c r="F210" s="23"/>
      <c r="G210" s="23">
        <f t="shared" si="259"/>
        <v>0</v>
      </c>
      <c r="H210" s="23"/>
      <c r="I210" s="23"/>
      <c r="J210" s="23">
        <f t="shared" si="260"/>
        <v>0</v>
      </c>
      <c r="K210" s="23"/>
      <c r="L210" s="23"/>
      <c r="M210" s="23">
        <f t="shared" si="261"/>
        <v>0</v>
      </c>
      <c r="N210" s="23">
        <v>1310</v>
      </c>
      <c r="O210" s="23">
        <v>1310</v>
      </c>
      <c r="P210" s="23">
        <f t="shared" si="262"/>
        <v>0</v>
      </c>
      <c r="Q210" s="23">
        <v>0</v>
      </c>
      <c r="R210" s="23">
        <v>0</v>
      </c>
      <c r="S210" s="23">
        <f t="shared" si="263"/>
        <v>0</v>
      </c>
      <c r="T210" s="23"/>
      <c r="U210" s="23"/>
      <c r="V210" s="23">
        <f t="shared" si="264"/>
        <v>0</v>
      </c>
      <c r="W210" s="23"/>
      <c r="X210" s="23"/>
      <c r="Y210" s="23">
        <f t="shared" si="265"/>
        <v>0</v>
      </c>
      <c r="Z210" s="23"/>
      <c r="AA210" s="23"/>
      <c r="AB210" s="23">
        <f t="shared" si="266"/>
        <v>0</v>
      </c>
    </row>
    <row r="211" spans="1:187" s="20" customFormat="1" x14ac:dyDescent="0.25">
      <c r="A211" s="18" t="s">
        <v>80</v>
      </c>
      <c r="B211" s="19">
        <f t="shared" si="258"/>
        <v>60534</v>
      </c>
      <c r="C211" s="19">
        <f t="shared" si="258"/>
        <v>60534</v>
      </c>
      <c r="D211" s="19">
        <f t="shared" si="258"/>
        <v>0</v>
      </c>
      <c r="E211" s="19">
        <f>SUM(E212)</f>
        <v>0</v>
      </c>
      <c r="F211" s="19">
        <f>SUM(F212)</f>
        <v>0</v>
      </c>
      <c r="G211" s="19">
        <f t="shared" si="259"/>
        <v>0</v>
      </c>
      <c r="H211" s="19">
        <f t="shared" ref="H211:I211" si="307">SUM(H212)</f>
        <v>0</v>
      </c>
      <c r="I211" s="19">
        <f t="shared" si="307"/>
        <v>0</v>
      </c>
      <c r="J211" s="19">
        <f t="shared" si="260"/>
        <v>0</v>
      </c>
      <c r="K211" s="19">
        <f t="shared" ref="K211:L211" si="308">SUM(K212)</f>
        <v>0</v>
      </c>
      <c r="L211" s="19">
        <f t="shared" si="308"/>
        <v>0</v>
      </c>
      <c r="M211" s="19">
        <f t="shared" si="261"/>
        <v>0</v>
      </c>
      <c r="N211" s="19">
        <f t="shared" ref="N211:O211" si="309">SUM(N212)</f>
        <v>0</v>
      </c>
      <c r="O211" s="19">
        <f t="shared" si="309"/>
        <v>0</v>
      </c>
      <c r="P211" s="19">
        <f t="shared" si="262"/>
        <v>0</v>
      </c>
      <c r="Q211" s="19">
        <f t="shared" ref="Q211:R211" si="310">SUM(Q212)</f>
        <v>60534</v>
      </c>
      <c r="R211" s="19">
        <f t="shared" si="310"/>
        <v>60534</v>
      </c>
      <c r="S211" s="19">
        <f t="shared" si="263"/>
        <v>0</v>
      </c>
      <c r="T211" s="19">
        <f t="shared" ref="T211:U211" si="311">SUM(T212)</f>
        <v>0</v>
      </c>
      <c r="U211" s="19">
        <f t="shared" si="311"/>
        <v>0</v>
      </c>
      <c r="V211" s="19">
        <f t="shared" si="264"/>
        <v>0</v>
      </c>
      <c r="W211" s="19">
        <f t="shared" ref="W211:X211" si="312">SUM(W212)</f>
        <v>0</v>
      </c>
      <c r="X211" s="19">
        <f t="shared" si="312"/>
        <v>0</v>
      </c>
      <c r="Y211" s="19">
        <f t="shared" si="265"/>
        <v>0</v>
      </c>
      <c r="Z211" s="19">
        <f t="shared" ref="Z211:AA211" si="313">SUM(Z212)</f>
        <v>0</v>
      </c>
      <c r="AA211" s="19">
        <f t="shared" si="313"/>
        <v>0</v>
      </c>
      <c r="AB211" s="19">
        <f t="shared" si="266"/>
        <v>0</v>
      </c>
    </row>
    <row r="212" spans="1:187" s="20" customFormat="1" ht="63" x14ac:dyDescent="0.25">
      <c r="A212" s="25" t="s">
        <v>181</v>
      </c>
      <c r="B212" s="26">
        <f t="shared" si="258"/>
        <v>60534</v>
      </c>
      <c r="C212" s="26">
        <f t="shared" si="258"/>
        <v>60534</v>
      </c>
      <c r="D212" s="26">
        <f t="shared" si="258"/>
        <v>0</v>
      </c>
      <c r="E212" s="26"/>
      <c r="F212" s="26"/>
      <c r="G212" s="26">
        <f t="shared" si="259"/>
        <v>0</v>
      </c>
      <c r="H212" s="26"/>
      <c r="I212" s="26"/>
      <c r="J212" s="26">
        <f t="shared" si="260"/>
        <v>0</v>
      </c>
      <c r="K212" s="26">
        <v>0</v>
      </c>
      <c r="L212" s="26">
        <v>0</v>
      </c>
      <c r="M212" s="26">
        <f t="shared" si="261"/>
        <v>0</v>
      </c>
      <c r="N212" s="26"/>
      <c r="O212" s="26"/>
      <c r="P212" s="26">
        <f t="shared" si="262"/>
        <v>0</v>
      </c>
      <c r="Q212" s="26">
        <v>60534</v>
      </c>
      <c r="R212" s="26">
        <v>60534</v>
      </c>
      <c r="S212" s="26">
        <f t="shared" si="263"/>
        <v>0</v>
      </c>
      <c r="T212" s="26"/>
      <c r="U212" s="26"/>
      <c r="V212" s="26">
        <f t="shared" si="264"/>
        <v>0</v>
      </c>
      <c r="W212" s="26">
        <v>0</v>
      </c>
      <c r="X212" s="26">
        <v>0</v>
      </c>
      <c r="Y212" s="26">
        <f t="shared" si="265"/>
        <v>0</v>
      </c>
      <c r="Z212" s="26"/>
      <c r="AA212" s="26"/>
      <c r="AB212" s="26">
        <f t="shared" si="266"/>
        <v>0</v>
      </c>
    </row>
    <row r="213" spans="1:187" s="20" customFormat="1" ht="31.5" x14ac:dyDescent="0.25">
      <c r="A213" s="18" t="s">
        <v>45</v>
      </c>
      <c r="B213" s="19">
        <f t="shared" si="258"/>
        <v>13620256</v>
      </c>
      <c r="C213" s="19">
        <f t="shared" si="258"/>
        <v>13620256</v>
      </c>
      <c r="D213" s="19">
        <f t="shared" si="258"/>
        <v>0</v>
      </c>
      <c r="E213" s="19">
        <f t="shared" ref="E213" si="314">SUM(E214,E218,E226,E222)</f>
        <v>152495</v>
      </c>
      <c r="F213" s="19">
        <f t="shared" ref="F213:AA213" si="315">SUM(F214,F218,F226,F222)</f>
        <v>152495</v>
      </c>
      <c r="G213" s="19">
        <f t="shared" si="259"/>
        <v>0</v>
      </c>
      <c r="H213" s="19">
        <f t="shared" ref="H213" si="316">SUM(H214,H218,H226,H222)</f>
        <v>25276</v>
      </c>
      <c r="I213" s="19">
        <f t="shared" si="315"/>
        <v>25276</v>
      </c>
      <c r="J213" s="19">
        <f t="shared" si="260"/>
        <v>0</v>
      </c>
      <c r="K213" s="19">
        <f t="shared" ref="K213" si="317">SUM(K214,K218,K226,K222)</f>
        <v>577219</v>
      </c>
      <c r="L213" s="19">
        <f t="shared" si="315"/>
        <v>577219</v>
      </c>
      <c r="M213" s="19">
        <f t="shared" si="261"/>
        <v>0</v>
      </c>
      <c r="N213" s="19">
        <f t="shared" ref="N213" si="318">SUM(N214,N218,N226,N222)</f>
        <v>7417574</v>
      </c>
      <c r="O213" s="19">
        <f t="shared" si="315"/>
        <v>7417574</v>
      </c>
      <c r="P213" s="19">
        <f t="shared" si="262"/>
        <v>0</v>
      </c>
      <c r="Q213" s="19">
        <f t="shared" ref="Q213" si="319">SUM(Q214,Q218,Q226,Q222)</f>
        <v>0</v>
      </c>
      <c r="R213" s="19">
        <f t="shared" si="315"/>
        <v>0</v>
      </c>
      <c r="S213" s="19">
        <f t="shared" si="263"/>
        <v>0</v>
      </c>
      <c r="T213" s="19">
        <f t="shared" ref="T213" si="320">SUM(T214,T218,T226,T222)</f>
        <v>4847692</v>
      </c>
      <c r="U213" s="19">
        <f t="shared" si="315"/>
        <v>4847692</v>
      </c>
      <c r="V213" s="19">
        <f t="shared" si="264"/>
        <v>0</v>
      </c>
      <c r="W213" s="19">
        <f t="shared" ref="W213" si="321">SUM(W214,W218,W226,W222)</f>
        <v>0</v>
      </c>
      <c r="X213" s="19">
        <f t="shared" si="315"/>
        <v>0</v>
      </c>
      <c r="Y213" s="19">
        <f t="shared" si="265"/>
        <v>0</v>
      </c>
      <c r="Z213" s="19">
        <f t="shared" ref="Z213" si="322">SUM(Z214,Z218,Z226,Z222)</f>
        <v>600000</v>
      </c>
      <c r="AA213" s="19">
        <f t="shared" si="315"/>
        <v>600000</v>
      </c>
      <c r="AB213" s="19">
        <f t="shared" si="266"/>
        <v>0</v>
      </c>
    </row>
    <row r="214" spans="1:187" s="17" customFormat="1" ht="31.5" x14ac:dyDescent="0.25">
      <c r="A214" s="18" t="s">
        <v>76</v>
      </c>
      <c r="B214" s="19">
        <f t="shared" si="258"/>
        <v>1214545</v>
      </c>
      <c r="C214" s="19">
        <f t="shared" si="258"/>
        <v>1214545</v>
      </c>
      <c r="D214" s="19">
        <f t="shared" si="258"/>
        <v>0</v>
      </c>
      <c r="E214" s="19">
        <f t="shared" ref="E214" si="323">SUM(E215:E217)</f>
        <v>0</v>
      </c>
      <c r="F214" s="19">
        <f t="shared" ref="F214:AA214" si="324">SUM(F215:F217)</f>
        <v>0</v>
      </c>
      <c r="G214" s="19">
        <f t="shared" si="259"/>
        <v>0</v>
      </c>
      <c r="H214" s="19">
        <f t="shared" ref="H214" si="325">SUM(H215:H217)</f>
        <v>0</v>
      </c>
      <c r="I214" s="19">
        <f t="shared" si="324"/>
        <v>0</v>
      </c>
      <c r="J214" s="19">
        <f t="shared" si="260"/>
        <v>0</v>
      </c>
      <c r="K214" s="19">
        <f t="shared" ref="K214" si="326">SUM(K215:K217)</f>
        <v>13345</v>
      </c>
      <c r="L214" s="19">
        <f t="shared" si="324"/>
        <v>13345</v>
      </c>
      <c r="M214" s="19">
        <f t="shared" si="261"/>
        <v>0</v>
      </c>
      <c r="N214" s="19">
        <f t="shared" ref="N214" si="327">SUM(N215:N217)</f>
        <v>1201200</v>
      </c>
      <c r="O214" s="19">
        <f t="shared" si="324"/>
        <v>1201200</v>
      </c>
      <c r="P214" s="19">
        <f t="shared" si="262"/>
        <v>0</v>
      </c>
      <c r="Q214" s="19">
        <f t="shared" ref="Q214" si="328">SUM(Q215:Q217)</f>
        <v>0</v>
      </c>
      <c r="R214" s="19">
        <f t="shared" si="324"/>
        <v>0</v>
      </c>
      <c r="S214" s="19">
        <f t="shared" si="263"/>
        <v>0</v>
      </c>
      <c r="T214" s="19">
        <f t="shared" ref="T214" si="329">SUM(T215:T217)</f>
        <v>0</v>
      </c>
      <c r="U214" s="19">
        <f t="shared" si="324"/>
        <v>0</v>
      </c>
      <c r="V214" s="19">
        <f t="shared" si="264"/>
        <v>0</v>
      </c>
      <c r="W214" s="19">
        <f t="shared" ref="W214" si="330">SUM(W215:W217)</f>
        <v>0</v>
      </c>
      <c r="X214" s="19">
        <f t="shared" si="324"/>
        <v>0</v>
      </c>
      <c r="Y214" s="19">
        <f t="shared" si="265"/>
        <v>0</v>
      </c>
      <c r="Z214" s="19">
        <f t="shared" ref="Z214" si="331">SUM(Z215:Z217)</f>
        <v>0</v>
      </c>
      <c r="AA214" s="19">
        <f t="shared" si="324"/>
        <v>0</v>
      </c>
      <c r="AB214" s="19">
        <f t="shared" si="266"/>
        <v>0</v>
      </c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</row>
    <row r="215" spans="1:187" s="20" customFormat="1" ht="63" x14ac:dyDescent="0.25">
      <c r="A215" s="28" t="s">
        <v>120</v>
      </c>
      <c r="B215" s="26">
        <f t="shared" si="258"/>
        <v>1200</v>
      </c>
      <c r="C215" s="26">
        <f t="shared" si="258"/>
        <v>1200</v>
      </c>
      <c r="D215" s="26">
        <f t="shared" si="258"/>
        <v>0</v>
      </c>
      <c r="E215" s="26">
        <v>0</v>
      </c>
      <c r="F215" s="26">
        <v>0</v>
      </c>
      <c r="G215" s="26">
        <f t="shared" si="259"/>
        <v>0</v>
      </c>
      <c r="H215" s="26"/>
      <c r="I215" s="26"/>
      <c r="J215" s="26">
        <f t="shared" si="260"/>
        <v>0</v>
      </c>
      <c r="K215" s="26">
        <v>0</v>
      </c>
      <c r="L215" s="26">
        <v>0</v>
      </c>
      <c r="M215" s="26">
        <f t="shared" si="261"/>
        <v>0</v>
      </c>
      <c r="N215" s="26">
        <v>1200</v>
      </c>
      <c r="O215" s="26">
        <v>1200</v>
      </c>
      <c r="P215" s="26">
        <f t="shared" si="262"/>
        <v>0</v>
      </c>
      <c r="Q215" s="26"/>
      <c r="R215" s="26"/>
      <c r="S215" s="26">
        <f t="shared" si="263"/>
        <v>0</v>
      </c>
      <c r="T215" s="26"/>
      <c r="U215" s="26"/>
      <c r="V215" s="26">
        <f t="shared" si="264"/>
        <v>0</v>
      </c>
      <c r="W215" s="26"/>
      <c r="X215" s="26"/>
      <c r="Y215" s="26">
        <f t="shared" si="265"/>
        <v>0</v>
      </c>
      <c r="Z215" s="26"/>
      <c r="AA215" s="26"/>
      <c r="AB215" s="26">
        <f t="shared" si="266"/>
        <v>0</v>
      </c>
    </row>
    <row r="216" spans="1:187" s="20" customFormat="1" ht="31.5" x14ac:dyDescent="0.25">
      <c r="A216" s="28" t="s">
        <v>240</v>
      </c>
      <c r="B216" s="26">
        <f t="shared" si="258"/>
        <v>13345</v>
      </c>
      <c r="C216" s="26">
        <f t="shared" si="258"/>
        <v>13345</v>
      </c>
      <c r="D216" s="26">
        <f t="shared" si="258"/>
        <v>0</v>
      </c>
      <c r="E216" s="26">
        <v>0</v>
      </c>
      <c r="F216" s="26">
        <v>0</v>
      </c>
      <c r="G216" s="26">
        <f t="shared" si="259"/>
        <v>0</v>
      </c>
      <c r="H216" s="26"/>
      <c r="I216" s="26"/>
      <c r="J216" s="26">
        <f t="shared" si="260"/>
        <v>0</v>
      </c>
      <c r="K216" s="26">
        <v>13345</v>
      </c>
      <c r="L216" s="26">
        <v>13345</v>
      </c>
      <c r="M216" s="26">
        <f t="shared" si="261"/>
        <v>0</v>
      </c>
      <c r="N216" s="26"/>
      <c r="O216" s="26"/>
      <c r="P216" s="26">
        <f t="shared" si="262"/>
        <v>0</v>
      </c>
      <c r="Q216" s="26"/>
      <c r="R216" s="26"/>
      <c r="S216" s="26">
        <f t="shared" si="263"/>
        <v>0</v>
      </c>
      <c r="T216" s="26"/>
      <c r="U216" s="26"/>
      <c r="V216" s="26">
        <f t="shared" si="264"/>
        <v>0</v>
      </c>
      <c r="W216" s="26"/>
      <c r="X216" s="26"/>
      <c r="Y216" s="26">
        <f t="shared" si="265"/>
        <v>0</v>
      </c>
      <c r="Z216" s="26"/>
      <c r="AA216" s="26"/>
      <c r="AB216" s="26">
        <f t="shared" si="266"/>
        <v>0</v>
      </c>
    </row>
    <row r="217" spans="1:187" s="20" customFormat="1" ht="78.75" x14ac:dyDescent="0.25">
      <c r="A217" s="27" t="s">
        <v>121</v>
      </c>
      <c r="B217" s="26">
        <f t="shared" si="258"/>
        <v>1200000</v>
      </c>
      <c r="C217" s="26">
        <f t="shared" si="258"/>
        <v>1200000</v>
      </c>
      <c r="D217" s="26">
        <f t="shared" si="258"/>
        <v>0</v>
      </c>
      <c r="E217" s="26"/>
      <c r="F217" s="26"/>
      <c r="G217" s="26">
        <f t="shared" si="259"/>
        <v>0</v>
      </c>
      <c r="H217" s="26"/>
      <c r="I217" s="26"/>
      <c r="J217" s="26">
        <f t="shared" si="260"/>
        <v>0</v>
      </c>
      <c r="K217" s="26">
        <v>0</v>
      </c>
      <c r="L217" s="26">
        <v>0</v>
      </c>
      <c r="M217" s="26">
        <f t="shared" si="261"/>
        <v>0</v>
      </c>
      <c r="N217" s="26">
        <v>1200000</v>
      </c>
      <c r="O217" s="26">
        <v>1200000</v>
      </c>
      <c r="P217" s="26">
        <f t="shared" si="262"/>
        <v>0</v>
      </c>
      <c r="Q217" s="26"/>
      <c r="R217" s="26"/>
      <c r="S217" s="26">
        <f t="shared" si="263"/>
        <v>0</v>
      </c>
      <c r="T217" s="26"/>
      <c r="U217" s="26"/>
      <c r="V217" s="26">
        <f t="shared" si="264"/>
        <v>0</v>
      </c>
      <c r="W217" s="26"/>
      <c r="X217" s="26"/>
      <c r="Y217" s="26">
        <f t="shared" si="265"/>
        <v>0</v>
      </c>
      <c r="Z217" s="26"/>
      <c r="AA217" s="26"/>
      <c r="AB217" s="26">
        <f t="shared" si="266"/>
        <v>0</v>
      </c>
    </row>
    <row r="218" spans="1:187" s="20" customFormat="1" x14ac:dyDescent="0.25">
      <c r="A218" s="18" t="s">
        <v>114</v>
      </c>
      <c r="B218" s="19">
        <f t="shared" si="258"/>
        <v>468000</v>
      </c>
      <c r="C218" s="19">
        <f t="shared" si="258"/>
        <v>468000</v>
      </c>
      <c r="D218" s="19">
        <f t="shared" si="258"/>
        <v>0</v>
      </c>
      <c r="E218" s="19">
        <f t="shared" ref="E218" si="332">SUM(E219:E221)</f>
        <v>0</v>
      </c>
      <c r="F218" s="19">
        <f t="shared" ref="F218:AA218" si="333">SUM(F219:F221)</f>
        <v>0</v>
      </c>
      <c r="G218" s="19">
        <f t="shared" si="259"/>
        <v>0</v>
      </c>
      <c r="H218" s="19">
        <f t="shared" ref="H218" si="334">SUM(H219:H221)</f>
        <v>0</v>
      </c>
      <c r="I218" s="19">
        <f t="shared" si="333"/>
        <v>0</v>
      </c>
      <c r="J218" s="19">
        <f t="shared" si="260"/>
        <v>0</v>
      </c>
      <c r="K218" s="19">
        <f t="shared" ref="K218" si="335">SUM(K219:K221)</f>
        <v>468000</v>
      </c>
      <c r="L218" s="19">
        <f t="shared" si="333"/>
        <v>468000</v>
      </c>
      <c r="M218" s="19">
        <f t="shared" si="261"/>
        <v>0</v>
      </c>
      <c r="N218" s="19">
        <f t="shared" ref="N218" si="336">SUM(N219:N221)</f>
        <v>0</v>
      </c>
      <c r="O218" s="19">
        <f t="shared" si="333"/>
        <v>0</v>
      </c>
      <c r="P218" s="19">
        <f t="shared" si="262"/>
        <v>0</v>
      </c>
      <c r="Q218" s="19">
        <f t="shared" ref="Q218" si="337">SUM(Q219:Q221)</f>
        <v>0</v>
      </c>
      <c r="R218" s="19">
        <f t="shared" si="333"/>
        <v>0</v>
      </c>
      <c r="S218" s="19">
        <f t="shared" si="263"/>
        <v>0</v>
      </c>
      <c r="T218" s="19">
        <f t="shared" ref="T218" si="338">SUM(T219:T221)</f>
        <v>0</v>
      </c>
      <c r="U218" s="19">
        <f t="shared" si="333"/>
        <v>0</v>
      </c>
      <c r="V218" s="19">
        <f t="shared" si="264"/>
        <v>0</v>
      </c>
      <c r="W218" s="19">
        <f t="shared" ref="W218" si="339">SUM(W219:W221)</f>
        <v>0</v>
      </c>
      <c r="X218" s="19">
        <f t="shared" si="333"/>
        <v>0</v>
      </c>
      <c r="Y218" s="19">
        <f t="shared" si="265"/>
        <v>0</v>
      </c>
      <c r="Z218" s="19">
        <f t="shared" ref="Z218" si="340">SUM(Z219:Z221)</f>
        <v>0</v>
      </c>
      <c r="AA218" s="19">
        <f t="shared" si="333"/>
        <v>0</v>
      </c>
      <c r="AB218" s="19">
        <f t="shared" si="266"/>
        <v>0</v>
      </c>
    </row>
    <row r="219" spans="1:187" s="20" customFormat="1" x14ac:dyDescent="0.25">
      <c r="A219" s="27" t="s">
        <v>122</v>
      </c>
      <c r="B219" s="26">
        <f t="shared" si="258"/>
        <v>186000</v>
      </c>
      <c r="C219" s="26">
        <f t="shared" si="258"/>
        <v>186000</v>
      </c>
      <c r="D219" s="26">
        <f t="shared" si="258"/>
        <v>0</v>
      </c>
      <c r="E219" s="26"/>
      <c r="F219" s="26"/>
      <c r="G219" s="26">
        <f t="shared" si="259"/>
        <v>0</v>
      </c>
      <c r="H219" s="26"/>
      <c r="I219" s="26"/>
      <c r="J219" s="26">
        <f t="shared" si="260"/>
        <v>0</v>
      </c>
      <c r="K219" s="26">
        <v>186000</v>
      </c>
      <c r="L219" s="26">
        <v>186000</v>
      </c>
      <c r="M219" s="26">
        <f t="shared" si="261"/>
        <v>0</v>
      </c>
      <c r="N219" s="26"/>
      <c r="O219" s="26"/>
      <c r="P219" s="26">
        <f t="shared" si="262"/>
        <v>0</v>
      </c>
      <c r="Q219" s="26"/>
      <c r="R219" s="26"/>
      <c r="S219" s="26">
        <f t="shared" si="263"/>
        <v>0</v>
      </c>
      <c r="T219" s="26"/>
      <c r="U219" s="26"/>
      <c r="V219" s="26">
        <f t="shared" si="264"/>
        <v>0</v>
      </c>
      <c r="W219" s="26"/>
      <c r="X219" s="26"/>
      <c r="Y219" s="26">
        <f t="shared" si="265"/>
        <v>0</v>
      </c>
      <c r="Z219" s="26"/>
      <c r="AA219" s="26"/>
      <c r="AB219" s="26">
        <f t="shared" si="266"/>
        <v>0</v>
      </c>
    </row>
    <row r="220" spans="1:187" s="20" customFormat="1" ht="31.5" x14ac:dyDescent="0.25">
      <c r="A220" s="27" t="s">
        <v>123</v>
      </c>
      <c r="B220" s="26">
        <f t="shared" si="258"/>
        <v>222000</v>
      </c>
      <c r="C220" s="26">
        <f t="shared" si="258"/>
        <v>222000</v>
      </c>
      <c r="D220" s="26">
        <f t="shared" si="258"/>
        <v>0</v>
      </c>
      <c r="E220" s="26"/>
      <c r="F220" s="26"/>
      <c r="G220" s="26">
        <f t="shared" si="259"/>
        <v>0</v>
      </c>
      <c r="H220" s="26"/>
      <c r="I220" s="26"/>
      <c r="J220" s="26">
        <f t="shared" si="260"/>
        <v>0</v>
      </c>
      <c r="K220" s="26">
        <v>222000</v>
      </c>
      <c r="L220" s="26">
        <v>222000</v>
      </c>
      <c r="M220" s="26">
        <f t="shared" si="261"/>
        <v>0</v>
      </c>
      <c r="N220" s="26"/>
      <c r="O220" s="26"/>
      <c r="P220" s="26">
        <f t="shared" si="262"/>
        <v>0</v>
      </c>
      <c r="Q220" s="26"/>
      <c r="R220" s="26"/>
      <c r="S220" s="26">
        <f t="shared" si="263"/>
        <v>0</v>
      </c>
      <c r="T220" s="26"/>
      <c r="U220" s="26"/>
      <c r="V220" s="26">
        <f t="shared" si="264"/>
        <v>0</v>
      </c>
      <c r="W220" s="26"/>
      <c r="X220" s="26"/>
      <c r="Y220" s="26">
        <f t="shared" si="265"/>
        <v>0</v>
      </c>
      <c r="Z220" s="26"/>
      <c r="AA220" s="26"/>
      <c r="AB220" s="26">
        <f t="shared" si="266"/>
        <v>0</v>
      </c>
    </row>
    <row r="221" spans="1:187" s="20" customFormat="1" x14ac:dyDescent="0.25">
      <c r="A221" s="27" t="s">
        <v>124</v>
      </c>
      <c r="B221" s="26">
        <f t="shared" si="258"/>
        <v>60000</v>
      </c>
      <c r="C221" s="26">
        <f t="shared" si="258"/>
        <v>60000</v>
      </c>
      <c r="D221" s="26">
        <f t="shared" si="258"/>
        <v>0</v>
      </c>
      <c r="E221" s="26"/>
      <c r="F221" s="26"/>
      <c r="G221" s="26">
        <f t="shared" si="259"/>
        <v>0</v>
      </c>
      <c r="H221" s="26"/>
      <c r="I221" s="26"/>
      <c r="J221" s="26">
        <f t="shared" si="260"/>
        <v>0</v>
      </c>
      <c r="K221" s="26">
        <v>60000</v>
      </c>
      <c r="L221" s="26">
        <v>60000</v>
      </c>
      <c r="M221" s="26">
        <f t="shared" si="261"/>
        <v>0</v>
      </c>
      <c r="N221" s="26"/>
      <c r="O221" s="26"/>
      <c r="P221" s="26">
        <f t="shared" si="262"/>
        <v>0</v>
      </c>
      <c r="Q221" s="26"/>
      <c r="R221" s="26"/>
      <c r="S221" s="26">
        <f t="shared" si="263"/>
        <v>0</v>
      </c>
      <c r="T221" s="26"/>
      <c r="U221" s="26"/>
      <c r="V221" s="26">
        <f t="shared" si="264"/>
        <v>0</v>
      </c>
      <c r="W221" s="26"/>
      <c r="X221" s="26"/>
      <c r="Y221" s="26">
        <f t="shared" si="265"/>
        <v>0</v>
      </c>
      <c r="Z221" s="26"/>
      <c r="AA221" s="26"/>
      <c r="AB221" s="26">
        <f t="shared" si="266"/>
        <v>0</v>
      </c>
    </row>
    <row r="222" spans="1:187" s="20" customFormat="1" x14ac:dyDescent="0.25">
      <c r="A222" s="18" t="s">
        <v>93</v>
      </c>
      <c r="B222" s="19">
        <f t="shared" si="258"/>
        <v>11751</v>
      </c>
      <c r="C222" s="19">
        <f t="shared" si="258"/>
        <v>11751</v>
      </c>
      <c r="D222" s="19">
        <f t="shared" si="258"/>
        <v>0</v>
      </c>
      <c r="E222" s="19">
        <f>SUM(E223:E225)</f>
        <v>0</v>
      </c>
      <c r="F222" s="19">
        <f>SUM(F223:F225)</f>
        <v>0</v>
      </c>
      <c r="G222" s="19">
        <f t="shared" si="259"/>
        <v>0</v>
      </c>
      <c r="H222" s="19">
        <f t="shared" ref="H222" si="341">SUM(H223:H225)</f>
        <v>0</v>
      </c>
      <c r="I222" s="19">
        <f t="shared" ref="I222" si="342">SUM(I223:I225)</f>
        <v>0</v>
      </c>
      <c r="J222" s="19">
        <f t="shared" si="260"/>
        <v>0</v>
      </c>
      <c r="K222" s="19">
        <f t="shared" ref="K222" si="343">SUM(K223:K225)</f>
        <v>11751</v>
      </c>
      <c r="L222" s="19">
        <f t="shared" ref="L222" si="344">SUM(L223:L225)</f>
        <v>11751</v>
      </c>
      <c r="M222" s="19">
        <f t="shared" si="261"/>
        <v>0</v>
      </c>
      <c r="N222" s="19">
        <f t="shared" ref="N222" si="345">SUM(N223:N225)</f>
        <v>0</v>
      </c>
      <c r="O222" s="19">
        <f t="shared" ref="O222" si="346">SUM(O223:O225)</f>
        <v>0</v>
      </c>
      <c r="P222" s="19">
        <f t="shared" si="262"/>
        <v>0</v>
      </c>
      <c r="Q222" s="19">
        <f t="shared" ref="Q222" si="347">SUM(Q223:Q225)</f>
        <v>0</v>
      </c>
      <c r="R222" s="19">
        <f t="shared" ref="R222" si="348">SUM(R223:R225)</f>
        <v>0</v>
      </c>
      <c r="S222" s="19">
        <f t="shared" si="263"/>
        <v>0</v>
      </c>
      <c r="T222" s="19">
        <f t="shared" ref="T222" si="349">SUM(T223:T225)</f>
        <v>0</v>
      </c>
      <c r="U222" s="19">
        <f t="shared" ref="U222" si="350">SUM(U223:U225)</f>
        <v>0</v>
      </c>
      <c r="V222" s="19">
        <f t="shared" si="264"/>
        <v>0</v>
      </c>
      <c r="W222" s="19">
        <f t="shared" ref="W222" si="351">SUM(W223:W225)</f>
        <v>0</v>
      </c>
      <c r="X222" s="19">
        <f t="shared" ref="X222" si="352">SUM(X223:X225)</f>
        <v>0</v>
      </c>
      <c r="Y222" s="19">
        <f t="shared" si="265"/>
        <v>0</v>
      </c>
      <c r="Z222" s="19">
        <f t="shared" ref="Z222" si="353">SUM(Z223:Z225)</f>
        <v>0</v>
      </c>
      <c r="AA222" s="19">
        <f t="shared" ref="AA222" si="354">SUM(AA223:AA225)</f>
        <v>0</v>
      </c>
      <c r="AB222" s="19">
        <f t="shared" si="266"/>
        <v>0</v>
      </c>
    </row>
    <row r="223" spans="1:187" s="20" customFormat="1" ht="31.5" x14ac:dyDescent="0.25">
      <c r="A223" s="27" t="s">
        <v>125</v>
      </c>
      <c r="B223" s="26">
        <f t="shared" si="258"/>
        <v>8719</v>
      </c>
      <c r="C223" s="26">
        <f t="shared" si="258"/>
        <v>8719</v>
      </c>
      <c r="D223" s="26">
        <f t="shared" si="258"/>
        <v>0</v>
      </c>
      <c r="E223" s="26"/>
      <c r="F223" s="26"/>
      <c r="G223" s="26">
        <f t="shared" si="259"/>
        <v>0</v>
      </c>
      <c r="H223" s="26"/>
      <c r="I223" s="26"/>
      <c r="J223" s="26">
        <f t="shared" si="260"/>
        <v>0</v>
      </c>
      <c r="K223" s="26">
        <v>8719</v>
      </c>
      <c r="L223" s="26">
        <v>8719</v>
      </c>
      <c r="M223" s="26">
        <f t="shared" si="261"/>
        <v>0</v>
      </c>
      <c r="N223" s="26"/>
      <c r="O223" s="26"/>
      <c r="P223" s="26">
        <f t="shared" si="262"/>
        <v>0</v>
      </c>
      <c r="Q223" s="26"/>
      <c r="R223" s="26"/>
      <c r="S223" s="26">
        <f t="shared" si="263"/>
        <v>0</v>
      </c>
      <c r="T223" s="26"/>
      <c r="U223" s="26"/>
      <c r="V223" s="26">
        <f t="shared" si="264"/>
        <v>0</v>
      </c>
      <c r="W223" s="26"/>
      <c r="X223" s="26"/>
      <c r="Y223" s="26">
        <f t="shared" si="265"/>
        <v>0</v>
      </c>
      <c r="Z223" s="26"/>
      <c r="AA223" s="26"/>
      <c r="AB223" s="26">
        <f t="shared" si="266"/>
        <v>0</v>
      </c>
    </row>
    <row r="224" spans="1:187" s="20" customFormat="1" x14ac:dyDescent="0.25">
      <c r="A224" s="27" t="s">
        <v>203</v>
      </c>
      <c r="B224" s="26">
        <f t="shared" si="258"/>
        <v>1367</v>
      </c>
      <c r="C224" s="26">
        <f t="shared" si="258"/>
        <v>1367</v>
      </c>
      <c r="D224" s="26">
        <f t="shared" si="258"/>
        <v>0</v>
      </c>
      <c r="E224" s="26"/>
      <c r="F224" s="26"/>
      <c r="G224" s="26">
        <f t="shared" si="259"/>
        <v>0</v>
      </c>
      <c r="H224" s="26"/>
      <c r="I224" s="26"/>
      <c r="J224" s="26">
        <f t="shared" si="260"/>
        <v>0</v>
      </c>
      <c r="K224" s="26">
        <v>1367</v>
      </c>
      <c r="L224" s="26">
        <v>1367</v>
      </c>
      <c r="M224" s="26">
        <f t="shared" si="261"/>
        <v>0</v>
      </c>
      <c r="N224" s="26"/>
      <c r="O224" s="26"/>
      <c r="P224" s="26">
        <f t="shared" si="262"/>
        <v>0</v>
      </c>
      <c r="Q224" s="26"/>
      <c r="R224" s="26"/>
      <c r="S224" s="26">
        <f t="shared" si="263"/>
        <v>0</v>
      </c>
      <c r="T224" s="26"/>
      <c r="U224" s="26"/>
      <c r="V224" s="26">
        <f t="shared" si="264"/>
        <v>0</v>
      </c>
      <c r="W224" s="26"/>
      <c r="X224" s="26"/>
      <c r="Y224" s="26">
        <f t="shared" si="265"/>
        <v>0</v>
      </c>
      <c r="Z224" s="26"/>
      <c r="AA224" s="26"/>
      <c r="AB224" s="26">
        <f t="shared" si="266"/>
        <v>0</v>
      </c>
    </row>
    <row r="225" spans="1:187" s="20" customFormat="1" x14ac:dyDescent="0.25">
      <c r="A225" s="27" t="s">
        <v>178</v>
      </c>
      <c r="B225" s="26">
        <f t="shared" si="258"/>
        <v>1665</v>
      </c>
      <c r="C225" s="26">
        <f t="shared" si="258"/>
        <v>1665</v>
      </c>
      <c r="D225" s="26">
        <f t="shared" si="258"/>
        <v>0</v>
      </c>
      <c r="E225" s="26"/>
      <c r="F225" s="26"/>
      <c r="G225" s="26">
        <f t="shared" si="259"/>
        <v>0</v>
      </c>
      <c r="H225" s="26"/>
      <c r="I225" s="26"/>
      <c r="J225" s="26">
        <f t="shared" si="260"/>
        <v>0</v>
      </c>
      <c r="K225" s="26">
        <v>1665</v>
      </c>
      <c r="L225" s="26">
        <v>1665</v>
      </c>
      <c r="M225" s="26">
        <f t="shared" si="261"/>
        <v>0</v>
      </c>
      <c r="N225" s="26"/>
      <c r="O225" s="26"/>
      <c r="P225" s="26">
        <f t="shared" si="262"/>
        <v>0</v>
      </c>
      <c r="Q225" s="26"/>
      <c r="R225" s="26"/>
      <c r="S225" s="26">
        <f t="shared" si="263"/>
        <v>0</v>
      </c>
      <c r="T225" s="26"/>
      <c r="U225" s="26"/>
      <c r="V225" s="26">
        <f t="shared" si="264"/>
        <v>0</v>
      </c>
      <c r="W225" s="26"/>
      <c r="X225" s="26"/>
      <c r="Y225" s="26">
        <f t="shared" si="265"/>
        <v>0</v>
      </c>
      <c r="Z225" s="26"/>
      <c r="AA225" s="26"/>
      <c r="AB225" s="26">
        <f t="shared" si="266"/>
        <v>0</v>
      </c>
    </row>
    <row r="226" spans="1:187" s="20" customFormat="1" x14ac:dyDescent="0.25">
      <c r="A226" s="18" t="s">
        <v>80</v>
      </c>
      <c r="B226" s="19">
        <f t="shared" si="258"/>
        <v>11925960</v>
      </c>
      <c r="C226" s="19">
        <f t="shared" si="258"/>
        <v>11925960</v>
      </c>
      <c r="D226" s="19">
        <f t="shared" si="258"/>
        <v>0</v>
      </c>
      <c r="E226" s="19">
        <f t="shared" ref="E226" si="355">SUM(E227:E239)</f>
        <v>152495</v>
      </c>
      <c r="F226" s="19">
        <f t="shared" ref="F226:AA226" si="356">SUM(F227:F239)</f>
        <v>152495</v>
      </c>
      <c r="G226" s="19">
        <f t="shared" si="259"/>
        <v>0</v>
      </c>
      <c r="H226" s="19">
        <f t="shared" ref="H226" si="357">SUM(H227:H239)</f>
        <v>25276</v>
      </c>
      <c r="I226" s="19">
        <f t="shared" si="356"/>
        <v>25276</v>
      </c>
      <c r="J226" s="19">
        <f t="shared" si="260"/>
        <v>0</v>
      </c>
      <c r="K226" s="19">
        <f t="shared" ref="K226" si="358">SUM(K227:K239)</f>
        <v>84123</v>
      </c>
      <c r="L226" s="19">
        <f t="shared" si="356"/>
        <v>84123</v>
      </c>
      <c r="M226" s="19">
        <f t="shared" si="261"/>
        <v>0</v>
      </c>
      <c r="N226" s="19">
        <f t="shared" ref="N226" si="359">SUM(N227:N239)</f>
        <v>6216374</v>
      </c>
      <c r="O226" s="19">
        <f t="shared" si="356"/>
        <v>6216374</v>
      </c>
      <c r="P226" s="19">
        <f t="shared" si="262"/>
        <v>0</v>
      </c>
      <c r="Q226" s="19">
        <f t="shared" ref="Q226" si="360">SUM(Q227:Q239)</f>
        <v>0</v>
      </c>
      <c r="R226" s="19">
        <f t="shared" si="356"/>
        <v>0</v>
      </c>
      <c r="S226" s="19">
        <f t="shared" si="263"/>
        <v>0</v>
      </c>
      <c r="T226" s="19">
        <f t="shared" ref="T226" si="361">SUM(T227:T239)</f>
        <v>4847692</v>
      </c>
      <c r="U226" s="19">
        <f t="shared" si="356"/>
        <v>4847692</v>
      </c>
      <c r="V226" s="19">
        <f t="shared" si="264"/>
        <v>0</v>
      </c>
      <c r="W226" s="19">
        <f t="shared" ref="W226" si="362">SUM(W227:W239)</f>
        <v>0</v>
      </c>
      <c r="X226" s="19">
        <f t="shared" si="356"/>
        <v>0</v>
      </c>
      <c r="Y226" s="19">
        <f t="shared" si="265"/>
        <v>0</v>
      </c>
      <c r="Z226" s="19">
        <f t="shared" ref="Z226" si="363">SUM(Z227:Z239)</f>
        <v>600000</v>
      </c>
      <c r="AA226" s="19">
        <f t="shared" si="356"/>
        <v>600000</v>
      </c>
      <c r="AB226" s="19">
        <f t="shared" si="266"/>
        <v>0</v>
      </c>
    </row>
    <row r="227" spans="1:187" s="20" customFormat="1" x14ac:dyDescent="0.25">
      <c r="A227" s="25" t="s">
        <v>126</v>
      </c>
      <c r="B227" s="26">
        <f t="shared" si="258"/>
        <v>4053</v>
      </c>
      <c r="C227" s="26">
        <f t="shared" si="258"/>
        <v>4053</v>
      </c>
      <c r="D227" s="26">
        <f t="shared" si="258"/>
        <v>0</v>
      </c>
      <c r="E227" s="26"/>
      <c r="F227" s="26"/>
      <c r="G227" s="26">
        <f t="shared" si="259"/>
        <v>0</v>
      </c>
      <c r="H227" s="26">
        <v>4053</v>
      </c>
      <c r="I227" s="26">
        <v>4053</v>
      </c>
      <c r="J227" s="26">
        <f t="shared" si="260"/>
        <v>0</v>
      </c>
      <c r="K227" s="26">
        <v>0</v>
      </c>
      <c r="L227" s="26">
        <v>0</v>
      </c>
      <c r="M227" s="26">
        <f t="shared" si="261"/>
        <v>0</v>
      </c>
      <c r="N227" s="26"/>
      <c r="O227" s="26"/>
      <c r="P227" s="26">
        <f t="shared" si="262"/>
        <v>0</v>
      </c>
      <c r="Q227" s="26"/>
      <c r="R227" s="26"/>
      <c r="S227" s="26">
        <f t="shared" si="263"/>
        <v>0</v>
      </c>
      <c r="T227" s="26"/>
      <c r="U227" s="26"/>
      <c r="V227" s="26">
        <f t="shared" si="264"/>
        <v>0</v>
      </c>
      <c r="W227" s="26">
        <v>0</v>
      </c>
      <c r="X227" s="26">
        <v>0</v>
      </c>
      <c r="Y227" s="26">
        <f t="shared" si="265"/>
        <v>0</v>
      </c>
      <c r="Z227" s="26"/>
      <c r="AA227" s="26"/>
      <c r="AB227" s="26">
        <f t="shared" si="266"/>
        <v>0</v>
      </c>
    </row>
    <row r="228" spans="1:187" s="20" customFormat="1" ht="31.5" x14ac:dyDescent="0.25">
      <c r="A228" s="25" t="s">
        <v>180</v>
      </c>
      <c r="B228" s="26">
        <f t="shared" si="258"/>
        <v>4086</v>
      </c>
      <c r="C228" s="26">
        <f t="shared" si="258"/>
        <v>4086</v>
      </c>
      <c r="D228" s="26">
        <f t="shared" si="258"/>
        <v>0</v>
      </c>
      <c r="E228" s="26"/>
      <c r="F228" s="26"/>
      <c r="G228" s="26">
        <f t="shared" si="259"/>
        <v>0</v>
      </c>
      <c r="H228" s="26"/>
      <c r="I228" s="26"/>
      <c r="J228" s="26">
        <f t="shared" si="260"/>
        <v>0</v>
      </c>
      <c r="K228" s="26">
        <v>4086</v>
      </c>
      <c r="L228" s="26">
        <v>4086</v>
      </c>
      <c r="M228" s="26">
        <f t="shared" si="261"/>
        <v>0</v>
      </c>
      <c r="N228" s="26"/>
      <c r="O228" s="26"/>
      <c r="P228" s="26">
        <f t="shared" si="262"/>
        <v>0</v>
      </c>
      <c r="Q228" s="26"/>
      <c r="R228" s="26"/>
      <c r="S228" s="26">
        <f t="shared" si="263"/>
        <v>0</v>
      </c>
      <c r="T228" s="26"/>
      <c r="U228" s="26"/>
      <c r="V228" s="26">
        <f t="shared" si="264"/>
        <v>0</v>
      </c>
      <c r="W228" s="26">
        <v>0</v>
      </c>
      <c r="X228" s="26">
        <v>0</v>
      </c>
      <c r="Y228" s="26">
        <f t="shared" si="265"/>
        <v>0</v>
      </c>
      <c r="Z228" s="26"/>
      <c r="AA228" s="26"/>
      <c r="AB228" s="26">
        <f t="shared" si="266"/>
        <v>0</v>
      </c>
    </row>
    <row r="229" spans="1:187" s="20" customFormat="1" ht="94.5" x14ac:dyDescent="0.25">
      <c r="A229" s="25" t="s">
        <v>127</v>
      </c>
      <c r="B229" s="26">
        <f t="shared" si="258"/>
        <v>1850000</v>
      </c>
      <c r="C229" s="26">
        <f t="shared" si="258"/>
        <v>1850000</v>
      </c>
      <c r="D229" s="26">
        <f t="shared" si="258"/>
        <v>0</v>
      </c>
      <c r="E229" s="26"/>
      <c r="F229" s="26"/>
      <c r="G229" s="26">
        <f t="shared" si="259"/>
        <v>0</v>
      </c>
      <c r="H229" s="26"/>
      <c r="I229" s="26"/>
      <c r="J229" s="26">
        <f t="shared" si="260"/>
        <v>0</v>
      </c>
      <c r="K229" s="26">
        <v>0</v>
      </c>
      <c r="L229" s="26">
        <v>0</v>
      </c>
      <c r="M229" s="26">
        <f t="shared" si="261"/>
        <v>0</v>
      </c>
      <c r="N229" s="26"/>
      <c r="O229" s="26"/>
      <c r="P229" s="26">
        <f t="shared" si="262"/>
        <v>0</v>
      </c>
      <c r="Q229" s="26"/>
      <c r="R229" s="26"/>
      <c r="S229" s="26">
        <f t="shared" si="263"/>
        <v>0</v>
      </c>
      <c r="T229" s="26">
        <f>1290000</f>
        <v>1290000</v>
      </c>
      <c r="U229" s="26">
        <f>1290000</f>
        <v>1290000</v>
      </c>
      <c r="V229" s="26">
        <f t="shared" si="264"/>
        <v>0</v>
      </c>
      <c r="W229" s="26">
        <f>1290000-1290000</f>
        <v>0</v>
      </c>
      <c r="X229" s="26">
        <f>1290000-1290000</f>
        <v>0</v>
      </c>
      <c r="Y229" s="26">
        <f t="shared" si="265"/>
        <v>0</v>
      </c>
      <c r="Z229" s="26">
        <v>560000</v>
      </c>
      <c r="AA229" s="26">
        <v>560000</v>
      </c>
      <c r="AB229" s="26">
        <f t="shared" si="266"/>
        <v>0</v>
      </c>
    </row>
    <row r="230" spans="1:187" s="20" customFormat="1" ht="110.25" x14ac:dyDescent="0.25">
      <c r="A230" s="22" t="s">
        <v>128</v>
      </c>
      <c r="B230" s="26">
        <f t="shared" si="258"/>
        <v>33634</v>
      </c>
      <c r="C230" s="26">
        <f t="shared" si="258"/>
        <v>33634</v>
      </c>
      <c r="D230" s="26">
        <f t="shared" si="258"/>
        <v>0</v>
      </c>
      <c r="E230" s="26"/>
      <c r="F230" s="26"/>
      <c r="G230" s="26">
        <f t="shared" si="259"/>
        <v>0</v>
      </c>
      <c r="H230" s="26"/>
      <c r="I230" s="26"/>
      <c r="J230" s="26">
        <f t="shared" si="260"/>
        <v>0</v>
      </c>
      <c r="K230" s="26">
        <v>0</v>
      </c>
      <c r="L230" s="26">
        <v>0</v>
      </c>
      <c r="M230" s="26">
        <f t="shared" si="261"/>
        <v>0</v>
      </c>
      <c r="N230" s="26"/>
      <c r="O230" s="26"/>
      <c r="P230" s="26">
        <f t="shared" si="262"/>
        <v>0</v>
      </c>
      <c r="Q230" s="26"/>
      <c r="R230" s="26"/>
      <c r="S230" s="26">
        <f t="shared" si="263"/>
        <v>0</v>
      </c>
      <c r="T230" s="26">
        <v>33634</v>
      </c>
      <c r="U230" s="26">
        <v>33634</v>
      </c>
      <c r="V230" s="26">
        <f t="shared" si="264"/>
        <v>0</v>
      </c>
      <c r="W230" s="26">
        <v>0</v>
      </c>
      <c r="X230" s="26">
        <v>0</v>
      </c>
      <c r="Y230" s="26">
        <f t="shared" si="265"/>
        <v>0</v>
      </c>
      <c r="Z230" s="26"/>
      <c r="AA230" s="26"/>
      <c r="AB230" s="26">
        <f t="shared" si="266"/>
        <v>0</v>
      </c>
    </row>
    <row r="231" spans="1:187" s="20" customFormat="1" ht="47.25" x14ac:dyDescent="0.25">
      <c r="A231" s="22" t="s">
        <v>129</v>
      </c>
      <c r="B231" s="26">
        <f t="shared" si="258"/>
        <v>18646</v>
      </c>
      <c r="C231" s="26">
        <f t="shared" si="258"/>
        <v>18646</v>
      </c>
      <c r="D231" s="26">
        <f t="shared" si="258"/>
        <v>0</v>
      </c>
      <c r="E231" s="26">
        <f>15000-15000</f>
        <v>0</v>
      </c>
      <c r="F231" s="26">
        <f>15000-15000</f>
        <v>0</v>
      </c>
      <c r="G231" s="26">
        <f t="shared" si="259"/>
        <v>0</v>
      </c>
      <c r="H231" s="26"/>
      <c r="I231" s="26"/>
      <c r="J231" s="26">
        <f t="shared" si="260"/>
        <v>0</v>
      </c>
      <c r="K231" s="26">
        <v>0</v>
      </c>
      <c r="L231" s="26">
        <v>0</v>
      </c>
      <c r="M231" s="26">
        <f t="shared" si="261"/>
        <v>0</v>
      </c>
      <c r="N231" s="26"/>
      <c r="O231" s="26"/>
      <c r="P231" s="26">
        <f t="shared" si="262"/>
        <v>0</v>
      </c>
      <c r="Q231" s="26"/>
      <c r="R231" s="26"/>
      <c r="S231" s="26">
        <f t="shared" si="263"/>
        <v>0</v>
      </c>
      <c r="T231" s="26">
        <f>3646+15000</f>
        <v>18646</v>
      </c>
      <c r="U231" s="26">
        <f>3646+15000</f>
        <v>18646</v>
      </c>
      <c r="V231" s="26">
        <f t="shared" si="264"/>
        <v>0</v>
      </c>
      <c r="W231" s="26">
        <v>0</v>
      </c>
      <c r="X231" s="26">
        <v>0</v>
      </c>
      <c r="Y231" s="26">
        <f t="shared" si="265"/>
        <v>0</v>
      </c>
      <c r="Z231" s="26"/>
      <c r="AA231" s="26"/>
      <c r="AB231" s="26">
        <f t="shared" si="266"/>
        <v>0</v>
      </c>
    </row>
    <row r="232" spans="1:187" s="20" customFormat="1" ht="110.25" x14ac:dyDescent="0.25">
      <c r="A232" s="22" t="s">
        <v>130</v>
      </c>
      <c r="B232" s="26">
        <f t="shared" si="258"/>
        <v>3412885</v>
      </c>
      <c r="C232" s="26">
        <f t="shared" si="258"/>
        <v>3412885</v>
      </c>
      <c r="D232" s="26">
        <f t="shared" si="258"/>
        <v>0</v>
      </c>
      <c r="E232" s="26"/>
      <c r="F232" s="26"/>
      <c r="G232" s="26">
        <f t="shared" si="259"/>
        <v>0</v>
      </c>
      <c r="H232" s="26"/>
      <c r="I232" s="26"/>
      <c r="J232" s="26">
        <f t="shared" si="260"/>
        <v>0</v>
      </c>
      <c r="K232" s="26">
        <v>0</v>
      </c>
      <c r="L232" s="26">
        <v>0</v>
      </c>
      <c r="M232" s="26">
        <f t="shared" si="261"/>
        <v>0</v>
      </c>
      <c r="N232" s="26"/>
      <c r="O232" s="26"/>
      <c r="P232" s="26">
        <f t="shared" si="262"/>
        <v>0</v>
      </c>
      <c r="Q232" s="26"/>
      <c r="R232" s="26"/>
      <c r="S232" s="26">
        <f t="shared" si="263"/>
        <v>0</v>
      </c>
      <c r="T232" s="26">
        <v>3412885</v>
      </c>
      <c r="U232" s="26">
        <v>3412885</v>
      </c>
      <c r="V232" s="26">
        <f t="shared" si="264"/>
        <v>0</v>
      </c>
      <c r="W232" s="26">
        <v>0</v>
      </c>
      <c r="X232" s="26">
        <v>0</v>
      </c>
      <c r="Y232" s="26">
        <f t="shared" si="265"/>
        <v>0</v>
      </c>
      <c r="Z232" s="26"/>
      <c r="AA232" s="26"/>
      <c r="AB232" s="26">
        <f t="shared" si="266"/>
        <v>0</v>
      </c>
    </row>
    <row r="233" spans="1:187" s="20" customFormat="1" ht="110.25" x14ac:dyDescent="0.25">
      <c r="A233" s="22" t="s">
        <v>131</v>
      </c>
      <c r="B233" s="26">
        <f t="shared" si="258"/>
        <v>100017</v>
      </c>
      <c r="C233" s="26">
        <f t="shared" si="258"/>
        <v>100017</v>
      </c>
      <c r="D233" s="26">
        <f t="shared" si="258"/>
        <v>0</v>
      </c>
      <c r="E233" s="26"/>
      <c r="F233" s="26"/>
      <c r="G233" s="26">
        <f t="shared" si="259"/>
        <v>0</v>
      </c>
      <c r="H233" s="26">
        <f>21223</f>
        <v>21223</v>
      </c>
      <c r="I233" s="26">
        <f>21223</f>
        <v>21223</v>
      </c>
      <c r="J233" s="26">
        <f t="shared" si="260"/>
        <v>0</v>
      </c>
      <c r="K233" s="26">
        <f>60017-21223</f>
        <v>38794</v>
      </c>
      <c r="L233" s="26">
        <f>60017-21223</f>
        <v>38794</v>
      </c>
      <c r="M233" s="26">
        <f t="shared" si="261"/>
        <v>0</v>
      </c>
      <c r="N233" s="26"/>
      <c r="O233" s="26"/>
      <c r="P233" s="26">
        <f t="shared" si="262"/>
        <v>0</v>
      </c>
      <c r="Q233" s="26"/>
      <c r="R233" s="26"/>
      <c r="S233" s="26">
        <f t="shared" si="263"/>
        <v>0</v>
      </c>
      <c r="T233" s="26">
        <v>0</v>
      </c>
      <c r="U233" s="26">
        <v>0</v>
      </c>
      <c r="V233" s="26">
        <f t="shared" si="264"/>
        <v>0</v>
      </c>
      <c r="W233" s="26">
        <v>0</v>
      </c>
      <c r="X233" s="26">
        <v>0</v>
      </c>
      <c r="Y233" s="26">
        <f t="shared" si="265"/>
        <v>0</v>
      </c>
      <c r="Z233" s="26">
        <v>40000</v>
      </c>
      <c r="AA233" s="26">
        <v>40000</v>
      </c>
      <c r="AB233" s="26">
        <f t="shared" si="266"/>
        <v>0</v>
      </c>
    </row>
    <row r="234" spans="1:187" s="20" customFormat="1" ht="31.5" x14ac:dyDescent="0.25">
      <c r="A234" s="22" t="s">
        <v>132</v>
      </c>
      <c r="B234" s="26">
        <f t="shared" si="258"/>
        <v>6839</v>
      </c>
      <c r="C234" s="26">
        <f t="shared" si="258"/>
        <v>6839</v>
      </c>
      <c r="D234" s="26">
        <f t="shared" si="258"/>
        <v>0</v>
      </c>
      <c r="E234" s="26"/>
      <c r="F234" s="26"/>
      <c r="G234" s="26">
        <f t="shared" si="259"/>
        <v>0</v>
      </c>
      <c r="H234" s="26">
        <v>0</v>
      </c>
      <c r="I234" s="26">
        <v>0</v>
      </c>
      <c r="J234" s="26">
        <f t="shared" si="260"/>
        <v>0</v>
      </c>
      <c r="K234" s="26">
        <v>6839</v>
      </c>
      <c r="L234" s="26">
        <v>6839</v>
      </c>
      <c r="M234" s="26">
        <f t="shared" si="261"/>
        <v>0</v>
      </c>
      <c r="N234" s="26"/>
      <c r="O234" s="26"/>
      <c r="P234" s="26">
        <f t="shared" si="262"/>
        <v>0</v>
      </c>
      <c r="Q234" s="26"/>
      <c r="R234" s="26"/>
      <c r="S234" s="26">
        <f t="shared" si="263"/>
        <v>0</v>
      </c>
      <c r="T234" s="26">
        <v>0</v>
      </c>
      <c r="U234" s="26">
        <v>0</v>
      </c>
      <c r="V234" s="26">
        <f t="shared" si="264"/>
        <v>0</v>
      </c>
      <c r="W234" s="26">
        <v>0</v>
      </c>
      <c r="X234" s="26">
        <v>0</v>
      </c>
      <c r="Y234" s="26">
        <f t="shared" si="265"/>
        <v>0</v>
      </c>
      <c r="Z234" s="26"/>
      <c r="AA234" s="26"/>
      <c r="AB234" s="26">
        <f t="shared" si="266"/>
        <v>0</v>
      </c>
    </row>
    <row r="235" spans="1:187" s="20" customFormat="1" ht="31.5" x14ac:dyDescent="0.25">
      <c r="A235" s="22" t="s">
        <v>133</v>
      </c>
      <c r="B235" s="26">
        <f t="shared" si="258"/>
        <v>142441</v>
      </c>
      <c r="C235" s="26">
        <f t="shared" si="258"/>
        <v>142441</v>
      </c>
      <c r="D235" s="26">
        <f t="shared" si="258"/>
        <v>0</v>
      </c>
      <c r="E235" s="26">
        <v>49914</v>
      </c>
      <c r="F235" s="26">
        <v>49914</v>
      </c>
      <c r="G235" s="26">
        <f t="shared" si="259"/>
        <v>0</v>
      </c>
      <c r="H235" s="26"/>
      <c r="I235" s="26"/>
      <c r="J235" s="26">
        <f t="shared" si="260"/>
        <v>0</v>
      </c>
      <c r="K235" s="26">
        <v>0</v>
      </c>
      <c r="L235" s="26">
        <v>0</v>
      </c>
      <c r="M235" s="26">
        <f t="shared" si="261"/>
        <v>0</v>
      </c>
      <c r="N235" s="26"/>
      <c r="O235" s="26"/>
      <c r="P235" s="26">
        <f t="shared" si="262"/>
        <v>0</v>
      </c>
      <c r="Q235" s="26"/>
      <c r="R235" s="26"/>
      <c r="S235" s="26">
        <f t="shared" si="263"/>
        <v>0</v>
      </c>
      <c r="T235" s="26">
        <f>72177+20350</f>
        <v>92527</v>
      </c>
      <c r="U235" s="26">
        <f>72177+20350</f>
        <v>92527</v>
      </c>
      <c r="V235" s="26">
        <f t="shared" si="264"/>
        <v>0</v>
      </c>
      <c r="W235" s="26">
        <v>0</v>
      </c>
      <c r="X235" s="26">
        <v>0</v>
      </c>
      <c r="Y235" s="26">
        <f t="shared" si="265"/>
        <v>0</v>
      </c>
      <c r="Z235" s="26"/>
      <c r="AA235" s="26"/>
      <c r="AB235" s="26">
        <f t="shared" si="266"/>
        <v>0</v>
      </c>
    </row>
    <row r="236" spans="1:187" s="20" customFormat="1" ht="94.5" x14ac:dyDescent="0.25">
      <c r="A236" s="22" t="s">
        <v>134</v>
      </c>
      <c r="B236" s="26">
        <f t="shared" si="258"/>
        <v>6216374</v>
      </c>
      <c r="C236" s="26">
        <f t="shared" si="258"/>
        <v>6216374</v>
      </c>
      <c r="D236" s="26">
        <f t="shared" si="258"/>
        <v>0</v>
      </c>
      <c r="E236" s="26"/>
      <c r="F236" s="26"/>
      <c r="G236" s="26">
        <f t="shared" si="259"/>
        <v>0</v>
      </c>
      <c r="H236" s="26">
        <v>0</v>
      </c>
      <c r="I236" s="26">
        <v>0</v>
      </c>
      <c r="J236" s="26">
        <f t="shared" si="260"/>
        <v>0</v>
      </c>
      <c r="K236" s="26">
        <v>0</v>
      </c>
      <c r="L236" s="26">
        <v>0</v>
      </c>
      <c r="M236" s="26">
        <f t="shared" si="261"/>
        <v>0</v>
      </c>
      <c r="N236" s="26">
        <v>6216374</v>
      </c>
      <c r="O236" s="26">
        <v>6216374</v>
      </c>
      <c r="P236" s="26">
        <f t="shared" si="262"/>
        <v>0</v>
      </c>
      <c r="Q236" s="26"/>
      <c r="R236" s="26"/>
      <c r="S236" s="26">
        <f t="shared" si="263"/>
        <v>0</v>
      </c>
      <c r="T236" s="26">
        <v>0</v>
      </c>
      <c r="U236" s="26">
        <v>0</v>
      </c>
      <c r="V236" s="26">
        <f t="shared" si="264"/>
        <v>0</v>
      </c>
      <c r="W236" s="26">
        <v>0</v>
      </c>
      <c r="X236" s="26">
        <v>0</v>
      </c>
      <c r="Y236" s="26">
        <f t="shared" si="265"/>
        <v>0</v>
      </c>
      <c r="Z236" s="26"/>
      <c r="AA236" s="26"/>
      <c r="AB236" s="26">
        <f t="shared" si="266"/>
        <v>0</v>
      </c>
    </row>
    <row r="237" spans="1:187" s="20" customFormat="1" ht="63" x14ac:dyDescent="0.25">
      <c r="A237" s="25" t="s">
        <v>184</v>
      </c>
      <c r="B237" s="26">
        <f t="shared" si="258"/>
        <v>55085</v>
      </c>
      <c r="C237" s="26">
        <f t="shared" si="258"/>
        <v>55085</v>
      </c>
      <c r="D237" s="26">
        <f t="shared" si="258"/>
        <v>0</v>
      </c>
      <c r="E237" s="26">
        <v>55085</v>
      </c>
      <c r="F237" s="26">
        <v>55085</v>
      </c>
      <c r="G237" s="26">
        <f t="shared" si="259"/>
        <v>0</v>
      </c>
      <c r="H237" s="26"/>
      <c r="I237" s="26"/>
      <c r="J237" s="26">
        <f t="shared" si="260"/>
        <v>0</v>
      </c>
      <c r="K237" s="26"/>
      <c r="L237" s="26"/>
      <c r="M237" s="26">
        <f t="shared" si="261"/>
        <v>0</v>
      </c>
      <c r="N237" s="26"/>
      <c r="O237" s="26"/>
      <c r="P237" s="26">
        <f t="shared" si="262"/>
        <v>0</v>
      </c>
      <c r="Q237" s="26"/>
      <c r="R237" s="26"/>
      <c r="S237" s="26">
        <f t="shared" si="263"/>
        <v>0</v>
      </c>
      <c r="T237" s="26">
        <v>0</v>
      </c>
      <c r="U237" s="26">
        <v>0</v>
      </c>
      <c r="V237" s="26">
        <f t="shared" si="264"/>
        <v>0</v>
      </c>
      <c r="W237" s="26">
        <v>0</v>
      </c>
      <c r="X237" s="26">
        <v>0</v>
      </c>
      <c r="Y237" s="26">
        <f t="shared" si="265"/>
        <v>0</v>
      </c>
      <c r="Z237" s="26">
        <f>37665-37665</f>
        <v>0</v>
      </c>
      <c r="AA237" s="26">
        <f>37665-37665</f>
        <v>0</v>
      </c>
      <c r="AB237" s="26">
        <f t="shared" si="266"/>
        <v>0</v>
      </c>
    </row>
    <row r="238" spans="1:187" s="20" customFormat="1" ht="31.5" x14ac:dyDescent="0.25">
      <c r="A238" s="25" t="s">
        <v>135</v>
      </c>
      <c r="B238" s="26">
        <f t="shared" si="258"/>
        <v>63574</v>
      </c>
      <c r="C238" s="26">
        <f t="shared" si="258"/>
        <v>63574</v>
      </c>
      <c r="D238" s="26">
        <f t="shared" si="258"/>
        <v>0</v>
      </c>
      <c r="E238" s="26">
        <f>63574-16078</f>
        <v>47496</v>
      </c>
      <c r="F238" s="26">
        <f>63574-16078</f>
        <v>47496</v>
      </c>
      <c r="G238" s="26">
        <f t="shared" si="259"/>
        <v>0</v>
      </c>
      <c r="H238" s="26"/>
      <c r="I238" s="26"/>
      <c r="J238" s="26">
        <f t="shared" si="260"/>
        <v>0</v>
      </c>
      <c r="K238" s="26">
        <v>16078</v>
      </c>
      <c r="L238" s="26">
        <v>16078</v>
      </c>
      <c r="M238" s="26">
        <f t="shared" si="261"/>
        <v>0</v>
      </c>
      <c r="N238" s="26"/>
      <c r="O238" s="26"/>
      <c r="P238" s="26">
        <f t="shared" si="262"/>
        <v>0</v>
      </c>
      <c r="Q238" s="26"/>
      <c r="R238" s="26"/>
      <c r="S238" s="26">
        <f t="shared" si="263"/>
        <v>0</v>
      </c>
      <c r="T238" s="26">
        <v>0</v>
      </c>
      <c r="U238" s="26">
        <v>0</v>
      </c>
      <c r="V238" s="26">
        <f t="shared" si="264"/>
        <v>0</v>
      </c>
      <c r="W238" s="26">
        <v>0</v>
      </c>
      <c r="X238" s="26">
        <v>0</v>
      </c>
      <c r="Y238" s="26">
        <f t="shared" si="265"/>
        <v>0</v>
      </c>
      <c r="Z238" s="26"/>
      <c r="AA238" s="26"/>
      <c r="AB238" s="26">
        <f t="shared" si="266"/>
        <v>0</v>
      </c>
    </row>
    <row r="239" spans="1:187" s="20" customFormat="1" ht="31.5" x14ac:dyDescent="0.25">
      <c r="A239" s="25" t="s">
        <v>136</v>
      </c>
      <c r="B239" s="26">
        <f t="shared" si="258"/>
        <v>18326</v>
      </c>
      <c r="C239" s="26">
        <f t="shared" si="258"/>
        <v>18326</v>
      </c>
      <c r="D239" s="26">
        <f t="shared" si="258"/>
        <v>0</v>
      </c>
      <c r="E239" s="26">
        <v>0</v>
      </c>
      <c r="F239" s="26">
        <v>0</v>
      </c>
      <c r="G239" s="26">
        <f t="shared" si="259"/>
        <v>0</v>
      </c>
      <c r="H239" s="26"/>
      <c r="I239" s="26"/>
      <c r="J239" s="26">
        <f t="shared" si="260"/>
        <v>0</v>
      </c>
      <c r="K239" s="26">
        <v>18326</v>
      </c>
      <c r="L239" s="26">
        <v>18326</v>
      </c>
      <c r="M239" s="26">
        <f t="shared" si="261"/>
        <v>0</v>
      </c>
      <c r="N239" s="26"/>
      <c r="O239" s="26"/>
      <c r="P239" s="26">
        <f t="shared" si="262"/>
        <v>0</v>
      </c>
      <c r="Q239" s="26"/>
      <c r="R239" s="26"/>
      <c r="S239" s="26">
        <f t="shared" si="263"/>
        <v>0</v>
      </c>
      <c r="T239" s="26">
        <v>0</v>
      </c>
      <c r="U239" s="26">
        <v>0</v>
      </c>
      <c r="V239" s="26">
        <f t="shared" si="264"/>
        <v>0</v>
      </c>
      <c r="W239" s="26">
        <v>0</v>
      </c>
      <c r="X239" s="26">
        <v>0</v>
      </c>
      <c r="Y239" s="26">
        <f t="shared" si="265"/>
        <v>0</v>
      </c>
      <c r="Z239" s="26"/>
      <c r="AA239" s="26"/>
      <c r="AB239" s="26">
        <f t="shared" si="266"/>
        <v>0</v>
      </c>
    </row>
    <row r="240" spans="1:187" s="20" customFormat="1" ht="31.5" x14ac:dyDescent="0.25">
      <c r="A240" s="18" t="s">
        <v>59</v>
      </c>
      <c r="B240" s="19">
        <f t="shared" si="258"/>
        <v>1090696</v>
      </c>
      <c r="C240" s="19">
        <f t="shared" si="258"/>
        <v>1189226</v>
      </c>
      <c r="D240" s="19">
        <f t="shared" si="258"/>
        <v>98530</v>
      </c>
      <c r="E240" s="19">
        <f>SUM(E246,E258,E255,E241,E262)</f>
        <v>0</v>
      </c>
      <c r="F240" s="19">
        <f>SUM(F246,F258,F255,F241,F262)</f>
        <v>0</v>
      </c>
      <c r="G240" s="19">
        <f t="shared" si="259"/>
        <v>0</v>
      </c>
      <c r="H240" s="19">
        <f>SUM(H246,H258,H255,H241,H262)</f>
        <v>0</v>
      </c>
      <c r="I240" s="19">
        <f>SUM(I246,I258,I255,I241,I262)</f>
        <v>0</v>
      </c>
      <c r="J240" s="19">
        <f t="shared" si="260"/>
        <v>0</v>
      </c>
      <c r="K240" s="19">
        <f>SUM(K246,K258,K255,K241,K262)</f>
        <v>146456</v>
      </c>
      <c r="L240" s="19">
        <f>SUM(L246,L258,L255,L241,L262)</f>
        <v>244986</v>
      </c>
      <c r="M240" s="19">
        <f t="shared" si="261"/>
        <v>98530</v>
      </c>
      <c r="N240" s="19">
        <f>SUM(N246,N258,N255,N241,N262)</f>
        <v>560880</v>
      </c>
      <c r="O240" s="19">
        <f>SUM(O246,O258,O255,O241,O262)</f>
        <v>560880</v>
      </c>
      <c r="P240" s="19">
        <f t="shared" si="262"/>
        <v>0</v>
      </c>
      <c r="Q240" s="19">
        <f>SUM(Q246,Q258,Q255,Q241,Q262)</f>
        <v>27560</v>
      </c>
      <c r="R240" s="19">
        <f>SUM(R246,R258,R255,R241,R262)</f>
        <v>27560</v>
      </c>
      <c r="S240" s="19">
        <f t="shared" si="263"/>
        <v>0</v>
      </c>
      <c r="T240" s="19">
        <f>SUM(T246,T258,T255,T241,T262)</f>
        <v>177000</v>
      </c>
      <c r="U240" s="19">
        <f>SUM(U246,U258,U255,U241,U262)</f>
        <v>177000</v>
      </c>
      <c r="V240" s="19">
        <f t="shared" si="264"/>
        <v>0</v>
      </c>
      <c r="W240" s="19">
        <f>SUM(W246,W258,W255,W241,W262)</f>
        <v>0</v>
      </c>
      <c r="X240" s="19">
        <f>SUM(X246,X258,X255,X241,X262)</f>
        <v>0</v>
      </c>
      <c r="Y240" s="19">
        <f t="shared" si="265"/>
        <v>0</v>
      </c>
      <c r="Z240" s="19">
        <f>SUM(Z246,Z258,Z255,Z241,Z262)</f>
        <v>178800</v>
      </c>
      <c r="AA240" s="19">
        <f>SUM(AA246,AA258,AA255,AA241,AA262)</f>
        <v>178800</v>
      </c>
      <c r="AB240" s="19">
        <f t="shared" si="266"/>
        <v>0</v>
      </c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  <c r="DV240" s="17"/>
      <c r="DW240" s="17"/>
      <c r="DX240" s="17"/>
      <c r="DY240" s="17"/>
      <c r="DZ240" s="17"/>
      <c r="EA240" s="17"/>
      <c r="EB240" s="17"/>
      <c r="EC240" s="17"/>
      <c r="ED240" s="17"/>
      <c r="EE240" s="17"/>
      <c r="EF240" s="17"/>
      <c r="EG240" s="17"/>
      <c r="EH240" s="17"/>
      <c r="EI240" s="17"/>
      <c r="EJ240" s="17"/>
      <c r="EK240" s="17"/>
      <c r="EL240" s="17"/>
      <c r="EM240" s="17"/>
      <c r="EN240" s="17"/>
      <c r="EO240" s="17"/>
      <c r="EP240" s="17"/>
      <c r="EQ240" s="17"/>
      <c r="ER240" s="17"/>
      <c r="ES240" s="17"/>
      <c r="ET240" s="17"/>
      <c r="EU240" s="17"/>
      <c r="EV240" s="17"/>
      <c r="EW240" s="17"/>
      <c r="EX240" s="17"/>
      <c r="EY240" s="17"/>
      <c r="EZ240" s="17"/>
      <c r="FA240" s="17"/>
      <c r="FB240" s="17"/>
      <c r="FC240" s="17"/>
      <c r="FD240" s="17"/>
      <c r="FE240" s="17"/>
      <c r="FF240" s="17"/>
      <c r="FG240" s="17"/>
      <c r="FH240" s="17"/>
      <c r="FI240" s="17"/>
      <c r="FJ240" s="17"/>
      <c r="FK240" s="17"/>
      <c r="FL240" s="17"/>
      <c r="FM240" s="17"/>
      <c r="FN240" s="17"/>
      <c r="FO240" s="17"/>
      <c r="FP240" s="17"/>
      <c r="FQ240" s="17"/>
      <c r="FR240" s="17"/>
      <c r="FS240" s="17"/>
      <c r="FT240" s="17"/>
      <c r="FU240" s="17"/>
      <c r="FV240" s="17"/>
      <c r="FW240" s="17"/>
      <c r="FX240" s="17"/>
      <c r="FY240" s="17"/>
      <c r="FZ240" s="17"/>
      <c r="GA240" s="17"/>
      <c r="GB240" s="17"/>
      <c r="GC240" s="17"/>
      <c r="GD240" s="17"/>
      <c r="GE240" s="17"/>
    </row>
    <row r="241" spans="1:187" s="20" customFormat="1" x14ac:dyDescent="0.25">
      <c r="A241" s="18" t="s">
        <v>72</v>
      </c>
      <c r="B241" s="19">
        <f t="shared" si="258"/>
        <v>34725</v>
      </c>
      <c r="C241" s="19">
        <f t="shared" si="258"/>
        <v>35445</v>
      </c>
      <c r="D241" s="19">
        <f t="shared" si="258"/>
        <v>720</v>
      </c>
      <c r="E241" s="19">
        <f t="shared" ref="E241" si="364">SUM(E242:E245)</f>
        <v>0</v>
      </c>
      <c r="F241" s="19">
        <f t="shared" ref="F241:AA241" si="365">SUM(F242:F245)</f>
        <v>0</v>
      </c>
      <c r="G241" s="19">
        <f t="shared" si="259"/>
        <v>0</v>
      </c>
      <c r="H241" s="19">
        <f t="shared" ref="H241" si="366">SUM(H242:H245)</f>
        <v>0</v>
      </c>
      <c r="I241" s="19">
        <f t="shared" si="365"/>
        <v>0</v>
      </c>
      <c r="J241" s="19">
        <f t="shared" si="260"/>
        <v>0</v>
      </c>
      <c r="K241" s="19">
        <f t="shared" ref="K241" si="367">SUM(K242:K245)</f>
        <v>3822</v>
      </c>
      <c r="L241" s="19">
        <f t="shared" si="365"/>
        <v>4542</v>
      </c>
      <c r="M241" s="19">
        <f t="shared" si="261"/>
        <v>720</v>
      </c>
      <c r="N241" s="19">
        <f t="shared" ref="N241" si="368">SUM(N242:N245)</f>
        <v>5343</v>
      </c>
      <c r="O241" s="19">
        <f t="shared" si="365"/>
        <v>5343</v>
      </c>
      <c r="P241" s="19">
        <f t="shared" si="262"/>
        <v>0</v>
      </c>
      <c r="Q241" s="19">
        <f t="shared" ref="Q241" si="369">SUM(Q242:Q245)</f>
        <v>25560</v>
      </c>
      <c r="R241" s="19">
        <f t="shared" si="365"/>
        <v>25560</v>
      </c>
      <c r="S241" s="19">
        <f t="shared" si="263"/>
        <v>0</v>
      </c>
      <c r="T241" s="19">
        <f t="shared" ref="T241" si="370">SUM(T242:T245)</f>
        <v>0</v>
      </c>
      <c r="U241" s="19">
        <f t="shared" si="365"/>
        <v>0</v>
      </c>
      <c r="V241" s="19">
        <f t="shared" si="264"/>
        <v>0</v>
      </c>
      <c r="W241" s="19">
        <f t="shared" ref="W241" si="371">SUM(W242:W245)</f>
        <v>0</v>
      </c>
      <c r="X241" s="19">
        <f t="shared" si="365"/>
        <v>0</v>
      </c>
      <c r="Y241" s="19">
        <f t="shared" si="265"/>
        <v>0</v>
      </c>
      <c r="Z241" s="19">
        <f t="shared" ref="Z241" si="372">SUM(Z242:Z245)</f>
        <v>0</v>
      </c>
      <c r="AA241" s="19">
        <f t="shared" si="365"/>
        <v>0</v>
      </c>
      <c r="AB241" s="19">
        <f t="shared" si="266"/>
        <v>0</v>
      </c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  <c r="DV241" s="17"/>
      <c r="DW241" s="17"/>
      <c r="DX241" s="17"/>
      <c r="DY241" s="17"/>
      <c r="DZ241" s="17"/>
      <c r="EA241" s="17"/>
      <c r="EB241" s="17"/>
      <c r="EC241" s="17"/>
      <c r="ED241" s="17"/>
      <c r="EE241" s="17"/>
      <c r="EF241" s="17"/>
      <c r="EG241" s="17"/>
      <c r="EH241" s="17"/>
      <c r="EI241" s="17"/>
      <c r="EJ241" s="17"/>
      <c r="EK241" s="17"/>
      <c r="EL241" s="17"/>
      <c r="EM241" s="17"/>
      <c r="EN241" s="17"/>
      <c r="EO241" s="17"/>
      <c r="EP241" s="17"/>
      <c r="EQ241" s="17"/>
      <c r="ER241" s="17"/>
      <c r="ES241" s="17"/>
      <c r="ET241" s="17"/>
      <c r="EU241" s="17"/>
      <c r="EV241" s="17"/>
      <c r="EW241" s="17"/>
      <c r="EX241" s="17"/>
      <c r="EY241" s="17"/>
      <c r="EZ241" s="17"/>
      <c r="FA241" s="17"/>
      <c r="FB241" s="17"/>
      <c r="FC241" s="17"/>
      <c r="FD241" s="17"/>
      <c r="FE241" s="17"/>
      <c r="FF241" s="17"/>
      <c r="FG241" s="17"/>
      <c r="FH241" s="17"/>
      <c r="FI241" s="17"/>
      <c r="FJ241" s="17"/>
      <c r="FK241" s="17"/>
      <c r="FL241" s="17"/>
      <c r="FM241" s="17"/>
      <c r="FN241" s="17"/>
      <c r="FO241" s="17"/>
      <c r="FP241" s="17"/>
      <c r="FQ241" s="17"/>
      <c r="FR241" s="17"/>
      <c r="FS241" s="17"/>
      <c r="FT241" s="17"/>
      <c r="FU241" s="17"/>
      <c r="FV241" s="17"/>
      <c r="FW241" s="17"/>
      <c r="FX241" s="17"/>
      <c r="FY241" s="17"/>
      <c r="FZ241" s="17"/>
      <c r="GA241" s="17"/>
      <c r="GB241" s="17"/>
      <c r="GC241" s="17"/>
      <c r="GD241" s="17"/>
      <c r="GE241" s="17"/>
    </row>
    <row r="242" spans="1:187" s="20" customFormat="1" ht="63" x14ac:dyDescent="0.25">
      <c r="A242" s="22" t="s">
        <v>137</v>
      </c>
      <c r="B242" s="26">
        <f t="shared" si="258"/>
        <v>5343</v>
      </c>
      <c r="C242" s="26">
        <f t="shared" si="258"/>
        <v>5343</v>
      </c>
      <c r="D242" s="26">
        <f t="shared" si="258"/>
        <v>0</v>
      </c>
      <c r="E242" s="26"/>
      <c r="F242" s="26"/>
      <c r="G242" s="26">
        <f t="shared" si="259"/>
        <v>0</v>
      </c>
      <c r="H242" s="26"/>
      <c r="I242" s="26"/>
      <c r="J242" s="26">
        <f t="shared" si="260"/>
        <v>0</v>
      </c>
      <c r="K242" s="26"/>
      <c r="L242" s="26"/>
      <c r="M242" s="26">
        <f t="shared" si="261"/>
        <v>0</v>
      </c>
      <c r="N242" s="26">
        <v>5343</v>
      </c>
      <c r="O242" s="26">
        <v>5343</v>
      </c>
      <c r="P242" s="26">
        <f t="shared" si="262"/>
        <v>0</v>
      </c>
      <c r="Q242" s="26"/>
      <c r="R242" s="26"/>
      <c r="S242" s="26">
        <f t="shared" si="263"/>
        <v>0</v>
      </c>
      <c r="T242" s="26"/>
      <c r="U242" s="26"/>
      <c r="V242" s="26">
        <f t="shared" si="264"/>
        <v>0</v>
      </c>
      <c r="W242" s="26"/>
      <c r="X242" s="26"/>
      <c r="Y242" s="26">
        <f t="shared" si="265"/>
        <v>0</v>
      </c>
      <c r="Z242" s="26"/>
      <c r="AA242" s="26"/>
      <c r="AB242" s="26">
        <f t="shared" si="266"/>
        <v>0</v>
      </c>
    </row>
    <row r="243" spans="1:187" s="20" customFormat="1" ht="31.5" x14ac:dyDescent="0.25">
      <c r="A243" s="22" t="s">
        <v>138</v>
      </c>
      <c r="B243" s="26">
        <f t="shared" si="258"/>
        <v>15060</v>
      </c>
      <c r="C243" s="26">
        <f t="shared" si="258"/>
        <v>15060</v>
      </c>
      <c r="D243" s="26">
        <f t="shared" si="258"/>
        <v>0</v>
      </c>
      <c r="E243" s="26"/>
      <c r="F243" s="26"/>
      <c r="G243" s="26">
        <f t="shared" si="259"/>
        <v>0</v>
      </c>
      <c r="H243" s="26"/>
      <c r="I243" s="26"/>
      <c r="J243" s="26">
        <f t="shared" si="260"/>
        <v>0</v>
      </c>
      <c r="K243" s="26"/>
      <c r="L243" s="26"/>
      <c r="M243" s="26">
        <f t="shared" si="261"/>
        <v>0</v>
      </c>
      <c r="N243" s="26"/>
      <c r="O243" s="26"/>
      <c r="P243" s="26">
        <f t="shared" si="262"/>
        <v>0</v>
      </c>
      <c r="Q243" s="26">
        <v>15060</v>
      </c>
      <c r="R243" s="26">
        <v>15060</v>
      </c>
      <c r="S243" s="26">
        <f t="shared" si="263"/>
        <v>0</v>
      </c>
      <c r="T243" s="26"/>
      <c r="U243" s="26"/>
      <c r="V243" s="26">
        <f t="shared" si="264"/>
        <v>0</v>
      </c>
      <c r="W243" s="26"/>
      <c r="X243" s="26"/>
      <c r="Y243" s="26">
        <f t="shared" si="265"/>
        <v>0</v>
      </c>
      <c r="Z243" s="26"/>
      <c r="AA243" s="26"/>
      <c r="AB243" s="26">
        <f t="shared" si="266"/>
        <v>0</v>
      </c>
    </row>
    <row r="244" spans="1:187" s="53" customFormat="1" ht="31.5" x14ac:dyDescent="0.25">
      <c r="A244" s="58" t="s">
        <v>236</v>
      </c>
      <c r="B244" s="52">
        <f t="shared" si="258"/>
        <v>3822</v>
      </c>
      <c r="C244" s="52">
        <f t="shared" si="258"/>
        <v>4542</v>
      </c>
      <c r="D244" s="52">
        <f t="shared" si="258"/>
        <v>720</v>
      </c>
      <c r="E244" s="52"/>
      <c r="F244" s="52"/>
      <c r="G244" s="52">
        <f t="shared" si="259"/>
        <v>0</v>
      </c>
      <c r="H244" s="52"/>
      <c r="I244" s="52"/>
      <c r="J244" s="52">
        <f t="shared" si="260"/>
        <v>0</v>
      </c>
      <c r="K244" s="52">
        <v>3822</v>
      </c>
      <c r="L244" s="52">
        <f>3822+720</f>
        <v>4542</v>
      </c>
      <c r="M244" s="52">
        <f t="shared" si="261"/>
        <v>720</v>
      </c>
      <c r="N244" s="52"/>
      <c r="O244" s="52"/>
      <c r="P244" s="52">
        <f t="shared" si="262"/>
        <v>0</v>
      </c>
      <c r="Q244" s="52">
        <v>0</v>
      </c>
      <c r="R244" s="52">
        <v>0</v>
      </c>
      <c r="S244" s="52">
        <f t="shared" si="263"/>
        <v>0</v>
      </c>
      <c r="T244" s="52"/>
      <c r="U244" s="52"/>
      <c r="V244" s="52">
        <f t="shared" si="264"/>
        <v>0</v>
      </c>
      <c r="W244" s="52"/>
      <c r="X244" s="52"/>
      <c r="Y244" s="52">
        <f t="shared" si="265"/>
        <v>0</v>
      </c>
      <c r="Z244" s="52"/>
      <c r="AA244" s="52"/>
      <c r="AB244" s="52">
        <f t="shared" si="266"/>
        <v>0</v>
      </c>
    </row>
    <row r="245" spans="1:187" s="20" customFormat="1" ht="31.5" x14ac:dyDescent="0.25">
      <c r="A245" s="22" t="s">
        <v>139</v>
      </c>
      <c r="B245" s="26">
        <f t="shared" si="258"/>
        <v>10500</v>
      </c>
      <c r="C245" s="26">
        <f t="shared" si="258"/>
        <v>10500</v>
      </c>
      <c r="D245" s="26">
        <f t="shared" si="258"/>
        <v>0</v>
      </c>
      <c r="E245" s="26"/>
      <c r="F245" s="26"/>
      <c r="G245" s="26">
        <f t="shared" si="259"/>
        <v>0</v>
      </c>
      <c r="H245" s="26"/>
      <c r="I245" s="26"/>
      <c r="J245" s="26">
        <f t="shared" si="260"/>
        <v>0</v>
      </c>
      <c r="K245" s="26"/>
      <c r="L245" s="26"/>
      <c r="M245" s="26">
        <f t="shared" si="261"/>
        <v>0</v>
      </c>
      <c r="N245" s="26"/>
      <c r="O245" s="26"/>
      <c r="P245" s="26">
        <f t="shared" si="262"/>
        <v>0</v>
      </c>
      <c r="Q245" s="26">
        <v>10500</v>
      </c>
      <c r="R245" s="26">
        <v>10500</v>
      </c>
      <c r="S245" s="26">
        <f t="shared" si="263"/>
        <v>0</v>
      </c>
      <c r="T245" s="26"/>
      <c r="U245" s="26"/>
      <c r="V245" s="26">
        <f t="shared" si="264"/>
        <v>0</v>
      </c>
      <c r="W245" s="26"/>
      <c r="X245" s="26"/>
      <c r="Y245" s="26">
        <f t="shared" si="265"/>
        <v>0</v>
      </c>
      <c r="Z245" s="26"/>
      <c r="AA245" s="26"/>
      <c r="AB245" s="26">
        <f t="shared" si="266"/>
        <v>0</v>
      </c>
    </row>
    <row r="246" spans="1:187" s="20" customFormat="1" ht="31.5" x14ac:dyDescent="0.25">
      <c r="A246" s="18" t="s">
        <v>76</v>
      </c>
      <c r="B246" s="19">
        <f t="shared" si="258"/>
        <v>80695</v>
      </c>
      <c r="C246" s="19">
        <f t="shared" si="258"/>
        <v>169505</v>
      </c>
      <c r="D246" s="19">
        <f t="shared" si="258"/>
        <v>88810</v>
      </c>
      <c r="E246" s="19">
        <f t="shared" ref="E246" si="373">SUM(E247:E254)</f>
        <v>0</v>
      </c>
      <c r="F246" s="19">
        <f t="shared" ref="F246:AA246" si="374">SUM(F247:F254)</f>
        <v>0</v>
      </c>
      <c r="G246" s="19">
        <f t="shared" si="259"/>
        <v>0</v>
      </c>
      <c r="H246" s="19">
        <f t="shared" ref="H246" si="375">SUM(H247:H254)</f>
        <v>0</v>
      </c>
      <c r="I246" s="19">
        <f t="shared" si="374"/>
        <v>0</v>
      </c>
      <c r="J246" s="19">
        <f t="shared" si="260"/>
        <v>0</v>
      </c>
      <c r="K246" s="19">
        <f t="shared" ref="K246" si="376">SUM(K247:K254)</f>
        <v>76903</v>
      </c>
      <c r="L246" s="19">
        <f t="shared" si="374"/>
        <v>165713</v>
      </c>
      <c r="M246" s="19">
        <f t="shared" si="261"/>
        <v>88810</v>
      </c>
      <c r="N246" s="19">
        <f t="shared" ref="N246" si="377">SUM(N247:N254)</f>
        <v>3792</v>
      </c>
      <c r="O246" s="19">
        <f t="shared" si="374"/>
        <v>3792</v>
      </c>
      <c r="P246" s="19">
        <f t="shared" si="262"/>
        <v>0</v>
      </c>
      <c r="Q246" s="19">
        <f t="shared" ref="Q246" si="378">SUM(Q247:Q254)</f>
        <v>0</v>
      </c>
      <c r="R246" s="19">
        <f t="shared" si="374"/>
        <v>0</v>
      </c>
      <c r="S246" s="19">
        <f t="shared" si="263"/>
        <v>0</v>
      </c>
      <c r="T246" s="19">
        <f t="shared" ref="T246" si="379">SUM(T247:T254)</f>
        <v>0</v>
      </c>
      <c r="U246" s="19">
        <f t="shared" si="374"/>
        <v>0</v>
      </c>
      <c r="V246" s="19">
        <f t="shared" si="264"/>
        <v>0</v>
      </c>
      <c r="W246" s="19">
        <f t="shared" ref="W246" si="380">SUM(W247:W254)</f>
        <v>0</v>
      </c>
      <c r="X246" s="19">
        <f t="shared" si="374"/>
        <v>0</v>
      </c>
      <c r="Y246" s="19">
        <f t="shared" si="265"/>
        <v>0</v>
      </c>
      <c r="Z246" s="19">
        <f t="shared" ref="Z246" si="381">SUM(Z247:Z254)</f>
        <v>0</v>
      </c>
      <c r="AA246" s="19">
        <f t="shared" si="374"/>
        <v>0</v>
      </c>
      <c r="AB246" s="19">
        <f t="shared" si="266"/>
        <v>0</v>
      </c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  <c r="DV246" s="17"/>
      <c r="DW246" s="17"/>
      <c r="DX246" s="17"/>
      <c r="DY246" s="17"/>
      <c r="DZ246" s="17"/>
      <c r="EA246" s="17"/>
      <c r="EB246" s="17"/>
      <c r="EC246" s="17"/>
      <c r="ED246" s="17"/>
      <c r="EE246" s="17"/>
      <c r="EF246" s="17"/>
      <c r="EG246" s="17"/>
      <c r="EH246" s="17"/>
      <c r="EI246" s="17"/>
      <c r="EJ246" s="17"/>
      <c r="EK246" s="17"/>
      <c r="EL246" s="17"/>
      <c r="EM246" s="17"/>
      <c r="EN246" s="17"/>
      <c r="EO246" s="17"/>
      <c r="EP246" s="17"/>
      <c r="EQ246" s="17"/>
      <c r="ER246" s="17"/>
      <c r="ES246" s="17"/>
      <c r="ET246" s="17"/>
      <c r="EU246" s="17"/>
      <c r="EV246" s="17"/>
      <c r="EW246" s="17"/>
      <c r="EX246" s="17"/>
      <c r="EY246" s="17"/>
      <c r="EZ246" s="17"/>
      <c r="FA246" s="17"/>
      <c r="FB246" s="17"/>
      <c r="FC246" s="17"/>
      <c r="FD246" s="17"/>
      <c r="FE246" s="17"/>
      <c r="FF246" s="17"/>
      <c r="FG246" s="17"/>
      <c r="FH246" s="17"/>
      <c r="FI246" s="17"/>
      <c r="FJ246" s="17"/>
      <c r="FK246" s="17"/>
      <c r="FL246" s="17"/>
      <c r="FM246" s="17"/>
      <c r="FN246" s="17"/>
      <c r="FO246" s="17"/>
      <c r="FP246" s="17"/>
      <c r="FQ246" s="17"/>
      <c r="FR246" s="17"/>
      <c r="FS246" s="17"/>
      <c r="FT246" s="17"/>
      <c r="FU246" s="17"/>
      <c r="FV246" s="17"/>
      <c r="FW246" s="17"/>
      <c r="FX246" s="17"/>
      <c r="FY246" s="17"/>
      <c r="FZ246" s="17"/>
      <c r="GA246" s="17"/>
      <c r="GB246" s="17"/>
      <c r="GC246" s="17"/>
      <c r="GD246" s="17"/>
      <c r="GE246" s="17"/>
    </row>
    <row r="247" spans="1:187" s="20" customFormat="1" ht="63" x14ac:dyDescent="0.25">
      <c r="A247" s="31" t="s">
        <v>140</v>
      </c>
      <c r="B247" s="26">
        <f t="shared" ref="B247:D297" si="382">E247+H247+K247+N247+Q247+T247+W247+Z247</f>
        <v>1440</v>
      </c>
      <c r="C247" s="26">
        <f t="shared" si="382"/>
        <v>1440</v>
      </c>
      <c r="D247" s="26">
        <f t="shared" si="382"/>
        <v>0</v>
      </c>
      <c r="E247" s="26"/>
      <c r="F247" s="26"/>
      <c r="G247" s="26">
        <f t="shared" si="259"/>
        <v>0</v>
      </c>
      <c r="H247" s="26"/>
      <c r="I247" s="26"/>
      <c r="J247" s="26">
        <f t="shared" si="260"/>
        <v>0</v>
      </c>
      <c r="K247" s="26">
        <v>0</v>
      </c>
      <c r="L247" s="26">
        <v>0</v>
      </c>
      <c r="M247" s="26">
        <f t="shared" si="261"/>
        <v>0</v>
      </c>
      <c r="N247" s="26">
        <v>1440</v>
      </c>
      <c r="O247" s="26">
        <v>1440</v>
      </c>
      <c r="P247" s="26">
        <f t="shared" si="262"/>
        <v>0</v>
      </c>
      <c r="Q247" s="26"/>
      <c r="R247" s="26"/>
      <c r="S247" s="26">
        <f t="shared" si="263"/>
        <v>0</v>
      </c>
      <c r="T247" s="26"/>
      <c r="U247" s="26"/>
      <c r="V247" s="26">
        <f t="shared" si="264"/>
        <v>0</v>
      </c>
      <c r="W247" s="26"/>
      <c r="X247" s="26"/>
      <c r="Y247" s="26">
        <f t="shared" si="265"/>
        <v>0</v>
      </c>
      <c r="Z247" s="26"/>
      <c r="AA247" s="26"/>
      <c r="AB247" s="26">
        <f t="shared" si="266"/>
        <v>0</v>
      </c>
    </row>
    <row r="248" spans="1:187" s="20" customFormat="1" ht="78.75" x14ac:dyDescent="0.25">
      <c r="A248" s="31" t="s">
        <v>141</v>
      </c>
      <c r="B248" s="26">
        <f t="shared" si="382"/>
        <v>2352</v>
      </c>
      <c r="C248" s="26">
        <f t="shared" si="382"/>
        <v>2352</v>
      </c>
      <c r="D248" s="26">
        <f t="shared" si="382"/>
        <v>0</v>
      </c>
      <c r="E248" s="26">
        <v>0</v>
      </c>
      <c r="F248" s="26">
        <v>0</v>
      </c>
      <c r="G248" s="26">
        <f t="shared" ref="G248:G297" si="383">F248-E248</f>
        <v>0</v>
      </c>
      <c r="H248" s="26">
        <v>0</v>
      </c>
      <c r="I248" s="26">
        <v>0</v>
      </c>
      <c r="J248" s="26">
        <f t="shared" ref="J248:J297" si="384">I248-H248</f>
        <v>0</v>
      </c>
      <c r="K248" s="26">
        <v>0</v>
      </c>
      <c r="L248" s="26">
        <v>0</v>
      </c>
      <c r="M248" s="26">
        <f t="shared" ref="M248:M297" si="385">L248-K248</f>
        <v>0</v>
      </c>
      <c r="N248" s="26">
        <v>2352</v>
      </c>
      <c r="O248" s="26">
        <v>2352</v>
      </c>
      <c r="P248" s="26">
        <f t="shared" ref="P248:P297" si="386">O248-N248</f>
        <v>0</v>
      </c>
      <c r="Q248" s="26"/>
      <c r="R248" s="26"/>
      <c r="S248" s="26">
        <f t="shared" ref="S248:S297" si="387">R248-Q248</f>
        <v>0</v>
      </c>
      <c r="T248" s="26"/>
      <c r="U248" s="26"/>
      <c r="V248" s="26">
        <f t="shared" ref="V248:V297" si="388">U248-T248</f>
        <v>0</v>
      </c>
      <c r="W248" s="26"/>
      <c r="X248" s="26"/>
      <c r="Y248" s="26">
        <f t="shared" ref="Y248:Y297" si="389">X248-W248</f>
        <v>0</v>
      </c>
      <c r="Z248" s="26"/>
      <c r="AA248" s="26"/>
      <c r="AB248" s="26">
        <f t="shared" ref="AB248:AB297" si="390">AA248-Z248</f>
        <v>0</v>
      </c>
    </row>
    <row r="249" spans="1:187" s="20" customFormat="1" ht="31.5" x14ac:dyDescent="0.25">
      <c r="A249" s="25" t="s">
        <v>142</v>
      </c>
      <c r="B249" s="26">
        <f t="shared" si="382"/>
        <v>36600</v>
      </c>
      <c r="C249" s="26">
        <f t="shared" si="382"/>
        <v>35890</v>
      </c>
      <c r="D249" s="26">
        <f t="shared" si="382"/>
        <v>-710</v>
      </c>
      <c r="E249" s="26"/>
      <c r="F249" s="26"/>
      <c r="G249" s="26">
        <f t="shared" si="383"/>
        <v>0</v>
      </c>
      <c r="H249" s="26"/>
      <c r="I249" s="26"/>
      <c r="J249" s="26">
        <f t="shared" si="384"/>
        <v>0</v>
      </c>
      <c r="K249" s="26">
        <v>36600</v>
      </c>
      <c r="L249" s="26">
        <f>36600-710</f>
        <v>35890</v>
      </c>
      <c r="M249" s="26">
        <f t="shared" si="385"/>
        <v>-710</v>
      </c>
      <c r="N249" s="26">
        <v>0</v>
      </c>
      <c r="O249" s="26">
        <v>0</v>
      </c>
      <c r="P249" s="26">
        <f t="shared" si="386"/>
        <v>0</v>
      </c>
      <c r="Q249" s="26"/>
      <c r="R249" s="26"/>
      <c r="S249" s="26">
        <f t="shared" si="387"/>
        <v>0</v>
      </c>
      <c r="T249" s="26"/>
      <c r="U249" s="26"/>
      <c r="V249" s="26">
        <f t="shared" si="388"/>
        <v>0</v>
      </c>
      <c r="W249" s="26"/>
      <c r="X249" s="26"/>
      <c r="Y249" s="26">
        <f t="shared" si="389"/>
        <v>0</v>
      </c>
      <c r="Z249" s="26"/>
      <c r="AA249" s="26"/>
      <c r="AB249" s="26">
        <f t="shared" si="390"/>
        <v>0</v>
      </c>
    </row>
    <row r="250" spans="1:187" s="53" customFormat="1" x14ac:dyDescent="0.25">
      <c r="A250" s="51" t="s">
        <v>237</v>
      </c>
      <c r="B250" s="52">
        <f t="shared" si="382"/>
        <v>5304</v>
      </c>
      <c r="C250" s="52">
        <f t="shared" si="382"/>
        <v>4944</v>
      </c>
      <c r="D250" s="52">
        <f t="shared" si="382"/>
        <v>-360</v>
      </c>
      <c r="E250" s="52"/>
      <c r="F250" s="52"/>
      <c r="G250" s="52">
        <f t="shared" si="383"/>
        <v>0</v>
      </c>
      <c r="H250" s="52"/>
      <c r="I250" s="52"/>
      <c r="J250" s="52">
        <f t="shared" si="384"/>
        <v>0</v>
      </c>
      <c r="K250" s="52">
        <v>5304</v>
      </c>
      <c r="L250" s="52">
        <f>5304-360</f>
        <v>4944</v>
      </c>
      <c r="M250" s="52">
        <f t="shared" si="385"/>
        <v>-360</v>
      </c>
      <c r="N250" s="52">
        <v>0</v>
      </c>
      <c r="O250" s="52">
        <v>0</v>
      </c>
      <c r="P250" s="52">
        <f t="shared" si="386"/>
        <v>0</v>
      </c>
      <c r="Q250" s="52"/>
      <c r="R250" s="52"/>
      <c r="S250" s="52">
        <f t="shared" si="387"/>
        <v>0</v>
      </c>
      <c r="T250" s="52"/>
      <c r="U250" s="52"/>
      <c r="V250" s="52">
        <f t="shared" si="388"/>
        <v>0</v>
      </c>
      <c r="W250" s="52"/>
      <c r="X250" s="52"/>
      <c r="Y250" s="52">
        <f t="shared" si="389"/>
        <v>0</v>
      </c>
      <c r="Z250" s="52"/>
      <c r="AA250" s="52"/>
      <c r="AB250" s="52">
        <f t="shared" si="390"/>
        <v>0</v>
      </c>
    </row>
    <row r="251" spans="1:187" s="20" customFormat="1" ht="31.5" x14ac:dyDescent="0.25">
      <c r="A251" s="25" t="s">
        <v>198</v>
      </c>
      <c r="B251" s="26">
        <f t="shared" si="382"/>
        <v>6000</v>
      </c>
      <c r="C251" s="26">
        <f t="shared" si="382"/>
        <v>6000</v>
      </c>
      <c r="D251" s="26">
        <f t="shared" si="382"/>
        <v>0</v>
      </c>
      <c r="E251" s="26"/>
      <c r="F251" s="26"/>
      <c r="G251" s="26">
        <f t="shared" si="383"/>
        <v>0</v>
      </c>
      <c r="H251" s="26"/>
      <c r="I251" s="26"/>
      <c r="J251" s="26">
        <f t="shared" si="384"/>
        <v>0</v>
      </c>
      <c r="K251" s="26">
        <v>6000</v>
      </c>
      <c r="L251" s="26">
        <v>6000</v>
      </c>
      <c r="M251" s="26">
        <f t="shared" si="385"/>
        <v>0</v>
      </c>
      <c r="N251" s="26">
        <v>0</v>
      </c>
      <c r="O251" s="26">
        <v>0</v>
      </c>
      <c r="P251" s="26">
        <f t="shared" si="386"/>
        <v>0</v>
      </c>
      <c r="Q251" s="26"/>
      <c r="R251" s="26"/>
      <c r="S251" s="26">
        <f t="shared" si="387"/>
        <v>0</v>
      </c>
      <c r="T251" s="26"/>
      <c r="U251" s="26"/>
      <c r="V251" s="26">
        <f t="shared" si="388"/>
        <v>0</v>
      </c>
      <c r="W251" s="26"/>
      <c r="X251" s="26"/>
      <c r="Y251" s="26">
        <f t="shared" si="389"/>
        <v>0</v>
      </c>
      <c r="Z251" s="26"/>
      <c r="AA251" s="26"/>
      <c r="AB251" s="26">
        <f t="shared" si="390"/>
        <v>0</v>
      </c>
    </row>
    <row r="252" spans="1:187" s="20" customFormat="1" x14ac:dyDescent="0.25">
      <c r="A252" s="25" t="s">
        <v>195</v>
      </c>
      <c r="B252" s="26">
        <f t="shared" si="382"/>
        <v>25999</v>
      </c>
      <c r="C252" s="26">
        <f t="shared" si="382"/>
        <v>25999</v>
      </c>
      <c r="D252" s="26">
        <f t="shared" si="382"/>
        <v>0</v>
      </c>
      <c r="E252" s="26"/>
      <c r="F252" s="26"/>
      <c r="G252" s="26">
        <f t="shared" si="383"/>
        <v>0</v>
      </c>
      <c r="H252" s="26"/>
      <c r="I252" s="26"/>
      <c r="J252" s="26">
        <f t="shared" si="384"/>
        <v>0</v>
      </c>
      <c r="K252" s="26">
        <v>25999</v>
      </c>
      <c r="L252" s="26">
        <v>25999</v>
      </c>
      <c r="M252" s="26">
        <f t="shared" si="385"/>
        <v>0</v>
      </c>
      <c r="N252" s="26">
        <v>0</v>
      </c>
      <c r="O252" s="26">
        <v>0</v>
      </c>
      <c r="P252" s="26">
        <f t="shared" si="386"/>
        <v>0</v>
      </c>
      <c r="Q252" s="26"/>
      <c r="R252" s="26"/>
      <c r="S252" s="26">
        <f t="shared" si="387"/>
        <v>0</v>
      </c>
      <c r="T252" s="26"/>
      <c r="U252" s="26"/>
      <c r="V252" s="26">
        <f t="shared" si="388"/>
        <v>0</v>
      </c>
      <c r="W252" s="26"/>
      <c r="X252" s="26"/>
      <c r="Y252" s="26">
        <f t="shared" si="389"/>
        <v>0</v>
      </c>
      <c r="Z252" s="26"/>
      <c r="AA252" s="26"/>
      <c r="AB252" s="26">
        <f t="shared" si="390"/>
        <v>0</v>
      </c>
    </row>
    <row r="253" spans="1:187" s="20" customFormat="1" x14ac:dyDescent="0.25">
      <c r="A253" s="25" t="s">
        <v>253</v>
      </c>
      <c r="B253" s="26">
        <f t="shared" ref="B253" si="391">E253+H253+K253+N253+Q253+T253+W253+Z253</f>
        <v>0</v>
      </c>
      <c r="C253" s="26">
        <f t="shared" ref="C253" si="392">F253+I253+L253+O253+R253+U253+X253+AA253</f>
        <v>89880</v>
      </c>
      <c r="D253" s="26">
        <f t="shared" ref="D253" si="393">G253+J253+M253+P253+S253+V253+Y253+AB253</f>
        <v>89880</v>
      </c>
      <c r="E253" s="26"/>
      <c r="F253" s="26"/>
      <c r="G253" s="26">
        <f t="shared" ref="G253" si="394">F253-E253</f>
        <v>0</v>
      </c>
      <c r="H253" s="26"/>
      <c r="I253" s="26"/>
      <c r="J253" s="26">
        <f t="shared" ref="J253" si="395">I253-H253</f>
        <v>0</v>
      </c>
      <c r="K253" s="26"/>
      <c r="L253" s="26">
        <v>89880</v>
      </c>
      <c r="M253" s="26">
        <f t="shared" ref="M253" si="396">L253-K253</f>
        <v>89880</v>
      </c>
      <c r="N253" s="26">
        <v>0</v>
      </c>
      <c r="O253" s="26">
        <v>0</v>
      </c>
      <c r="P253" s="26">
        <f t="shared" ref="P253" si="397">O253-N253</f>
        <v>0</v>
      </c>
      <c r="Q253" s="26"/>
      <c r="R253" s="26"/>
      <c r="S253" s="26">
        <f t="shared" ref="S253" si="398">R253-Q253</f>
        <v>0</v>
      </c>
      <c r="T253" s="26"/>
      <c r="U253" s="26"/>
      <c r="V253" s="26">
        <f t="shared" ref="V253" si="399">U253-T253</f>
        <v>0</v>
      </c>
      <c r="W253" s="26"/>
      <c r="X253" s="26"/>
      <c r="Y253" s="26">
        <f t="shared" ref="Y253" si="400">X253-W253</f>
        <v>0</v>
      </c>
      <c r="Z253" s="26"/>
      <c r="AA253" s="26"/>
      <c r="AB253" s="26">
        <f t="shared" ref="AB253" si="401">AA253-Z253</f>
        <v>0</v>
      </c>
    </row>
    <row r="254" spans="1:187" s="20" customFormat="1" x14ac:dyDescent="0.25">
      <c r="A254" s="25" t="s">
        <v>143</v>
      </c>
      <c r="B254" s="26">
        <f t="shared" si="382"/>
        <v>3000</v>
      </c>
      <c r="C254" s="26">
        <f t="shared" si="382"/>
        <v>3000</v>
      </c>
      <c r="D254" s="26">
        <f t="shared" si="382"/>
        <v>0</v>
      </c>
      <c r="E254" s="26"/>
      <c r="F254" s="26"/>
      <c r="G254" s="26">
        <f t="shared" si="383"/>
        <v>0</v>
      </c>
      <c r="H254" s="26"/>
      <c r="I254" s="26"/>
      <c r="J254" s="26">
        <f t="shared" si="384"/>
        <v>0</v>
      </c>
      <c r="K254" s="26">
        <v>3000</v>
      </c>
      <c r="L254" s="26">
        <v>3000</v>
      </c>
      <c r="M254" s="26">
        <f t="shared" si="385"/>
        <v>0</v>
      </c>
      <c r="N254" s="26">
        <v>0</v>
      </c>
      <c r="O254" s="26">
        <v>0</v>
      </c>
      <c r="P254" s="26">
        <f t="shared" si="386"/>
        <v>0</v>
      </c>
      <c r="Q254" s="26"/>
      <c r="R254" s="26"/>
      <c r="S254" s="26">
        <f t="shared" si="387"/>
        <v>0</v>
      </c>
      <c r="T254" s="26"/>
      <c r="U254" s="26"/>
      <c r="V254" s="26">
        <f t="shared" si="388"/>
        <v>0</v>
      </c>
      <c r="W254" s="26"/>
      <c r="X254" s="26"/>
      <c r="Y254" s="26">
        <f t="shared" si="389"/>
        <v>0</v>
      </c>
      <c r="Z254" s="26"/>
      <c r="AA254" s="26"/>
      <c r="AB254" s="26">
        <f t="shared" si="390"/>
        <v>0</v>
      </c>
    </row>
    <row r="255" spans="1:187" s="20" customFormat="1" x14ac:dyDescent="0.25">
      <c r="A255" s="18" t="s">
        <v>93</v>
      </c>
      <c r="B255" s="19">
        <f t="shared" si="382"/>
        <v>553745</v>
      </c>
      <c r="C255" s="19">
        <f t="shared" si="382"/>
        <v>553745</v>
      </c>
      <c r="D255" s="19">
        <f t="shared" si="382"/>
        <v>0</v>
      </c>
      <c r="E255" s="19">
        <f>SUM(E256:E257)</f>
        <v>0</v>
      </c>
      <c r="F255" s="19">
        <f>SUM(F256:F257)</f>
        <v>0</v>
      </c>
      <c r="G255" s="19">
        <f t="shared" si="383"/>
        <v>0</v>
      </c>
      <c r="H255" s="19">
        <f>SUM(H256:H257)</f>
        <v>0</v>
      </c>
      <c r="I255" s="19">
        <f>SUM(I256:I257)</f>
        <v>0</v>
      </c>
      <c r="J255" s="19">
        <f t="shared" si="384"/>
        <v>0</v>
      </c>
      <c r="K255" s="19">
        <f>SUM(K256:K257)</f>
        <v>0</v>
      </c>
      <c r="L255" s="19">
        <f>SUM(L256:L257)</f>
        <v>0</v>
      </c>
      <c r="M255" s="19">
        <f t="shared" si="385"/>
        <v>0</v>
      </c>
      <c r="N255" s="19">
        <f>SUM(N256:N257)</f>
        <v>551745</v>
      </c>
      <c r="O255" s="19">
        <f>SUM(O256:O257)</f>
        <v>551745</v>
      </c>
      <c r="P255" s="19">
        <f t="shared" si="386"/>
        <v>0</v>
      </c>
      <c r="Q255" s="19">
        <f>SUM(Q256:Q257)</f>
        <v>2000</v>
      </c>
      <c r="R255" s="19">
        <f>SUM(R256:R257)</f>
        <v>2000</v>
      </c>
      <c r="S255" s="19">
        <f t="shared" si="387"/>
        <v>0</v>
      </c>
      <c r="T255" s="19">
        <f>SUM(T256:T257)</f>
        <v>0</v>
      </c>
      <c r="U255" s="19">
        <f>SUM(U256:U257)</f>
        <v>0</v>
      </c>
      <c r="V255" s="19">
        <f t="shared" si="388"/>
        <v>0</v>
      </c>
      <c r="W255" s="19">
        <f>SUM(W256:W257)</f>
        <v>0</v>
      </c>
      <c r="X255" s="19">
        <f>SUM(X256:X257)</f>
        <v>0</v>
      </c>
      <c r="Y255" s="19">
        <f t="shared" si="389"/>
        <v>0</v>
      </c>
      <c r="Z255" s="19">
        <f>SUM(Z256:Z257)</f>
        <v>0</v>
      </c>
      <c r="AA255" s="19">
        <f>SUM(AA256:AA257)</f>
        <v>0</v>
      </c>
      <c r="AB255" s="19">
        <f t="shared" si="390"/>
        <v>0</v>
      </c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  <c r="DR255" s="17"/>
      <c r="DS255" s="17"/>
      <c r="DT255" s="17"/>
      <c r="DU255" s="17"/>
      <c r="DV255" s="17"/>
      <c r="DW255" s="17"/>
      <c r="DX255" s="17"/>
      <c r="DY255" s="17"/>
      <c r="DZ255" s="17"/>
      <c r="EA255" s="17"/>
      <c r="EB255" s="17"/>
      <c r="EC255" s="17"/>
      <c r="ED255" s="17"/>
      <c r="EE255" s="17"/>
      <c r="EF255" s="17"/>
      <c r="EG255" s="17"/>
      <c r="EH255" s="17"/>
      <c r="EI255" s="17"/>
      <c r="EJ255" s="17"/>
      <c r="EK255" s="17"/>
      <c r="EL255" s="17"/>
      <c r="EM255" s="17"/>
      <c r="EN255" s="17"/>
      <c r="EO255" s="17"/>
      <c r="EP255" s="17"/>
      <c r="EQ255" s="17"/>
      <c r="ER255" s="17"/>
      <c r="ES255" s="17"/>
      <c r="ET255" s="17"/>
      <c r="EU255" s="17"/>
      <c r="EV255" s="17"/>
      <c r="EW255" s="17"/>
      <c r="EX255" s="17"/>
      <c r="EY255" s="17"/>
      <c r="EZ255" s="17"/>
      <c r="FA255" s="17"/>
      <c r="FB255" s="17"/>
      <c r="FC255" s="17"/>
      <c r="FD255" s="17"/>
      <c r="FE255" s="17"/>
      <c r="FF255" s="17"/>
      <c r="FG255" s="17"/>
      <c r="FH255" s="17"/>
      <c r="FI255" s="17"/>
      <c r="FJ255" s="17"/>
      <c r="FK255" s="17"/>
      <c r="FL255" s="17"/>
      <c r="FM255" s="17"/>
      <c r="FN255" s="17"/>
      <c r="FO255" s="17"/>
      <c r="FP255" s="17"/>
      <c r="FQ255" s="17"/>
      <c r="FR255" s="17"/>
      <c r="FS255" s="17"/>
      <c r="FT255" s="17"/>
      <c r="FU255" s="17"/>
      <c r="FV255" s="17"/>
      <c r="FW255" s="17"/>
      <c r="FX255" s="17"/>
      <c r="FY255" s="17"/>
      <c r="FZ255" s="17"/>
      <c r="GA255" s="17"/>
      <c r="GB255" s="17"/>
      <c r="GC255" s="17"/>
      <c r="GD255" s="17"/>
      <c r="GE255" s="17"/>
    </row>
    <row r="256" spans="1:187" s="20" customFormat="1" ht="78.75" x14ac:dyDescent="0.25">
      <c r="A256" s="25" t="s">
        <v>144</v>
      </c>
      <c r="B256" s="26">
        <f t="shared" si="382"/>
        <v>551745</v>
      </c>
      <c r="C256" s="26">
        <f t="shared" si="382"/>
        <v>551745</v>
      </c>
      <c r="D256" s="26">
        <f t="shared" si="382"/>
        <v>0</v>
      </c>
      <c r="E256" s="26"/>
      <c r="F256" s="26"/>
      <c r="G256" s="26">
        <f t="shared" si="383"/>
        <v>0</v>
      </c>
      <c r="H256" s="26"/>
      <c r="I256" s="26"/>
      <c r="J256" s="26">
        <f t="shared" si="384"/>
        <v>0</v>
      </c>
      <c r="K256" s="26"/>
      <c r="L256" s="26"/>
      <c r="M256" s="26">
        <f t="shared" si="385"/>
        <v>0</v>
      </c>
      <c r="N256" s="26">
        <v>551745</v>
      </c>
      <c r="O256" s="26">
        <v>551745</v>
      </c>
      <c r="P256" s="26">
        <f t="shared" si="386"/>
        <v>0</v>
      </c>
      <c r="Q256" s="26"/>
      <c r="R256" s="26"/>
      <c r="S256" s="26">
        <f t="shared" si="387"/>
        <v>0</v>
      </c>
      <c r="T256" s="26"/>
      <c r="U256" s="26"/>
      <c r="V256" s="26">
        <f t="shared" si="388"/>
        <v>0</v>
      </c>
      <c r="W256" s="26"/>
      <c r="X256" s="26"/>
      <c r="Y256" s="26">
        <f t="shared" si="389"/>
        <v>0</v>
      </c>
      <c r="Z256" s="26"/>
      <c r="AA256" s="26"/>
      <c r="AB256" s="26">
        <f t="shared" si="390"/>
        <v>0</v>
      </c>
    </row>
    <row r="257" spans="1:188" s="20" customFormat="1" ht="31.5" x14ac:dyDescent="0.25">
      <c r="A257" s="31" t="s">
        <v>145</v>
      </c>
      <c r="B257" s="26">
        <f t="shared" si="382"/>
        <v>2000</v>
      </c>
      <c r="C257" s="26">
        <f t="shared" si="382"/>
        <v>2000</v>
      </c>
      <c r="D257" s="26">
        <f t="shared" si="382"/>
        <v>0</v>
      </c>
      <c r="E257" s="26"/>
      <c r="F257" s="26"/>
      <c r="G257" s="26">
        <f t="shared" si="383"/>
        <v>0</v>
      </c>
      <c r="H257" s="26"/>
      <c r="I257" s="26"/>
      <c r="J257" s="26">
        <f t="shared" si="384"/>
        <v>0</v>
      </c>
      <c r="K257" s="26"/>
      <c r="L257" s="26"/>
      <c r="M257" s="26">
        <f t="shared" si="385"/>
        <v>0</v>
      </c>
      <c r="N257" s="26">
        <v>0</v>
      </c>
      <c r="O257" s="26">
        <v>0</v>
      </c>
      <c r="P257" s="26">
        <f t="shared" si="386"/>
        <v>0</v>
      </c>
      <c r="Q257" s="26">
        <v>2000</v>
      </c>
      <c r="R257" s="26">
        <v>2000</v>
      </c>
      <c r="S257" s="26">
        <f t="shared" si="387"/>
        <v>0</v>
      </c>
      <c r="T257" s="26"/>
      <c r="U257" s="26"/>
      <c r="V257" s="26">
        <f t="shared" si="388"/>
        <v>0</v>
      </c>
      <c r="W257" s="26"/>
      <c r="X257" s="26"/>
      <c r="Y257" s="26">
        <f t="shared" si="389"/>
        <v>0</v>
      </c>
      <c r="Z257" s="26"/>
      <c r="AA257" s="26"/>
      <c r="AB257" s="26">
        <f t="shared" si="390"/>
        <v>0</v>
      </c>
    </row>
    <row r="258" spans="1:188" s="20" customFormat="1" x14ac:dyDescent="0.25">
      <c r="A258" s="18" t="s">
        <v>80</v>
      </c>
      <c r="B258" s="19">
        <f t="shared" si="382"/>
        <v>391531</v>
      </c>
      <c r="C258" s="19">
        <f t="shared" si="382"/>
        <v>400531</v>
      </c>
      <c r="D258" s="19">
        <f t="shared" si="382"/>
        <v>9000</v>
      </c>
      <c r="E258" s="19">
        <f t="shared" ref="E258" si="402">SUM(E259:E261)</f>
        <v>0</v>
      </c>
      <c r="F258" s="19">
        <f t="shared" ref="F258:AA258" si="403">SUM(F259:F261)</f>
        <v>0</v>
      </c>
      <c r="G258" s="19">
        <f t="shared" si="383"/>
        <v>0</v>
      </c>
      <c r="H258" s="19">
        <f t="shared" ref="H258" si="404">SUM(H259:H261)</f>
        <v>0</v>
      </c>
      <c r="I258" s="19">
        <f t="shared" si="403"/>
        <v>0</v>
      </c>
      <c r="J258" s="19">
        <f t="shared" si="384"/>
        <v>0</v>
      </c>
      <c r="K258" s="19">
        <f t="shared" ref="K258" si="405">SUM(K259:K261)</f>
        <v>35731</v>
      </c>
      <c r="L258" s="19">
        <f t="shared" si="403"/>
        <v>44731</v>
      </c>
      <c r="M258" s="19">
        <f t="shared" si="385"/>
        <v>9000</v>
      </c>
      <c r="N258" s="19">
        <f t="shared" ref="N258" si="406">SUM(N259:N261)</f>
        <v>0</v>
      </c>
      <c r="O258" s="19">
        <f t="shared" si="403"/>
        <v>0</v>
      </c>
      <c r="P258" s="19">
        <f t="shared" si="386"/>
        <v>0</v>
      </c>
      <c r="Q258" s="19">
        <f t="shared" ref="Q258" si="407">SUM(Q259:Q261)</f>
        <v>0</v>
      </c>
      <c r="R258" s="19">
        <f t="shared" si="403"/>
        <v>0</v>
      </c>
      <c r="S258" s="19">
        <f t="shared" si="387"/>
        <v>0</v>
      </c>
      <c r="T258" s="19">
        <f t="shared" ref="T258" si="408">SUM(T259:T261)</f>
        <v>177000</v>
      </c>
      <c r="U258" s="19">
        <f t="shared" si="403"/>
        <v>177000</v>
      </c>
      <c r="V258" s="19">
        <f t="shared" si="388"/>
        <v>0</v>
      </c>
      <c r="W258" s="19">
        <f t="shared" ref="W258" si="409">SUM(W259:W261)</f>
        <v>0</v>
      </c>
      <c r="X258" s="19">
        <f t="shared" si="403"/>
        <v>0</v>
      </c>
      <c r="Y258" s="19">
        <f t="shared" si="389"/>
        <v>0</v>
      </c>
      <c r="Z258" s="19">
        <f t="shared" ref="Z258" si="410">SUM(Z259:Z261)</f>
        <v>178800</v>
      </c>
      <c r="AA258" s="19">
        <f t="shared" si="403"/>
        <v>178800</v>
      </c>
      <c r="AB258" s="19">
        <f t="shared" si="390"/>
        <v>0</v>
      </c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  <c r="DV258" s="17"/>
      <c r="DW258" s="17"/>
      <c r="DX258" s="17"/>
      <c r="DY258" s="17"/>
      <c r="DZ258" s="17"/>
      <c r="EA258" s="17"/>
      <c r="EB258" s="17"/>
      <c r="EC258" s="17"/>
      <c r="ED258" s="17"/>
      <c r="EE258" s="17"/>
      <c r="EF258" s="17"/>
      <c r="EG258" s="17"/>
      <c r="EH258" s="17"/>
      <c r="EI258" s="17"/>
      <c r="EJ258" s="17"/>
      <c r="EK258" s="17"/>
      <c r="EL258" s="17"/>
      <c r="EM258" s="17"/>
      <c r="EN258" s="17"/>
      <c r="EO258" s="17"/>
      <c r="EP258" s="17"/>
      <c r="EQ258" s="17"/>
      <c r="ER258" s="17"/>
      <c r="ES258" s="17"/>
      <c r="ET258" s="17"/>
      <c r="EU258" s="17"/>
      <c r="EV258" s="17"/>
      <c r="EW258" s="17"/>
      <c r="EX258" s="17"/>
      <c r="EY258" s="17"/>
      <c r="EZ258" s="17"/>
      <c r="FA258" s="17"/>
      <c r="FB258" s="17"/>
      <c r="FC258" s="17"/>
      <c r="FD258" s="17"/>
      <c r="FE258" s="17"/>
      <c r="FF258" s="17"/>
      <c r="FG258" s="17"/>
      <c r="FH258" s="17"/>
      <c r="FI258" s="17"/>
      <c r="FJ258" s="17"/>
      <c r="FK258" s="17"/>
      <c r="FL258" s="17"/>
      <c r="FM258" s="17"/>
      <c r="FN258" s="17"/>
      <c r="FO258" s="17"/>
      <c r="FP258" s="17"/>
      <c r="FQ258" s="17"/>
      <c r="FR258" s="17"/>
      <c r="FS258" s="17"/>
      <c r="FT258" s="17"/>
      <c r="FU258" s="17"/>
      <c r="FV258" s="17"/>
      <c r="FW258" s="17"/>
      <c r="FX258" s="17"/>
      <c r="FY258" s="17"/>
      <c r="FZ258" s="17"/>
      <c r="GA258" s="17"/>
      <c r="GB258" s="17"/>
      <c r="GC258" s="17"/>
      <c r="GD258" s="17"/>
      <c r="GE258" s="17"/>
    </row>
    <row r="259" spans="1:188" s="20" customFormat="1" ht="31.5" x14ac:dyDescent="0.25">
      <c r="A259" s="22" t="s">
        <v>146</v>
      </c>
      <c r="B259" s="26">
        <f t="shared" si="382"/>
        <v>35731</v>
      </c>
      <c r="C259" s="26">
        <f t="shared" si="382"/>
        <v>35731</v>
      </c>
      <c r="D259" s="26">
        <f t="shared" si="382"/>
        <v>0</v>
      </c>
      <c r="E259" s="26"/>
      <c r="F259" s="26"/>
      <c r="G259" s="26">
        <f t="shared" si="383"/>
        <v>0</v>
      </c>
      <c r="H259" s="26"/>
      <c r="I259" s="26"/>
      <c r="J259" s="26">
        <f t="shared" si="384"/>
        <v>0</v>
      </c>
      <c r="K259" s="26">
        <f>13563+22168</f>
        <v>35731</v>
      </c>
      <c r="L259" s="26">
        <f>13563+22168</f>
        <v>35731</v>
      </c>
      <c r="M259" s="26">
        <f t="shared" si="385"/>
        <v>0</v>
      </c>
      <c r="N259" s="26"/>
      <c r="O259" s="26"/>
      <c r="P259" s="26">
        <f t="shared" si="386"/>
        <v>0</v>
      </c>
      <c r="Q259" s="26"/>
      <c r="R259" s="26"/>
      <c r="S259" s="26">
        <f t="shared" si="387"/>
        <v>0</v>
      </c>
      <c r="T259" s="26"/>
      <c r="U259" s="26"/>
      <c r="V259" s="26">
        <f t="shared" si="388"/>
        <v>0</v>
      </c>
      <c r="W259" s="26"/>
      <c r="X259" s="26"/>
      <c r="Y259" s="26">
        <f t="shared" si="389"/>
        <v>0</v>
      </c>
      <c r="Z259" s="26"/>
      <c r="AA259" s="26"/>
      <c r="AB259" s="26">
        <f t="shared" si="390"/>
        <v>0</v>
      </c>
      <c r="FL259" s="17"/>
      <c r="FM259" s="17"/>
      <c r="FN259" s="17"/>
      <c r="FO259" s="17"/>
      <c r="FP259" s="17"/>
      <c r="FQ259" s="17"/>
      <c r="FR259" s="17"/>
      <c r="FS259" s="17"/>
      <c r="FT259" s="17"/>
      <c r="FU259" s="17"/>
      <c r="FV259" s="17"/>
      <c r="FW259" s="17"/>
      <c r="FX259" s="17"/>
      <c r="FY259" s="17"/>
      <c r="FZ259" s="17"/>
      <c r="GA259" s="17"/>
      <c r="GB259" s="17"/>
      <c r="GC259" s="17"/>
      <c r="GD259" s="17"/>
      <c r="GE259" s="17"/>
    </row>
    <row r="260" spans="1:188" s="20" customFormat="1" x14ac:dyDescent="0.25">
      <c r="A260" s="22" t="s">
        <v>252</v>
      </c>
      <c r="B260" s="26">
        <f t="shared" ref="B260" si="411">E260+H260+K260+N260+Q260+T260+W260+Z260</f>
        <v>0</v>
      </c>
      <c r="C260" s="26">
        <f t="shared" ref="C260" si="412">F260+I260+L260+O260+R260+U260+X260+AA260</f>
        <v>9000</v>
      </c>
      <c r="D260" s="26">
        <f t="shared" ref="D260" si="413">G260+J260+M260+P260+S260+V260+Y260+AB260</f>
        <v>9000</v>
      </c>
      <c r="E260" s="26"/>
      <c r="F260" s="26"/>
      <c r="G260" s="26">
        <f t="shared" ref="G260" si="414">F260-E260</f>
        <v>0</v>
      </c>
      <c r="H260" s="26"/>
      <c r="I260" s="26"/>
      <c r="J260" s="26">
        <f t="shared" ref="J260" si="415">I260-H260</f>
        <v>0</v>
      </c>
      <c r="K260" s="26">
        <v>0</v>
      </c>
      <c r="L260" s="26">
        <v>9000</v>
      </c>
      <c r="M260" s="26">
        <f t="shared" ref="M260" si="416">L260-K260</f>
        <v>9000</v>
      </c>
      <c r="N260" s="26"/>
      <c r="O260" s="26"/>
      <c r="P260" s="26">
        <f t="shared" ref="P260" si="417">O260-N260</f>
        <v>0</v>
      </c>
      <c r="Q260" s="26"/>
      <c r="R260" s="26"/>
      <c r="S260" s="26">
        <f t="shared" ref="S260" si="418">R260-Q260</f>
        <v>0</v>
      </c>
      <c r="T260" s="26"/>
      <c r="U260" s="26"/>
      <c r="V260" s="26">
        <f t="shared" ref="V260" si="419">U260-T260</f>
        <v>0</v>
      </c>
      <c r="W260" s="26"/>
      <c r="X260" s="26"/>
      <c r="Y260" s="26">
        <f t="shared" ref="Y260" si="420">X260-W260</f>
        <v>0</v>
      </c>
      <c r="Z260" s="26"/>
      <c r="AA260" s="26"/>
      <c r="AB260" s="26">
        <f t="shared" ref="AB260" si="421">AA260-Z260</f>
        <v>0</v>
      </c>
      <c r="FL260" s="17"/>
      <c r="FM260" s="17"/>
      <c r="FN260" s="17"/>
      <c r="FO260" s="17"/>
      <c r="FP260" s="17"/>
      <c r="FQ260" s="17"/>
      <c r="FR260" s="17"/>
      <c r="FS260" s="17"/>
      <c r="FT260" s="17"/>
      <c r="FU260" s="17"/>
      <c r="FV260" s="17"/>
      <c r="FW260" s="17"/>
      <c r="FX260" s="17"/>
      <c r="FY260" s="17"/>
      <c r="FZ260" s="17"/>
      <c r="GA260" s="17"/>
      <c r="GB260" s="17"/>
      <c r="GC260" s="17"/>
      <c r="GD260" s="17"/>
      <c r="GE260" s="17"/>
    </row>
    <row r="261" spans="1:188" s="20" customFormat="1" ht="31.5" x14ac:dyDescent="0.25">
      <c r="A261" s="25" t="s">
        <v>147</v>
      </c>
      <c r="B261" s="26">
        <f t="shared" si="382"/>
        <v>355800</v>
      </c>
      <c r="C261" s="26">
        <f t="shared" si="382"/>
        <v>355800</v>
      </c>
      <c r="D261" s="26">
        <f t="shared" si="382"/>
        <v>0</v>
      </c>
      <c r="E261" s="26">
        <f>177000-177000</f>
        <v>0</v>
      </c>
      <c r="F261" s="26">
        <f>177000-177000</f>
        <v>0</v>
      </c>
      <c r="G261" s="26">
        <f t="shared" si="383"/>
        <v>0</v>
      </c>
      <c r="H261" s="26"/>
      <c r="I261" s="26"/>
      <c r="J261" s="26">
        <f t="shared" si="384"/>
        <v>0</v>
      </c>
      <c r="K261" s="26">
        <v>0</v>
      </c>
      <c r="L261" s="26">
        <v>0</v>
      </c>
      <c r="M261" s="26">
        <f t="shared" si="385"/>
        <v>0</v>
      </c>
      <c r="N261" s="26"/>
      <c r="O261" s="26"/>
      <c r="P261" s="26">
        <f t="shared" si="386"/>
        <v>0</v>
      </c>
      <c r="Q261" s="26"/>
      <c r="R261" s="26"/>
      <c r="S261" s="26">
        <f t="shared" si="387"/>
        <v>0</v>
      </c>
      <c r="T261" s="26">
        <f>177000</f>
        <v>177000</v>
      </c>
      <c r="U261" s="26">
        <f>177000</f>
        <v>177000</v>
      </c>
      <c r="V261" s="26">
        <f t="shared" si="388"/>
        <v>0</v>
      </c>
      <c r="W261" s="26"/>
      <c r="X261" s="26"/>
      <c r="Y261" s="26">
        <f t="shared" si="389"/>
        <v>0</v>
      </c>
      <c r="Z261" s="26">
        <v>178800</v>
      </c>
      <c r="AA261" s="26">
        <v>178800</v>
      </c>
      <c r="AB261" s="26">
        <f t="shared" si="390"/>
        <v>0</v>
      </c>
      <c r="FL261" s="17"/>
      <c r="FM261" s="17"/>
      <c r="FN261" s="17"/>
      <c r="FO261" s="17"/>
      <c r="FP261" s="17"/>
      <c r="FQ261" s="17"/>
      <c r="FR261" s="17"/>
      <c r="FS261" s="17"/>
      <c r="FT261" s="17"/>
      <c r="FU261" s="17"/>
      <c r="FV261" s="17"/>
      <c r="FW261" s="17"/>
      <c r="FX261" s="17"/>
      <c r="FY261" s="17"/>
      <c r="FZ261" s="17"/>
      <c r="GA261" s="17"/>
      <c r="GB261" s="17"/>
      <c r="GC261" s="17"/>
      <c r="GD261" s="17"/>
      <c r="GE261" s="17"/>
    </row>
    <row r="262" spans="1:188" s="20" customFormat="1" x14ac:dyDescent="0.25">
      <c r="A262" s="18" t="s">
        <v>148</v>
      </c>
      <c r="B262" s="19">
        <f t="shared" si="382"/>
        <v>30000</v>
      </c>
      <c r="C262" s="19">
        <f t="shared" si="382"/>
        <v>30000</v>
      </c>
      <c r="D262" s="19">
        <f t="shared" si="382"/>
        <v>0</v>
      </c>
      <c r="E262" s="19">
        <f t="shared" ref="E262:AA262" si="422">SUM(E263:E263)</f>
        <v>0</v>
      </c>
      <c r="F262" s="19">
        <f t="shared" si="422"/>
        <v>0</v>
      </c>
      <c r="G262" s="19">
        <f t="shared" si="383"/>
        <v>0</v>
      </c>
      <c r="H262" s="19">
        <f t="shared" si="422"/>
        <v>0</v>
      </c>
      <c r="I262" s="19">
        <f t="shared" si="422"/>
        <v>0</v>
      </c>
      <c r="J262" s="19">
        <f t="shared" si="384"/>
        <v>0</v>
      </c>
      <c r="K262" s="19">
        <f t="shared" si="422"/>
        <v>30000</v>
      </c>
      <c r="L262" s="19">
        <f t="shared" si="422"/>
        <v>30000</v>
      </c>
      <c r="M262" s="19">
        <f t="shared" si="385"/>
        <v>0</v>
      </c>
      <c r="N262" s="19">
        <f t="shared" si="422"/>
        <v>0</v>
      </c>
      <c r="O262" s="19">
        <f t="shared" si="422"/>
        <v>0</v>
      </c>
      <c r="P262" s="19">
        <f t="shared" si="386"/>
        <v>0</v>
      </c>
      <c r="Q262" s="19">
        <f t="shared" si="422"/>
        <v>0</v>
      </c>
      <c r="R262" s="19">
        <f t="shared" si="422"/>
        <v>0</v>
      </c>
      <c r="S262" s="19">
        <f t="shared" si="387"/>
        <v>0</v>
      </c>
      <c r="T262" s="19">
        <f t="shared" si="422"/>
        <v>0</v>
      </c>
      <c r="U262" s="19">
        <f t="shared" si="422"/>
        <v>0</v>
      </c>
      <c r="V262" s="19">
        <f t="shared" si="388"/>
        <v>0</v>
      </c>
      <c r="W262" s="19">
        <f t="shared" si="422"/>
        <v>0</v>
      </c>
      <c r="X262" s="19">
        <f t="shared" si="422"/>
        <v>0</v>
      </c>
      <c r="Y262" s="19">
        <f t="shared" si="389"/>
        <v>0</v>
      </c>
      <c r="Z262" s="19">
        <f t="shared" si="422"/>
        <v>0</v>
      </c>
      <c r="AA262" s="19">
        <f t="shared" si="422"/>
        <v>0</v>
      </c>
      <c r="AB262" s="19">
        <f t="shared" si="390"/>
        <v>0</v>
      </c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  <c r="EY262" s="17"/>
      <c r="EZ262" s="17"/>
      <c r="FA262" s="17"/>
      <c r="FB262" s="17"/>
      <c r="FC262" s="17"/>
      <c r="FD262" s="17"/>
      <c r="FE262" s="17"/>
      <c r="FF262" s="17"/>
      <c r="FG262" s="17"/>
      <c r="FH262" s="17"/>
      <c r="FI262" s="17"/>
      <c r="FJ262" s="17"/>
      <c r="FK262" s="17"/>
      <c r="FL262" s="17"/>
      <c r="FM262" s="17"/>
      <c r="FN262" s="17"/>
      <c r="FO262" s="17"/>
      <c r="FP262" s="17"/>
      <c r="FQ262" s="17"/>
      <c r="FR262" s="17"/>
      <c r="FS262" s="17"/>
      <c r="FT262" s="17"/>
      <c r="FU262" s="17"/>
      <c r="FV262" s="17"/>
      <c r="FW262" s="17"/>
      <c r="FX262" s="17"/>
      <c r="FY262" s="17"/>
      <c r="FZ262" s="17"/>
      <c r="GA262" s="17"/>
      <c r="GB262" s="17"/>
      <c r="GC262" s="17"/>
      <c r="GD262" s="17"/>
      <c r="GE262" s="17"/>
    </row>
    <row r="263" spans="1:188" s="20" customFormat="1" ht="63" x14ac:dyDescent="0.25">
      <c r="A263" s="25" t="s">
        <v>149</v>
      </c>
      <c r="B263" s="26">
        <f t="shared" si="382"/>
        <v>30000</v>
      </c>
      <c r="C263" s="26">
        <f t="shared" si="382"/>
        <v>30000</v>
      </c>
      <c r="D263" s="26">
        <f t="shared" si="382"/>
        <v>0</v>
      </c>
      <c r="E263" s="26"/>
      <c r="F263" s="26"/>
      <c r="G263" s="26">
        <f t="shared" si="383"/>
        <v>0</v>
      </c>
      <c r="H263" s="26"/>
      <c r="I263" s="26"/>
      <c r="J263" s="26">
        <f t="shared" si="384"/>
        <v>0</v>
      </c>
      <c r="K263" s="26">
        <v>30000</v>
      </c>
      <c r="L263" s="26">
        <v>30000</v>
      </c>
      <c r="M263" s="26">
        <f t="shared" si="385"/>
        <v>0</v>
      </c>
      <c r="N263" s="26"/>
      <c r="O263" s="26"/>
      <c r="P263" s="26">
        <f t="shared" si="386"/>
        <v>0</v>
      </c>
      <c r="Q263" s="26"/>
      <c r="R263" s="26"/>
      <c r="S263" s="26">
        <f t="shared" si="387"/>
        <v>0</v>
      </c>
      <c r="T263" s="26"/>
      <c r="U263" s="26"/>
      <c r="V263" s="26">
        <f t="shared" si="388"/>
        <v>0</v>
      </c>
      <c r="W263" s="26"/>
      <c r="X263" s="26"/>
      <c r="Y263" s="26">
        <f t="shared" si="389"/>
        <v>0</v>
      </c>
      <c r="Z263" s="26"/>
      <c r="AA263" s="26"/>
      <c r="AB263" s="26">
        <f t="shared" si="390"/>
        <v>0</v>
      </c>
      <c r="FL263" s="17"/>
      <c r="FM263" s="17"/>
      <c r="FN263" s="17"/>
      <c r="FO263" s="17"/>
      <c r="FP263" s="17"/>
      <c r="FQ263" s="17"/>
      <c r="FR263" s="17"/>
      <c r="FS263" s="17"/>
      <c r="FT263" s="17"/>
      <c r="FU263" s="17"/>
      <c r="FV263" s="17"/>
      <c r="FW263" s="17"/>
      <c r="FX263" s="17"/>
      <c r="FY263" s="17"/>
      <c r="FZ263" s="17"/>
      <c r="GA263" s="17"/>
      <c r="GB263" s="17"/>
      <c r="GC263" s="17"/>
      <c r="GD263" s="17"/>
      <c r="GE263" s="17"/>
    </row>
    <row r="264" spans="1:188" s="20" customFormat="1" x14ac:dyDescent="0.25">
      <c r="A264" s="18" t="s">
        <v>69</v>
      </c>
      <c r="B264" s="19">
        <f t="shared" si="382"/>
        <v>4273515</v>
      </c>
      <c r="C264" s="19">
        <f t="shared" si="382"/>
        <v>2807173</v>
      </c>
      <c r="D264" s="19">
        <f t="shared" si="382"/>
        <v>-1466342</v>
      </c>
      <c r="E264" s="19">
        <f>SUM(E265,E267,E269,E273)</f>
        <v>1077036</v>
      </c>
      <c r="F264" s="19">
        <f>SUM(F265,F267,F269,F273)</f>
        <v>62356</v>
      </c>
      <c r="G264" s="19">
        <f t="shared" si="383"/>
        <v>-1014680</v>
      </c>
      <c r="H264" s="19">
        <f t="shared" ref="H264:I264" si="423">SUM(H265,H267,H269,H273)</f>
        <v>0</v>
      </c>
      <c r="I264" s="19">
        <f t="shared" si="423"/>
        <v>0</v>
      </c>
      <c r="J264" s="19">
        <f t="shared" si="384"/>
        <v>0</v>
      </c>
      <c r="K264" s="19">
        <f t="shared" ref="K264:L264" si="424">SUM(K265,K267,K269,K273)</f>
        <v>95510</v>
      </c>
      <c r="L264" s="19">
        <f t="shared" si="424"/>
        <v>95510</v>
      </c>
      <c r="M264" s="19">
        <f t="shared" si="385"/>
        <v>0</v>
      </c>
      <c r="N264" s="19">
        <f t="shared" ref="N264:O264" si="425">SUM(N265,N267,N269,N273)</f>
        <v>3100969</v>
      </c>
      <c r="O264" s="19">
        <f t="shared" si="425"/>
        <v>2649307</v>
      </c>
      <c r="P264" s="19">
        <f t="shared" si="386"/>
        <v>-451662</v>
      </c>
      <c r="Q264" s="19">
        <f t="shared" ref="Q264:R264" si="426">SUM(Q265,Q267,Q269,Q273)</f>
        <v>0</v>
      </c>
      <c r="R264" s="19">
        <f t="shared" si="426"/>
        <v>0</v>
      </c>
      <c r="S264" s="19">
        <f t="shared" si="387"/>
        <v>0</v>
      </c>
      <c r="T264" s="19">
        <f t="shared" ref="T264:U264" si="427">SUM(T265,T267,T269,T273)</f>
        <v>0</v>
      </c>
      <c r="U264" s="19">
        <f t="shared" si="427"/>
        <v>0</v>
      </c>
      <c r="V264" s="19">
        <f t="shared" si="388"/>
        <v>0</v>
      </c>
      <c r="W264" s="19">
        <f t="shared" ref="W264:X264" si="428">SUM(W265,W267,W269,W273)</f>
        <v>0</v>
      </c>
      <c r="X264" s="19">
        <f t="shared" si="428"/>
        <v>0</v>
      </c>
      <c r="Y264" s="19">
        <f t="shared" si="389"/>
        <v>0</v>
      </c>
      <c r="Z264" s="19">
        <f t="shared" ref="Z264:AA264" si="429">SUM(Z265,Z267,Z269,Z273)</f>
        <v>0</v>
      </c>
      <c r="AA264" s="19">
        <f t="shared" si="429"/>
        <v>0</v>
      </c>
      <c r="AB264" s="19">
        <f t="shared" si="390"/>
        <v>0</v>
      </c>
      <c r="FL264" s="17"/>
      <c r="FM264" s="17"/>
      <c r="FN264" s="17"/>
      <c r="FO264" s="17"/>
      <c r="FP264" s="17"/>
      <c r="FQ264" s="17"/>
      <c r="FR264" s="17"/>
      <c r="FS264" s="17"/>
      <c r="FT264" s="17"/>
      <c r="FU264" s="17"/>
      <c r="FV264" s="17"/>
      <c r="FW264" s="17"/>
      <c r="FX264" s="17"/>
      <c r="FY264" s="17"/>
      <c r="FZ264" s="17"/>
      <c r="GA264" s="17"/>
      <c r="GB264" s="17"/>
      <c r="GC264" s="17"/>
      <c r="GD264" s="17"/>
      <c r="GE264" s="17"/>
    </row>
    <row r="265" spans="1:188" s="20" customFormat="1" x14ac:dyDescent="0.25">
      <c r="A265" s="18" t="s">
        <v>72</v>
      </c>
      <c r="B265" s="19">
        <f t="shared" si="382"/>
        <v>0</v>
      </c>
      <c r="C265" s="19">
        <f t="shared" si="382"/>
        <v>80100</v>
      </c>
      <c r="D265" s="19">
        <f t="shared" si="382"/>
        <v>80100</v>
      </c>
      <c r="E265" s="19">
        <f>SUM(E266)</f>
        <v>0</v>
      </c>
      <c r="F265" s="19">
        <f>SUM(F266)</f>
        <v>0</v>
      </c>
      <c r="G265" s="19">
        <f t="shared" si="383"/>
        <v>0</v>
      </c>
      <c r="H265" s="19">
        <f t="shared" ref="H265:I265" si="430">SUM(H266)</f>
        <v>0</v>
      </c>
      <c r="I265" s="19">
        <f t="shared" si="430"/>
        <v>0</v>
      </c>
      <c r="J265" s="19">
        <f t="shared" si="384"/>
        <v>0</v>
      </c>
      <c r="K265" s="19">
        <f t="shared" ref="K265:L265" si="431">SUM(K266)</f>
        <v>0</v>
      </c>
      <c r="L265" s="19">
        <f t="shared" si="431"/>
        <v>0</v>
      </c>
      <c r="M265" s="19">
        <f t="shared" si="385"/>
        <v>0</v>
      </c>
      <c r="N265" s="19">
        <f t="shared" ref="N265:O265" si="432">SUM(N266)</f>
        <v>0</v>
      </c>
      <c r="O265" s="19">
        <f t="shared" si="432"/>
        <v>80100</v>
      </c>
      <c r="P265" s="19">
        <f t="shared" si="386"/>
        <v>80100</v>
      </c>
      <c r="Q265" s="19">
        <f t="shared" ref="Q265:R265" si="433">SUM(Q266)</f>
        <v>0</v>
      </c>
      <c r="R265" s="19">
        <f t="shared" si="433"/>
        <v>0</v>
      </c>
      <c r="S265" s="19">
        <f t="shared" si="387"/>
        <v>0</v>
      </c>
      <c r="T265" s="19">
        <f t="shared" ref="T265:U265" si="434">SUM(T266)</f>
        <v>0</v>
      </c>
      <c r="U265" s="19">
        <f t="shared" si="434"/>
        <v>0</v>
      </c>
      <c r="V265" s="19">
        <f t="shared" si="388"/>
        <v>0</v>
      </c>
      <c r="W265" s="19">
        <f t="shared" ref="W265:X265" si="435">SUM(W266)</f>
        <v>0</v>
      </c>
      <c r="X265" s="19">
        <f t="shared" si="435"/>
        <v>0</v>
      </c>
      <c r="Y265" s="19">
        <f t="shared" si="389"/>
        <v>0</v>
      </c>
      <c r="Z265" s="19">
        <f t="shared" ref="Z265:AA265" si="436">SUM(Z266)</f>
        <v>0</v>
      </c>
      <c r="AA265" s="19">
        <f t="shared" si="436"/>
        <v>0</v>
      </c>
      <c r="AB265" s="19">
        <f t="shared" si="390"/>
        <v>0</v>
      </c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  <c r="EY265" s="17"/>
      <c r="EZ265" s="17"/>
      <c r="FA265" s="17"/>
      <c r="FB265" s="17"/>
      <c r="FC265" s="17"/>
      <c r="FD265" s="17"/>
      <c r="FE265" s="17"/>
      <c r="FF265" s="17"/>
      <c r="FG265" s="17"/>
      <c r="FH265" s="17"/>
      <c r="FI265" s="17"/>
      <c r="FJ265" s="17"/>
      <c r="FK265" s="17"/>
      <c r="FL265" s="17"/>
      <c r="FM265" s="17"/>
      <c r="FN265" s="17"/>
      <c r="FO265" s="17"/>
      <c r="FP265" s="17"/>
      <c r="FQ265" s="17"/>
      <c r="FR265" s="17"/>
      <c r="FS265" s="17"/>
      <c r="FT265" s="17"/>
      <c r="FU265" s="17"/>
      <c r="FV265" s="17"/>
      <c r="FW265" s="17"/>
      <c r="FX265" s="17"/>
      <c r="FY265" s="17"/>
      <c r="FZ265" s="17"/>
      <c r="GA265" s="17"/>
      <c r="GB265" s="17"/>
      <c r="GC265" s="17"/>
      <c r="GD265" s="17"/>
      <c r="GE265" s="17"/>
    </row>
    <row r="266" spans="1:188" s="20" customFormat="1" ht="78.75" x14ac:dyDescent="0.25">
      <c r="A266" s="25" t="s">
        <v>254</v>
      </c>
      <c r="B266" s="26">
        <f t="shared" ref="B266" si="437">E266+H266+K266+N266+Q266+T266+W266+Z266</f>
        <v>0</v>
      </c>
      <c r="C266" s="26">
        <f t="shared" ref="C266" si="438">F266+I266+L266+O266+R266+U266+X266+AA266</f>
        <v>80100</v>
      </c>
      <c r="D266" s="26">
        <f t="shared" ref="D266" si="439">G266+J266+M266+P266+S266+V266+Y266+AB266</f>
        <v>80100</v>
      </c>
      <c r="E266" s="26"/>
      <c r="F266" s="26"/>
      <c r="G266" s="26">
        <f t="shared" ref="G266" si="440">F266-E266</f>
        <v>0</v>
      </c>
      <c r="H266" s="26"/>
      <c r="I266" s="26"/>
      <c r="J266" s="26">
        <f t="shared" ref="J266" si="441">I266-H266</f>
        <v>0</v>
      </c>
      <c r="K266" s="26"/>
      <c r="L266" s="26"/>
      <c r="M266" s="26">
        <f t="shared" ref="M266" si="442">L266-K266</f>
        <v>0</v>
      </c>
      <c r="N266" s="26"/>
      <c r="O266" s="26">
        <v>80100</v>
      </c>
      <c r="P266" s="26">
        <f t="shared" ref="P266" si="443">O266-N266</f>
        <v>80100</v>
      </c>
      <c r="Q266" s="26"/>
      <c r="R266" s="26"/>
      <c r="S266" s="26">
        <f t="shared" ref="S266" si="444">R266-Q266</f>
        <v>0</v>
      </c>
      <c r="T266" s="26"/>
      <c r="U266" s="26"/>
      <c r="V266" s="26">
        <f t="shared" ref="V266" si="445">U266-T266</f>
        <v>0</v>
      </c>
      <c r="W266" s="26"/>
      <c r="X266" s="26"/>
      <c r="Y266" s="26">
        <f t="shared" ref="Y266" si="446">X266-W266</f>
        <v>0</v>
      </c>
      <c r="Z266" s="26"/>
      <c r="AA266" s="26"/>
      <c r="AB266" s="26">
        <f t="shared" ref="AB266" si="447">AA266-Z266</f>
        <v>0</v>
      </c>
      <c r="FL266" s="17"/>
      <c r="FM266" s="17"/>
      <c r="FN266" s="17"/>
      <c r="FO266" s="17"/>
      <c r="FP266" s="17"/>
      <c r="FQ266" s="17"/>
      <c r="FR266" s="17"/>
      <c r="FS266" s="17"/>
      <c r="FT266" s="17"/>
      <c r="FU266" s="17"/>
      <c r="FV266" s="17"/>
      <c r="FW266" s="17"/>
      <c r="FX266" s="17"/>
      <c r="FY266" s="17"/>
      <c r="FZ266" s="17"/>
      <c r="GA266" s="17"/>
      <c r="GB266" s="17"/>
      <c r="GC266" s="17"/>
      <c r="GD266" s="17"/>
      <c r="GE266" s="17"/>
    </row>
    <row r="267" spans="1:188" s="20" customFormat="1" ht="31.5" x14ac:dyDescent="0.25">
      <c r="A267" s="18" t="s">
        <v>76</v>
      </c>
      <c r="B267" s="19">
        <f t="shared" si="382"/>
        <v>1231273</v>
      </c>
      <c r="C267" s="19">
        <f t="shared" si="382"/>
        <v>568611</v>
      </c>
      <c r="D267" s="19">
        <f t="shared" si="382"/>
        <v>-662662</v>
      </c>
      <c r="E267" s="19">
        <f t="shared" ref="E267:AA267" si="448">SUM(E268:E268)</f>
        <v>0</v>
      </c>
      <c r="F267" s="19">
        <f t="shared" si="448"/>
        <v>0</v>
      </c>
      <c r="G267" s="19">
        <f t="shared" si="383"/>
        <v>0</v>
      </c>
      <c r="H267" s="19">
        <f t="shared" si="448"/>
        <v>0</v>
      </c>
      <c r="I267" s="19">
        <f t="shared" si="448"/>
        <v>0</v>
      </c>
      <c r="J267" s="19">
        <f t="shared" si="384"/>
        <v>0</v>
      </c>
      <c r="K267" s="19">
        <f t="shared" si="448"/>
        <v>0</v>
      </c>
      <c r="L267" s="19">
        <f t="shared" si="448"/>
        <v>0</v>
      </c>
      <c r="M267" s="19">
        <f t="shared" si="385"/>
        <v>0</v>
      </c>
      <c r="N267" s="19">
        <f t="shared" si="448"/>
        <v>1231273</v>
      </c>
      <c r="O267" s="19">
        <f t="shared" si="448"/>
        <v>568611</v>
      </c>
      <c r="P267" s="19">
        <f t="shared" si="386"/>
        <v>-662662</v>
      </c>
      <c r="Q267" s="19">
        <f t="shared" si="448"/>
        <v>0</v>
      </c>
      <c r="R267" s="19">
        <f t="shared" si="448"/>
        <v>0</v>
      </c>
      <c r="S267" s="19">
        <f t="shared" si="387"/>
        <v>0</v>
      </c>
      <c r="T267" s="19">
        <f t="shared" si="448"/>
        <v>0</v>
      </c>
      <c r="U267" s="19">
        <f t="shared" si="448"/>
        <v>0</v>
      </c>
      <c r="V267" s="19">
        <f t="shared" si="388"/>
        <v>0</v>
      </c>
      <c r="W267" s="19">
        <f t="shared" si="448"/>
        <v>0</v>
      </c>
      <c r="X267" s="19">
        <f t="shared" si="448"/>
        <v>0</v>
      </c>
      <c r="Y267" s="19">
        <f t="shared" si="389"/>
        <v>0</v>
      </c>
      <c r="Z267" s="19">
        <f t="shared" si="448"/>
        <v>0</v>
      </c>
      <c r="AA267" s="19">
        <f t="shared" si="448"/>
        <v>0</v>
      </c>
      <c r="AB267" s="19">
        <f t="shared" si="390"/>
        <v>0</v>
      </c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  <c r="FB267" s="17"/>
      <c r="FC267" s="17"/>
      <c r="FD267" s="17"/>
      <c r="FE267" s="17"/>
      <c r="FF267" s="17"/>
      <c r="FG267" s="17"/>
      <c r="FH267" s="17"/>
      <c r="FI267" s="17"/>
      <c r="FJ267" s="17"/>
      <c r="FK267" s="17"/>
    </row>
    <row r="268" spans="1:188" s="20" customFormat="1" ht="78.75" x14ac:dyDescent="0.25">
      <c r="A268" s="25" t="s">
        <v>150</v>
      </c>
      <c r="B268" s="26">
        <f t="shared" si="382"/>
        <v>1231273</v>
      </c>
      <c r="C268" s="26">
        <f t="shared" si="382"/>
        <v>568611</v>
      </c>
      <c r="D268" s="26">
        <f t="shared" si="382"/>
        <v>-662662</v>
      </c>
      <c r="E268" s="26"/>
      <c r="F268" s="26"/>
      <c r="G268" s="26">
        <f t="shared" si="383"/>
        <v>0</v>
      </c>
      <c r="H268" s="26"/>
      <c r="I268" s="26"/>
      <c r="J268" s="26">
        <f t="shared" si="384"/>
        <v>0</v>
      </c>
      <c r="K268" s="26"/>
      <c r="L268" s="26"/>
      <c r="M268" s="26">
        <f t="shared" si="385"/>
        <v>0</v>
      </c>
      <c r="N268" s="26">
        <v>1231273</v>
      </c>
      <c r="O268" s="26">
        <f>1231273-662662</f>
        <v>568611</v>
      </c>
      <c r="P268" s="26">
        <f t="shared" si="386"/>
        <v>-662662</v>
      </c>
      <c r="Q268" s="26"/>
      <c r="R268" s="26"/>
      <c r="S268" s="26">
        <f t="shared" si="387"/>
        <v>0</v>
      </c>
      <c r="T268" s="26"/>
      <c r="U268" s="26"/>
      <c r="V268" s="26">
        <f t="shared" si="388"/>
        <v>0</v>
      </c>
      <c r="W268" s="26"/>
      <c r="X268" s="26"/>
      <c r="Y268" s="26">
        <f t="shared" si="389"/>
        <v>0</v>
      </c>
      <c r="Z268" s="26"/>
      <c r="AA268" s="26"/>
      <c r="AB268" s="26">
        <f t="shared" si="390"/>
        <v>0</v>
      </c>
      <c r="FL268" s="17"/>
      <c r="FM268" s="17"/>
      <c r="FN268" s="17"/>
      <c r="FO268" s="17"/>
      <c r="FP268" s="17"/>
      <c r="FQ268" s="17"/>
      <c r="FR268" s="17"/>
      <c r="FS268" s="17"/>
      <c r="FT268" s="17"/>
      <c r="FU268" s="17"/>
      <c r="FV268" s="17"/>
      <c r="FW268" s="17"/>
      <c r="FX268" s="17"/>
      <c r="FY268" s="17"/>
      <c r="FZ268" s="17"/>
      <c r="GA268" s="17"/>
      <c r="GB268" s="17"/>
      <c r="GC268" s="17"/>
      <c r="GD268" s="17"/>
      <c r="GE268" s="17"/>
    </row>
    <row r="269" spans="1:188" s="20" customFormat="1" x14ac:dyDescent="0.25">
      <c r="A269" s="18" t="s">
        <v>80</v>
      </c>
      <c r="B269" s="19">
        <f t="shared" si="382"/>
        <v>2017250</v>
      </c>
      <c r="C269" s="19">
        <f t="shared" si="382"/>
        <v>1133470</v>
      </c>
      <c r="D269" s="19">
        <f t="shared" si="382"/>
        <v>-883780</v>
      </c>
      <c r="E269" s="19">
        <f t="shared" ref="E269" si="449">SUM(E270:E272)</f>
        <v>1077036</v>
      </c>
      <c r="F269" s="19">
        <f t="shared" ref="F269:AA269" si="450">SUM(F270:F272)</f>
        <v>62356</v>
      </c>
      <c r="G269" s="19">
        <f t="shared" si="383"/>
        <v>-1014680</v>
      </c>
      <c r="H269" s="19">
        <f t="shared" ref="H269" si="451">SUM(H270:H272)</f>
        <v>0</v>
      </c>
      <c r="I269" s="19">
        <f t="shared" si="450"/>
        <v>0</v>
      </c>
      <c r="J269" s="19">
        <f t="shared" si="384"/>
        <v>0</v>
      </c>
      <c r="K269" s="19">
        <f t="shared" ref="K269" si="452">SUM(K270:K272)</f>
        <v>80000</v>
      </c>
      <c r="L269" s="19">
        <f t="shared" si="450"/>
        <v>80000</v>
      </c>
      <c r="M269" s="19">
        <f t="shared" si="385"/>
        <v>0</v>
      </c>
      <c r="N269" s="19">
        <f t="shared" ref="N269" si="453">SUM(N270:N272)</f>
        <v>860214</v>
      </c>
      <c r="O269" s="19">
        <f t="shared" si="450"/>
        <v>991114</v>
      </c>
      <c r="P269" s="19">
        <f t="shared" si="386"/>
        <v>130900</v>
      </c>
      <c r="Q269" s="19">
        <f t="shared" ref="Q269" si="454">SUM(Q270:Q272)</f>
        <v>0</v>
      </c>
      <c r="R269" s="19">
        <f t="shared" si="450"/>
        <v>0</v>
      </c>
      <c r="S269" s="19">
        <f t="shared" si="387"/>
        <v>0</v>
      </c>
      <c r="T269" s="19">
        <f t="shared" ref="T269" si="455">SUM(T270:T272)</f>
        <v>0</v>
      </c>
      <c r="U269" s="19">
        <f t="shared" si="450"/>
        <v>0</v>
      </c>
      <c r="V269" s="19">
        <f t="shared" si="388"/>
        <v>0</v>
      </c>
      <c r="W269" s="19">
        <f t="shared" ref="W269" si="456">SUM(W270:W272)</f>
        <v>0</v>
      </c>
      <c r="X269" s="19">
        <f t="shared" si="450"/>
        <v>0</v>
      </c>
      <c r="Y269" s="19">
        <f t="shared" si="389"/>
        <v>0</v>
      </c>
      <c r="Z269" s="19">
        <f t="shared" ref="Z269" si="457">SUM(Z270:Z272)</f>
        <v>0</v>
      </c>
      <c r="AA269" s="19">
        <f t="shared" si="450"/>
        <v>0</v>
      </c>
      <c r="AB269" s="19">
        <f t="shared" si="390"/>
        <v>0</v>
      </c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  <c r="DQ269" s="17"/>
      <c r="DR269" s="17"/>
      <c r="DS269" s="17"/>
      <c r="DT269" s="17"/>
      <c r="DU269" s="17"/>
      <c r="DV269" s="17"/>
      <c r="DW269" s="17"/>
      <c r="DX269" s="17"/>
      <c r="DY269" s="17"/>
      <c r="DZ269" s="17"/>
      <c r="EA269" s="17"/>
      <c r="EB269" s="17"/>
      <c r="EC269" s="17"/>
      <c r="ED269" s="17"/>
      <c r="EE269" s="17"/>
      <c r="EF269" s="17"/>
      <c r="EG269" s="17"/>
      <c r="EH269" s="17"/>
      <c r="EI269" s="17"/>
      <c r="EJ269" s="17"/>
      <c r="EK269" s="17"/>
      <c r="EL269" s="17"/>
      <c r="EM269" s="17"/>
      <c r="EN269" s="17"/>
      <c r="EO269" s="17"/>
      <c r="EP269" s="17"/>
      <c r="EQ269" s="17"/>
      <c r="ER269" s="17"/>
      <c r="ES269" s="17"/>
      <c r="ET269" s="17"/>
      <c r="EU269" s="17"/>
      <c r="EV269" s="17"/>
      <c r="EW269" s="17"/>
      <c r="EX269" s="17"/>
      <c r="EY269" s="17"/>
      <c r="EZ269" s="17"/>
      <c r="FA269" s="17"/>
      <c r="FB269" s="17"/>
      <c r="FC269" s="17"/>
      <c r="FD269" s="17"/>
      <c r="FE269" s="17"/>
      <c r="FF269" s="17"/>
      <c r="FG269" s="17"/>
      <c r="FH269" s="17"/>
      <c r="FI269" s="17"/>
      <c r="FJ269" s="17"/>
      <c r="FK269" s="17"/>
      <c r="FL269" s="17"/>
      <c r="FM269" s="17"/>
      <c r="FN269" s="17"/>
      <c r="FO269" s="17"/>
      <c r="FP269" s="17"/>
      <c r="FQ269" s="17"/>
      <c r="FR269" s="17"/>
      <c r="FS269" s="17"/>
      <c r="FT269" s="17"/>
      <c r="FU269" s="17"/>
      <c r="FV269" s="17"/>
      <c r="FW269" s="17"/>
      <c r="FX269" s="17"/>
      <c r="FY269" s="17"/>
      <c r="FZ269" s="17"/>
      <c r="GA269" s="17"/>
      <c r="GB269" s="17"/>
      <c r="GC269" s="17"/>
      <c r="GD269" s="17"/>
      <c r="GE269" s="17"/>
    </row>
    <row r="270" spans="1:188" s="20" customFormat="1" ht="94.5" x14ac:dyDescent="0.25">
      <c r="A270" s="25" t="s">
        <v>151</v>
      </c>
      <c r="B270" s="26">
        <f t="shared" si="382"/>
        <v>860214</v>
      </c>
      <c r="C270" s="26">
        <f t="shared" si="382"/>
        <v>991114</v>
      </c>
      <c r="D270" s="26">
        <f t="shared" si="382"/>
        <v>130900</v>
      </c>
      <c r="E270" s="26"/>
      <c r="F270" s="26"/>
      <c r="G270" s="26">
        <f t="shared" si="383"/>
        <v>0</v>
      </c>
      <c r="H270" s="26"/>
      <c r="I270" s="26"/>
      <c r="J270" s="26">
        <f t="shared" si="384"/>
        <v>0</v>
      </c>
      <c r="K270" s="26"/>
      <c r="L270" s="26"/>
      <c r="M270" s="26">
        <f t="shared" si="385"/>
        <v>0</v>
      </c>
      <c r="N270" s="26">
        <v>860214</v>
      </c>
      <c r="O270" s="26">
        <f>860214+130900</f>
        <v>991114</v>
      </c>
      <c r="P270" s="26">
        <f t="shared" si="386"/>
        <v>130900</v>
      </c>
      <c r="Q270" s="26"/>
      <c r="R270" s="26"/>
      <c r="S270" s="26">
        <f t="shared" si="387"/>
        <v>0</v>
      </c>
      <c r="T270" s="26"/>
      <c r="U270" s="26"/>
      <c r="V270" s="26">
        <f t="shared" si="388"/>
        <v>0</v>
      </c>
      <c r="W270" s="26"/>
      <c r="X270" s="26"/>
      <c r="Y270" s="26">
        <f t="shared" si="389"/>
        <v>0</v>
      </c>
      <c r="Z270" s="26"/>
      <c r="AA270" s="26"/>
      <c r="AB270" s="26">
        <f t="shared" si="390"/>
        <v>0</v>
      </c>
      <c r="FL270" s="17"/>
      <c r="FM270" s="17"/>
      <c r="FN270" s="17"/>
      <c r="FO270" s="17"/>
      <c r="FP270" s="17"/>
      <c r="FQ270" s="17"/>
      <c r="FR270" s="17"/>
      <c r="FS270" s="17"/>
      <c r="FT270" s="17"/>
      <c r="FU270" s="17"/>
      <c r="FV270" s="17"/>
      <c r="FW270" s="17"/>
      <c r="FX270" s="17"/>
      <c r="FY270" s="17"/>
      <c r="FZ270" s="17"/>
      <c r="GA270" s="17"/>
      <c r="GB270" s="17"/>
      <c r="GC270" s="17"/>
      <c r="GD270" s="17"/>
      <c r="GE270" s="17"/>
    </row>
    <row r="271" spans="1:188" s="20" customFormat="1" ht="63" x14ac:dyDescent="0.25">
      <c r="A271" s="27" t="s">
        <v>165</v>
      </c>
      <c r="B271" s="26">
        <f t="shared" si="382"/>
        <v>1077036</v>
      </c>
      <c r="C271" s="26">
        <f t="shared" si="382"/>
        <v>62356</v>
      </c>
      <c r="D271" s="26">
        <f t="shared" si="382"/>
        <v>-1014680</v>
      </c>
      <c r="E271" s="26">
        <f>1077036</f>
        <v>1077036</v>
      </c>
      <c r="F271" s="26">
        <f>1077036-876160-105080-33440</f>
        <v>62356</v>
      </c>
      <c r="G271" s="26">
        <f t="shared" si="383"/>
        <v>-1014680</v>
      </c>
      <c r="H271" s="26"/>
      <c r="I271" s="26"/>
      <c r="J271" s="26">
        <f t="shared" si="384"/>
        <v>0</v>
      </c>
      <c r="K271" s="26"/>
      <c r="L271" s="26"/>
      <c r="M271" s="26">
        <f t="shared" si="385"/>
        <v>0</v>
      </c>
      <c r="N271" s="26"/>
      <c r="O271" s="26"/>
      <c r="P271" s="26">
        <f t="shared" si="386"/>
        <v>0</v>
      </c>
      <c r="Q271" s="26"/>
      <c r="R271" s="26"/>
      <c r="S271" s="26">
        <f t="shared" si="387"/>
        <v>0</v>
      </c>
      <c r="T271" s="26"/>
      <c r="U271" s="26"/>
      <c r="V271" s="26">
        <f t="shared" si="388"/>
        <v>0</v>
      </c>
      <c r="W271" s="34">
        <v>0</v>
      </c>
      <c r="X271" s="34">
        <v>0</v>
      </c>
      <c r="Y271" s="26">
        <f t="shared" si="389"/>
        <v>0</v>
      </c>
      <c r="Z271" s="34">
        <v>0</v>
      </c>
      <c r="AA271" s="34"/>
      <c r="AB271" s="26">
        <f t="shared" si="390"/>
        <v>0</v>
      </c>
      <c r="FM271" s="17"/>
      <c r="FN271" s="17"/>
      <c r="FO271" s="17"/>
      <c r="FP271" s="17"/>
      <c r="FQ271" s="17"/>
      <c r="FR271" s="17"/>
      <c r="FS271" s="17"/>
      <c r="FT271" s="17"/>
      <c r="FU271" s="17"/>
      <c r="FV271" s="17"/>
      <c r="FW271" s="17"/>
      <c r="FX271" s="17"/>
      <c r="FY271" s="17"/>
      <c r="FZ271" s="17"/>
      <c r="GA271" s="17"/>
      <c r="GB271" s="17"/>
      <c r="GC271" s="17"/>
      <c r="GD271" s="17"/>
      <c r="GE271" s="17"/>
      <c r="GF271" s="17"/>
    </row>
    <row r="272" spans="1:188" s="20" customFormat="1" ht="31.5" x14ac:dyDescent="0.25">
      <c r="A272" s="25" t="s">
        <v>152</v>
      </c>
      <c r="B272" s="26">
        <f t="shared" si="382"/>
        <v>80000</v>
      </c>
      <c r="C272" s="26">
        <f t="shared" si="382"/>
        <v>80000</v>
      </c>
      <c r="D272" s="26">
        <f t="shared" si="382"/>
        <v>0</v>
      </c>
      <c r="E272" s="26"/>
      <c r="F272" s="26"/>
      <c r="G272" s="26">
        <f t="shared" si="383"/>
        <v>0</v>
      </c>
      <c r="H272" s="26"/>
      <c r="I272" s="26"/>
      <c r="J272" s="26">
        <f t="shared" si="384"/>
        <v>0</v>
      </c>
      <c r="K272" s="26">
        <v>80000</v>
      </c>
      <c r="L272" s="26">
        <v>80000</v>
      </c>
      <c r="M272" s="26">
        <f t="shared" si="385"/>
        <v>0</v>
      </c>
      <c r="N272" s="26"/>
      <c r="O272" s="26"/>
      <c r="P272" s="26">
        <f t="shared" si="386"/>
        <v>0</v>
      </c>
      <c r="Q272" s="26"/>
      <c r="R272" s="26"/>
      <c r="S272" s="26">
        <f t="shared" si="387"/>
        <v>0</v>
      </c>
      <c r="T272" s="26"/>
      <c r="U272" s="26"/>
      <c r="V272" s="26">
        <f t="shared" si="388"/>
        <v>0</v>
      </c>
      <c r="W272" s="26"/>
      <c r="X272" s="26"/>
      <c r="Y272" s="26">
        <f t="shared" si="389"/>
        <v>0</v>
      </c>
      <c r="Z272" s="26"/>
      <c r="AA272" s="26"/>
      <c r="AB272" s="26">
        <f t="shared" si="390"/>
        <v>0</v>
      </c>
      <c r="FL272" s="17"/>
      <c r="FM272" s="17"/>
      <c r="FN272" s="17"/>
      <c r="FO272" s="17"/>
      <c r="FP272" s="17"/>
      <c r="FQ272" s="17"/>
      <c r="FR272" s="17"/>
      <c r="FS272" s="17"/>
      <c r="FT272" s="17"/>
      <c r="FU272" s="17"/>
      <c r="FV272" s="17"/>
      <c r="FW272" s="17"/>
      <c r="FX272" s="17"/>
      <c r="FY272" s="17"/>
      <c r="FZ272" s="17"/>
      <c r="GA272" s="17"/>
      <c r="GB272" s="17"/>
      <c r="GC272" s="17"/>
      <c r="GD272" s="17"/>
      <c r="GE272" s="17"/>
    </row>
    <row r="273" spans="1:187" s="20" customFormat="1" x14ac:dyDescent="0.25">
      <c r="A273" s="18" t="s">
        <v>148</v>
      </c>
      <c r="B273" s="19">
        <f t="shared" si="382"/>
        <v>1024992</v>
      </c>
      <c r="C273" s="19">
        <f t="shared" si="382"/>
        <v>1024992</v>
      </c>
      <c r="D273" s="19">
        <f t="shared" si="382"/>
        <v>0</v>
      </c>
      <c r="E273" s="19">
        <f t="shared" ref="E273" si="458">SUM(E274:E275)</f>
        <v>0</v>
      </c>
      <c r="F273" s="19">
        <f t="shared" ref="F273:AA273" si="459">SUM(F274:F275)</f>
        <v>0</v>
      </c>
      <c r="G273" s="19">
        <f t="shared" si="383"/>
        <v>0</v>
      </c>
      <c r="H273" s="19">
        <f t="shared" ref="H273" si="460">SUM(H274:H275)</f>
        <v>0</v>
      </c>
      <c r="I273" s="19">
        <f t="shared" si="459"/>
        <v>0</v>
      </c>
      <c r="J273" s="19">
        <f t="shared" si="384"/>
        <v>0</v>
      </c>
      <c r="K273" s="19">
        <f t="shared" ref="K273" si="461">SUM(K274:K275)</f>
        <v>15510</v>
      </c>
      <c r="L273" s="19">
        <f t="shared" si="459"/>
        <v>15510</v>
      </c>
      <c r="M273" s="19">
        <f t="shared" si="385"/>
        <v>0</v>
      </c>
      <c r="N273" s="19">
        <f t="shared" ref="N273" si="462">SUM(N274:N275)</f>
        <v>1009482</v>
      </c>
      <c r="O273" s="19">
        <f t="shared" si="459"/>
        <v>1009482</v>
      </c>
      <c r="P273" s="19">
        <f t="shared" si="386"/>
        <v>0</v>
      </c>
      <c r="Q273" s="19">
        <f t="shared" ref="Q273" si="463">SUM(Q274:Q275)</f>
        <v>0</v>
      </c>
      <c r="R273" s="19">
        <f t="shared" si="459"/>
        <v>0</v>
      </c>
      <c r="S273" s="19">
        <f t="shared" si="387"/>
        <v>0</v>
      </c>
      <c r="T273" s="19">
        <f t="shared" ref="T273" si="464">SUM(T274:T275)</f>
        <v>0</v>
      </c>
      <c r="U273" s="19">
        <f t="shared" si="459"/>
        <v>0</v>
      </c>
      <c r="V273" s="19">
        <f t="shared" si="388"/>
        <v>0</v>
      </c>
      <c r="W273" s="19">
        <f t="shared" ref="W273" si="465">SUM(W274:W275)</f>
        <v>0</v>
      </c>
      <c r="X273" s="19">
        <f t="shared" si="459"/>
        <v>0</v>
      </c>
      <c r="Y273" s="19">
        <f t="shared" si="389"/>
        <v>0</v>
      </c>
      <c r="Z273" s="19">
        <f t="shared" ref="Z273" si="466">SUM(Z274:Z275)</f>
        <v>0</v>
      </c>
      <c r="AA273" s="19">
        <f t="shared" si="459"/>
        <v>0</v>
      </c>
      <c r="AB273" s="19">
        <f t="shared" si="390"/>
        <v>0</v>
      </c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/>
      <c r="DC273" s="17"/>
      <c r="DD273" s="17"/>
      <c r="DE273" s="17"/>
      <c r="DF273" s="17"/>
      <c r="DG273" s="17"/>
      <c r="DH273" s="17"/>
      <c r="DI273" s="17"/>
      <c r="DJ273" s="17"/>
      <c r="DK273" s="17"/>
      <c r="DL273" s="17"/>
      <c r="DM273" s="17"/>
      <c r="DN273" s="17"/>
      <c r="DO273" s="17"/>
      <c r="DP273" s="17"/>
      <c r="DQ273" s="17"/>
      <c r="DR273" s="17"/>
      <c r="DS273" s="17"/>
      <c r="DT273" s="17"/>
      <c r="DU273" s="17"/>
      <c r="DV273" s="17"/>
      <c r="DW273" s="17"/>
      <c r="DX273" s="17"/>
      <c r="DY273" s="17"/>
      <c r="DZ273" s="17"/>
      <c r="EA273" s="17"/>
      <c r="EB273" s="17"/>
      <c r="EC273" s="17"/>
      <c r="ED273" s="17"/>
      <c r="EE273" s="17"/>
      <c r="EF273" s="17"/>
      <c r="EG273" s="17"/>
      <c r="EH273" s="17"/>
      <c r="EI273" s="17"/>
      <c r="EJ273" s="17"/>
      <c r="EK273" s="17"/>
      <c r="EL273" s="17"/>
      <c r="EM273" s="17"/>
      <c r="EN273" s="17"/>
      <c r="EO273" s="17"/>
      <c r="EP273" s="17"/>
      <c r="EQ273" s="17"/>
      <c r="ER273" s="17"/>
      <c r="ES273" s="17"/>
      <c r="ET273" s="17"/>
      <c r="EU273" s="17"/>
      <c r="EV273" s="17"/>
      <c r="EW273" s="17"/>
      <c r="EX273" s="17"/>
      <c r="EY273" s="17"/>
      <c r="EZ273" s="17"/>
      <c r="FA273" s="17"/>
      <c r="FB273" s="17"/>
      <c r="FC273" s="17"/>
      <c r="FD273" s="17"/>
      <c r="FE273" s="17"/>
      <c r="FF273" s="17"/>
      <c r="FG273" s="17"/>
      <c r="FH273" s="17"/>
      <c r="FI273" s="17"/>
      <c r="FJ273" s="17"/>
      <c r="FK273" s="17"/>
      <c r="FL273" s="17"/>
      <c r="FM273" s="17"/>
      <c r="FN273" s="17"/>
      <c r="FO273" s="17"/>
      <c r="FP273" s="17"/>
      <c r="FQ273" s="17"/>
      <c r="FR273" s="17"/>
      <c r="FS273" s="17"/>
      <c r="FT273" s="17"/>
      <c r="FU273" s="17"/>
      <c r="FV273" s="17"/>
      <c r="FW273" s="17"/>
      <c r="FX273" s="17"/>
      <c r="FY273" s="17"/>
      <c r="FZ273" s="17"/>
      <c r="GA273" s="17"/>
      <c r="GB273" s="17"/>
      <c r="GC273" s="17"/>
      <c r="GD273" s="17"/>
      <c r="GE273" s="17"/>
    </row>
    <row r="274" spans="1:187" s="20" customFormat="1" ht="31.5" x14ac:dyDescent="0.25">
      <c r="A274" s="25" t="s">
        <v>153</v>
      </c>
      <c r="B274" s="26">
        <f t="shared" si="382"/>
        <v>15510</v>
      </c>
      <c r="C274" s="26">
        <f t="shared" si="382"/>
        <v>15510</v>
      </c>
      <c r="D274" s="26">
        <f t="shared" si="382"/>
        <v>0</v>
      </c>
      <c r="E274" s="26">
        <v>0</v>
      </c>
      <c r="F274" s="26">
        <v>0</v>
      </c>
      <c r="G274" s="26">
        <f t="shared" si="383"/>
        <v>0</v>
      </c>
      <c r="H274" s="26">
        <v>0</v>
      </c>
      <c r="I274" s="26">
        <v>0</v>
      </c>
      <c r="J274" s="26">
        <f t="shared" si="384"/>
        <v>0</v>
      </c>
      <c r="K274" s="26">
        <v>15510</v>
      </c>
      <c r="L274" s="26">
        <v>15510</v>
      </c>
      <c r="M274" s="26">
        <f t="shared" si="385"/>
        <v>0</v>
      </c>
      <c r="N274" s="26"/>
      <c r="O274" s="26"/>
      <c r="P274" s="26">
        <f t="shared" si="386"/>
        <v>0</v>
      </c>
      <c r="Q274" s="26"/>
      <c r="R274" s="26"/>
      <c r="S274" s="26">
        <f t="shared" si="387"/>
        <v>0</v>
      </c>
      <c r="T274" s="26"/>
      <c r="U274" s="26"/>
      <c r="V274" s="26">
        <f t="shared" si="388"/>
        <v>0</v>
      </c>
      <c r="W274" s="26"/>
      <c r="X274" s="26"/>
      <c r="Y274" s="26">
        <f t="shared" si="389"/>
        <v>0</v>
      </c>
      <c r="Z274" s="26"/>
      <c r="AA274" s="26"/>
      <c r="AB274" s="26">
        <f t="shared" si="390"/>
        <v>0</v>
      </c>
    </row>
    <row r="275" spans="1:187" s="20" customFormat="1" ht="78.75" x14ac:dyDescent="0.25">
      <c r="A275" s="25" t="s">
        <v>154</v>
      </c>
      <c r="B275" s="26">
        <f t="shared" si="382"/>
        <v>1009482</v>
      </c>
      <c r="C275" s="26">
        <f t="shared" si="382"/>
        <v>1009482</v>
      </c>
      <c r="D275" s="26">
        <f t="shared" si="382"/>
        <v>0</v>
      </c>
      <c r="E275" s="26"/>
      <c r="F275" s="26"/>
      <c r="G275" s="26">
        <f t="shared" si="383"/>
        <v>0</v>
      </c>
      <c r="H275" s="26"/>
      <c r="I275" s="26"/>
      <c r="J275" s="26">
        <f t="shared" si="384"/>
        <v>0</v>
      </c>
      <c r="K275" s="26"/>
      <c r="L275" s="26"/>
      <c r="M275" s="26">
        <f t="shared" si="385"/>
        <v>0</v>
      </c>
      <c r="N275" s="26">
        <v>1009482</v>
      </c>
      <c r="O275" s="26">
        <v>1009482</v>
      </c>
      <c r="P275" s="26">
        <f t="shared" si="386"/>
        <v>0</v>
      </c>
      <c r="Q275" s="26"/>
      <c r="R275" s="26"/>
      <c r="S275" s="26">
        <f t="shared" si="387"/>
        <v>0</v>
      </c>
      <c r="T275" s="26"/>
      <c r="U275" s="26"/>
      <c r="V275" s="26">
        <f t="shared" si="388"/>
        <v>0</v>
      </c>
      <c r="W275" s="26"/>
      <c r="X275" s="26"/>
      <c r="Y275" s="26">
        <f t="shared" si="389"/>
        <v>0</v>
      </c>
      <c r="Z275" s="26"/>
      <c r="AA275" s="26"/>
      <c r="AB275" s="26">
        <f t="shared" si="390"/>
        <v>0</v>
      </c>
      <c r="FL275" s="17"/>
      <c r="FM275" s="17"/>
      <c r="FN275" s="17"/>
      <c r="FO275" s="17"/>
      <c r="FP275" s="17"/>
      <c r="FQ275" s="17"/>
      <c r="FR275" s="17"/>
      <c r="FS275" s="17"/>
      <c r="FT275" s="17"/>
      <c r="FU275" s="17"/>
      <c r="FV275" s="17"/>
      <c r="FW275" s="17"/>
      <c r="FX275" s="17"/>
      <c r="FY275" s="17"/>
      <c r="FZ275" s="17"/>
      <c r="GA275" s="17"/>
      <c r="GB275" s="17"/>
      <c r="GC275" s="17"/>
      <c r="GD275" s="17"/>
      <c r="GE275" s="17"/>
    </row>
    <row r="276" spans="1:187" s="17" customFormat="1" x14ac:dyDescent="0.25">
      <c r="A276" s="18" t="s">
        <v>155</v>
      </c>
      <c r="B276" s="19">
        <f t="shared" si="382"/>
        <v>93490</v>
      </c>
      <c r="C276" s="19">
        <f t="shared" si="382"/>
        <v>505641</v>
      </c>
      <c r="D276" s="19">
        <f t="shared" si="382"/>
        <v>412151</v>
      </c>
      <c r="E276" s="19">
        <f>SUM(E277,E281,E284)</f>
        <v>0</v>
      </c>
      <c r="F276" s="19">
        <f>SUM(F277,F281,F284)</f>
        <v>0</v>
      </c>
      <c r="G276" s="19">
        <f t="shared" si="383"/>
        <v>0</v>
      </c>
      <c r="H276" s="19">
        <f t="shared" ref="H276" si="467">SUM(H277,H281,H284)</f>
        <v>0</v>
      </c>
      <c r="I276" s="19">
        <f t="shared" ref="I276" si="468">SUM(I277,I281,I284)</f>
        <v>0</v>
      </c>
      <c r="J276" s="19">
        <f t="shared" si="384"/>
        <v>0</v>
      </c>
      <c r="K276" s="19">
        <f t="shared" ref="K276" si="469">SUM(K277,K281,K284)</f>
        <v>91020</v>
      </c>
      <c r="L276" s="19">
        <f t="shared" ref="L276" si="470">SUM(L277,L281,L284)</f>
        <v>91020</v>
      </c>
      <c r="M276" s="19">
        <f t="shared" si="385"/>
        <v>0</v>
      </c>
      <c r="N276" s="19">
        <f t="shared" ref="N276" si="471">SUM(N277,N281,N284)</f>
        <v>0</v>
      </c>
      <c r="O276" s="19">
        <f t="shared" ref="O276" si="472">SUM(O277,O281,O284)</f>
        <v>412151</v>
      </c>
      <c r="P276" s="19">
        <f t="shared" si="386"/>
        <v>412151</v>
      </c>
      <c r="Q276" s="19">
        <f t="shared" ref="Q276" si="473">SUM(Q277,Q281,Q284)</f>
        <v>2470</v>
      </c>
      <c r="R276" s="19">
        <f t="shared" ref="R276" si="474">SUM(R277,R281,R284)</f>
        <v>2470</v>
      </c>
      <c r="S276" s="19">
        <f t="shared" si="387"/>
        <v>0</v>
      </c>
      <c r="T276" s="19">
        <f t="shared" ref="T276" si="475">SUM(T277,T281,T284)</f>
        <v>0</v>
      </c>
      <c r="U276" s="19">
        <f t="shared" ref="U276" si="476">SUM(U277,U281,U284)</f>
        <v>0</v>
      </c>
      <c r="V276" s="19">
        <f t="shared" si="388"/>
        <v>0</v>
      </c>
      <c r="W276" s="19">
        <f t="shared" ref="W276" si="477">SUM(W277,W281,W284)</f>
        <v>0</v>
      </c>
      <c r="X276" s="19">
        <f t="shared" ref="X276" si="478">SUM(X277,X281,X284)</f>
        <v>0</v>
      </c>
      <c r="Y276" s="19">
        <f t="shared" si="389"/>
        <v>0</v>
      </c>
      <c r="Z276" s="19">
        <f t="shared" ref="Z276" si="479">SUM(Z277,Z281,Z284)</f>
        <v>0</v>
      </c>
      <c r="AA276" s="19">
        <f t="shared" ref="AA276" si="480">SUM(AA277,AA281,AA284)</f>
        <v>0</v>
      </c>
      <c r="AB276" s="19">
        <f t="shared" si="390"/>
        <v>0</v>
      </c>
      <c r="FL276" s="20"/>
      <c r="FM276" s="20"/>
      <c r="FN276" s="20"/>
      <c r="FO276" s="20"/>
      <c r="FP276" s="20"/>
      <c r="FQ276" s="20"/>
      <c r="FR276" s="20"/>
      <c r="FS276" s="20"/>
      <c r="FT276" s="20"/>
      <c r="FU276" s="20"/>
      <c r="FV276" s="20"/>
      <c r="FW276" s="20"/>
      <c r="FX276" s="20"/>
      <c r="FY276" s="20"/>
      <c r="FZ276" s="20"/>
      <c r="GA276" s="20"/>
      <c r="GB276" s="20"/>
      <c r="GC276" s="20"/>
      <c r="GD276" s="20"/>
      <c r="GE276" s="20"/>
    </row>
    <row r="277" spans="1:187" s="20" customFormat="1" x14ac:dyDescent="0.25">
      <c r="A277" s="18" t="s">
        <v>12</v>
      </c>
      <c r="B277" s="19">
        <f t="shared" si="382"/>
        <v>67020</v>
      </c>
      <c r="C277" s="19">
        <f t="shared" si="382"/>
        <v>67020</v>
      </c>
      <c r="D277" s="19">
        <f t="shared" si="382"/>
        <v>0</v>
      </c>
      <c r="E277" s="19">
        <f t="shared" ref="E277:AA277" si="481">SUM(E278)</f>
        <v>0</v>
      </c>
      <c r="F277" s="19">
        <f t="shared" si="481"/>
        <v>0</v>
      </c>
      <c r="G277" s="19">
        <f t="shared" si="383"/>
        <v>0</v>
      </c>
      <c r="H277" s="19">
        <f t="shared" si="481"/>
        <v>0</v>
      </c>
      <c r="I277" s="19">
        <f t="shared" si="481"/>
        <v>0</v>
      </c>
      <c r="J277" s="19">
        <f t="shared" si="384"/>
        <v>0</v>
      </c>
      <c r="K277" s="19">
        <f t="shared" si="481"/>
        <v>67020</v>
      </c>
      <c r="L277" s="19">
        <f t="shared" si="481"/>
        <v>67020</v>
      </c>
      <c r="M277" s="19">
        <f t="shared" si="385"/>
        <v>0</v>
      </c>
      <c r="N277" s="19">
        <f t="shared" si="481"/>
        <v>0</v>
      </c>
      <c r="O277" s="19">
        <f t="shared" si="481"/>
        <v>0</v>
      </c>
      <c r="P277" s="19">
        <f t="shared" si="386"/>
        <v>0</v>
      </c>
      <c r="Q277" s="19">
        <f t="shared" si="481"/>
        <v>0</v>
      </c>
      <c r="R277" s="19">
        <f t="shared" si="481"/>
        <v>0</v>
      </c>
      <c r="S277" s="19">
        <f t="shared" si="387"/>
        <v>0</v>
      </c>
      <c r="T277" s="19">
        <f t="shared" si="481"/>
        <v>0</v>
      </c>
      <c r="U277" s="19">
        <f t="shared" si="481"/>
        <v>0</v>
      </c>
      <c r="V277" s="19">
        <f t="shared" si="388"/>
        <v>0</v>
      </c>
      <c r="W277" s="19">
        <f t="shared" si="481"/>
        <v>0</v>
      </c>
      <c r="X277" s="19">
        <f t="shared" si="481"/>
        <v>0</v>
      </c>
      <c r="Y277" s="19">
        <f t="shared" si="389"/>
        <v>0</v>
      </c>
      <c r="Z277" s="19">
        <f t="shared" si="481"/>
        <v>0</v>
      </c>
      <c r="AA277" s="19">
        <f t="shared" si="481"/>
        <v>0</v>
      </c>
      <c r="AB277" s="19">
        <f t="shared" si="390"/>
        <v>0</v>
      </c>
    </row>
    <row r="278" spans="1:187" s="20" customFormat="1" ht="31.5" x14ac:dyDescent="0.25">
      <c r="A278" s="18" t="s">
        <v>156</v>
      </c>
      <c r="B278" s="19">
        <f t="shared" si="382"/>
        <v>67020</v>
      </c>
      <c r="C278" s="19">
        <f t="shared" si="382"/>
        <v>67020</v>
      </c>
      <c r="D278" s="19">
        <f t="shared" si="382"/>
        <v>0</v>
      </c>
      <c r="E278" s="19">
        <f>SUM(E279:E280)</f>
        <v>0</v>
      </c>
      <c r="F278" s="19">
        <f>SUM(F279:F280)</f>
        <v>0</v>
      </c>
      <c r="G278" s="19">
        <f t="shared" si="383"/>
        <v>0</v>
      </c>
      <c r="H278" s="19">
        <f t="shared" ref="H278" si="482">SUM(H279:H280)</f>
        <v>0</v>
      </c>
      <c r="I278" s="19">
        <f t="shared" ref="I278" si="483">SUM(I279:I280)</f>
        <v>0</v>
      </c>
      <c r="J278" s="19">
        <f t="shared" si="384"/>
        <v>0</v>
      </c>
      <c r="K278" s="19">
        <f t="shared" ref="K278" si="484">SUM(K279:K280)</f>
        <v>67020</v>
      </c>
      <c r="L278" s="19">
        <f t="shared" ref="L278" si="485">SUM(L279:L280)</f>
        <v>67020</v>
      </c>
      <c r="M278" s="19">
        <f t="shared" si="385"/>
        <v>0</v>
      </c>
      <c r="N278" s="19">
        <f t="shared" ref="N278" si="486">SUM(N279:N280)</f>
        <v>0</v>
      </c>
      <c r="O278" s="19">
        <f t="shared" ref="O278" si="487">SUM(O279:O280)</f>
        <v>0</v>
      </c>
      <c r="P278" s="19">
        <f t="shared" si="386"/>
        <v>0</v>
      </c>
      <c r="Q278" s="19">
        <f t="shared" ref="Q278" si="488">SUM(Q279:Q280)</f>
        <v>0</v>
      </c>
      <c r="R278" s="19">
        <f t="shared" ref="R278" si="489">SUM(R279:R280)</f>
        <v>0</v>
      </c>
      <c r="S278" s="19">
        <f t="shared" si="387"/>
        <v>0</v>
      </c>
      <c r="T278" s="19">
        <f t="shared" ref="T278" si="490">SUM(T279:T280)</f>
        <v>0</v>
      </c>
      <c r="U278" s="19">
        <f t="shared" ref="U278" si="491">SUM(U279:U280)</f>
        <v>0</v>
      </c>
      <c r="V278" s="19">
        <f t="shared" si="388"/>
        <v>0</v>
      </c>
      <c r="W278" s="19">
        <f t="shared" ref="W278" si="492">SUM(W279:W280)</f>
        <v>0</v>
      </c>
      <c r="X278" s="19">
        <f t="shared" ref="X278" si="493">SUM(X279:X280)</f>
        <v>0</v>
      </c>
      <c r="Y278" s="19">
        <f t="shared" si="389"/>
        <v>0</v>
      </c>
      <c r="Z278" s="19">
        <f t="shared" ref="Z278" si="494">SUM(Z279:Z280)</f>
        <v>0</v>
      </c>
      <c r="AA278" s="19">
        <f t="shared" ref="AA278" si="495">SUM(AA279:AA280)</f>
        <v>0</v>
      </c>
      <c r="AB278" s="19">
        <f t="shared" si="390"/>
        <v>0</v>
      </c>
    </row>
    <row r="279" spans="1:187" s="20" customFormat="1" ht="31.5" x14ac:dyDescent="0.25">
      <c r="A279" s="32" t="s">
        <v>157</v>
      </c>
      <c r="B279" s="23">
        <f t="shared" si="382"/>
        <v>19020</v>
      </c>
      <c r="C279" s="23">
        <f t="shared" si="382"/>
        <v>19020</v>
      </c>
      <c r="D279" s="23">
        <f t="shared" si="382"/>
        <v>0</v>
      </c>
      <c r="E279" s="23"/>
      <c r="F279" s="23"/>
      <c r="G279" s="23">
        <f t="shared" si="383"/>
        <v>0</v>
      </c>
      <c r="H279" s="23"/>
      <c r="I279" s="23"/>
      <c r="J279" s="23">
        <f t="shared" si="384"/>
        <v>0</v>
      </c>
      <c r="K279" s="23">
        <v>19020</v>
      </c>
      <c r="L279" s="23">
        <v>19020</v>
      </c>
      <c r="M279" s="23">
        <f t="shared" si="385"/>
        <v>0</v>
      </c>
      <c r="N279" s="23"/>
      <c r="O279" s="23"/>
      <c r="P279" s="23">
        <f t="shared" si="386"/>
        <v>0</v>
      </c>
      <c r="Q279" s="23"/>
      <c r="R279" s="23"/>
      <c r="S279" s="23">
        <f t="shared" si="387"/>
        <v>0</v>
      </c>
      <c r="T279" s="23"/>
      <c r="U279" s="23"/>
      <c r="V279" s="23">
        <f t="shared" si="388"/>
        <v>0</v>
      </c>
      <c r="W279" s="23"/>
      <c r="X279" s="23"/>
      <c r="Y279" s="23">
        <f t="shared" si="389"/>
        <v>0</v>
      </c>
      <c r="Z279" s="23">
        <v>0</v>
      </c>
      <c r="AA279" s="23">
        <v>0</v>
      </c>
      <c r="AB279" s="23">
        <f t="shared" si="390"/>
        <v>0</v>
      </c>
    </row>
    <row r="280" spans="1:187" s="20" customFormat="1" ht="31.5" x14ac:dyDescent="0.25">
      <c r="A280" s="32" t="s">
        <v>183</v>
      </c>
      <c r="B280" s="23">
        <f t="shared" si="382"/>
        <v>48000</v>
      </c>
      <c r="C280" s="23">
        <f t="shared" si="382"/>
        <v>48000</v>
      </c>
      <c r="D280" s="23">
        <f t="shared" si="382"/>
        <v>0</v>
      </c>
      <c r="E280" s="23"/>
      <c r="F280" s="23"/>
      <c r="G280" s="23">
        <f t="shared" si="383"/>
        <v>0</v>
      </c>
      <c r="H280" s="23"/>
      <c r="I280" s="23"/>
      <c r="J280" s="23">
        <f t="shared" si="384"/>
        <v>0</v>
      </c>
      <c r="K280" s="23">
        <v>48000</v>
      </c>
      <c r="L280" s="23">
        <v>48000</v>
      </c>
      <c r="M280" s="23">
        <f t="shared" si="385"/>
        <v>0</v>
      </c>
      <c r="N280" s="23"/>
      <c r="O280" s="23"/>
      <c r="P280" s="23">
        <f t="shared" si="386"/>
        <v>0</v>
      </c>
      <c r="Q280" s="23"/>
      <c r="R280" s="23"/>
      <c r="S280" s="23">
        <f t="shared" si="387"/>
        <v>0</v>
      </c>
      <c r="T280" s="23"/>
      <c r="U280" s="23"/>
      <c r="V280" s="23">
        <f t="shared" si="388"/>
        <v>0</v>
      </c>
      <c r="W280" s="23"/>
      <c r="X280" s="23"/>
      <c r="Y280" s="23">
        <f t="shared" si="389"/>
        <v>0</v>
      </c>
      <c r="Z280" s="23">
        <v>0</v>
      </c>
      <c r="AA280" s="23">
        <v>0</v>
      </c>
      <c r="AB280" s="23">
        <f t="shared" si="390"/>
        <v>0</v>
      </c>
    </row>
    <row r="281" spans="1:187" s="20" customFormat="1" ht="31.5" x14ac:dyDescent="0.25">
      <c r="A281" s="18" t="s">
        <v>59</v>
      </c>
      <c r="B281" s="19">
        <f t="shared" si="382"/>
        <v>2470</v>
      </c>
      <c r="C281" s="19">
        <f t="shared" si="382"/>
        <v>2470</v>
      </c>
      <c r="D281" s="19">
        <f t="shared" si="382"/>
        <v>0</v>
      </c>
      <c r="E281" s="19">
        <f>SUM(E282)</f>
        <v>0</v>
      </c>
      <c r="F281" s="19">
        <f>SUM(F282)</f>
        <v>0</v>
      </c>
      <c r="G281" s="19">
        <f t="shared" si="383"/>
        <v>0</v>
      </c>
      <c r="H281" s="19">
        <f>SUM(H282)</f>
        <v>0</v>
      </c>
      <c r="I281" s="19">
        <f>SUM(I282)</f>
        <v>0</v>
      </c>
      <c r="J281" s="19">
        <f t="shared" si="384"/>
        <v>0</v>
      </c>
      <c r="K281" s="19">
        <v>0</v>
      </c>
      <c r="L281" s="19">
        <v>0</v>
      </c>
      <c r="M281" s="19">
        <f t="shared" si="385"/>
        <v>0</v>
      </c>
      <c r="N281" s="19">
        <f t="shared" ref="N281:AA281" si="496">SUM(N282)</f>
        <v>0</v>
      </c>
      <c r="O281" s="19">
        <f t="shared" si="496"/>
        <v>0</v>
      </c>
      <c r="P281" s="19">
        <f t="shared" si="386"/>
        <v>0</v>
      </c>
      <c r="Q281" s="19">
        <f t="shared" si="496"/>
        <v>2470</v>
      </c>
      <c r="R281" s="19">
        <f t="shared" si="496"/>
        <v>2470</v>
      </c>
      <c r="S281" s="19">
        <f t="shared" si="387"/>
        <v>0</v>
      </c>
      <c r="T281" s="19">
        <f t="shared" si="496"/>
        <v>0</v>
      </c>
      <c r="U281" s="19">
        <f t="shared" si="496"/>
        <v>0</v>
      </c>
      <c r="V281" s="19">
        <f t="shared" si="388"/>
        <v>0</v>
      </c>
      <c r="W281" s="19">
        <f t="shared" si="496"/>
        <v>0</v>
      </c>
      <c r="X281" s="19">
        <f t="shared" si="496"/>
        <v>0</v>
      </c>
      <c r="Y281" s="19">
        <f t="shared" si="389"/>
        <v>0</v>
      </c>
      <c r="Z281" s="19">
        <f t="shared" si="496"/>
        <v>0</v>
      </c>
      <c r="AA281" s="19">
        <f t="shared" si="496"/>
        <v>0</v>
      </c>
      <c r="AB281" s="19">
        <f t="shared" si="390"/>
        <v>0</v>
      </c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17"/>
      <c r="CD281" s="17"/>
      <c r="CE281" s="17"/>
      <c r="CF281" s="17"/>
      <c r="CG281" s="17"/>
      <c r="CH281" s="17"/>
      <c r="CI281" s="17"/>
      <c r="CJ281" s="17"/>
      <c r="CK281" s="17"/>
      <c r="CL281" s="17"/>
      <c r="CM281" s="17"/>
      <c r="CN281" s="17"/>
      <c r="CO281" s="17"/>
      <c r="CP281" s="17"/>
      <c r="CQ281" s="17"/>
      <c r="CR281" s="17"/>
      <c r="CS281" s="17"/>
      <c r="CT281" s="17"/>
      <c r="CU281" s="17"/>
      <c r="CV281" s="17"/>
      <c r="CW281" s="17"/>
      <c r="CX281" s="17"/>
      <c r="CY281" s="17"/>
      <c r="CZ281" s="17"/>
      <c r="DA281" s="17"/>
      <c r="DB281" s="17"/>
      <c r="DC281" s="17"/>
      <c r="DD281" s="17"/>
      <c r="DE281" s="17"/>
      <c r="DF281" s="17"/>
      <c r="DG281" s="17"/>
      <c r="DH281" s="17"/>
      <c r="DI281" s="17"/>
      <c r="DJ281" s="17"/>
      <c r="DK281" s="17"/>
      <c r="DL281" s="17"/>
      <c r="DM281" s="17"/>
      <c r="DN281" s="17"/>
      <c r="DO281" s="17"/>
      <c r="DP281" s="17"/>
      <c r="DQ281" s="17"/>
      <c r="DR281" s="17"/>
      <c r="DS281" s="17"/>
      <c r="DT281" s="17"/>
      <c r="DU281" s="17"/>
      <c r="DV281" s="17"/>
      <c r="DW281" s="17"/>
      <c r="DX281" s="17"/>
      <c r="DY281" s="17"/>
      <c r="DZ281" s="17"/>
      <c r="EA281" s="17"/>
      <c r="EB281" s="17"/>
      <c r="EC281" s="17"/>
      <c r="ED281" s="17"/>
      <c r="EE281" s="17"/>
      <c r="EF281" s="17"/>
      <c r="EG281" s="17"/>
      <c r="EH281" s="17"/>
      <c r="EI281" s="17"/>
      <c r="EJ281" s="17"/>
      <c r="EK281" s="17"/>
      <c r="EL281" s="17"/>
      <c r="EM281" s="17"/>
      <c r="EN281" s="17"/>
      <c r="EO281" s="17"/>
      <c r="EP281" s="17"/>
      <c r="EQ281" s="17"/>
      <c r="ER281" s="17"/>
      <c r="ES281" s="17"/>
      <c r="ET281" s="17"/>
      <c r="EU281" s="17"/>
      <c r="EV281" s="17"/>
      <c r="EW281" s="17"/>
      <c r="EX281" s="17"/>
      <c r="EY281" s="17"/>
      <c r="EZ281" s="17"/>
      <c r="FA281" s="17"/>
      <c r="FB281" s="17"/>
      <c r="FC281" s="17"/>
      <c r="FD281" s="17"/>
      <c r="FE281" s="17"/>
      <c r="FF281" s="17"/>
      <c r="FG281" s="17"/>
      <c r="FH281" s="17"/>
      <c r="FI281" s="17"/>
      <c r="FJ281" s="17"/>
      <c r="FK281" s="17"/>
      <c r="FL281" s="17"/>
      <c r="FM281" s="17"/>
      <c r="FN281" s="17"/>
      <c r="FO281" s="17"/>
      <c r="FP281" s="17"/>
      <c r="FQ281" s="17"/>
      <c r="FR281" s="17"/>
      <c r="FS281" s="17"/>
      <c r="FT281" s="17"/>
      <c r="FU281" s="17"/>
      <c r="FV281" s="17"/>
      <c r="FW281" s="17"/>
      <c r="FX281" s="17"/>
      <c r="FY281" s="17"/>
      <c r="FZ281" s="17"/>
      <c r="GA281" s="17"/>
      <c r="GB281" s="17"/>
      <c r="GC281" s="17"/>
      <c r="GD281" s="17"/>
      <c r="GE281" s="17"/>
    </row>
    <row r="282" spans="1:187" s="20" customFormat="1" ht="31.5" x14ac:dyDescent="0.25">
      <c r="A282" s="18" t="s">
        <v>156</v>
      </c>
      <c r="B282" s="19">
        <f t="shared" si="382"/>
        <v>2470</v>
      </c>
      <c r="C282" s="19">
        <f t="shared" si="382"/>
        <v>2470</v>
      </c>
      <c r="D282" s="19">
        <f t="shared" si="382"/>
        <v>0</v>
      </c>
      <c r="E282" s="19">
        <f t="shared" ref="E282:AA282" si="497">SUM(E283:E283)</f>
        <v>0</v>
      </c>
      <c r="F282" s="19">
        <f t="shared" si="497"/>
        <v>0</v>
      </c>
      <c r="G282" s="19">
        <f t="shared" si="383"/>
        <v>0</v>
      </c>
      <c r="H282" s="19">
        <f t="shared" si="497"/>
        <v>0</v>
      </c>
      <c r="I282" s="19">
        <f t="shared" si="497"/>
        <v>0</v>
      </c>
      <c r="J282" s="19">
        <f t="shared" si="384"/>
        <v>0</v>
      </c>
      <c r="K282" s="19">
        <f t="shared" si="497"/>
        <v>0</v>
      </c>
      <c r="L282" s="19">
        <f t="shared" si="497"/>
        <v>0</v>
      </c>
      <c r="M282" s="19">
        <f t="shared" si="385"/>
        <v>0</v>
      </c>
      <c r="N282" s="19">
        <f t="shared" si="497"/>
        <v>0</v>
      </c>
      <c r="O282" s="19">
        <f t="shared" si="497"/>
        <v>0</v>
      </c>
      <c r="P282" s="19">
        <f t="shared" si="386"/>
        <v>0</v>
      </c>
      <c r="Q282" s="19">
        <f t="shared" si="497"/>
        <v>2470</v>
      </c>
      <c r="R282" s="19">
        <f t="shared" si="497"/>
        <v>2470</v>
      </c>
      <c r="S282" s="19">
        <f t="shared" si="387"/>
        <v>0</v>
      </c>
      <c r="T282" s="19">
        <f t="shared" si="497"/>
        <v>0</v>
      </c>
      <c r="U282" s="19">
        <f t="shared" si="497"/>
        <v>0</v>
      </c>
      <c r="V282" s="19">
        <f t="shared" si="388"/>
        <v>0</v>
      </c>
      <c r="W282" s="19">
        <f t="shared" si="497"/>
        <v>0</v>
      </c>
      <c r="X282" s="19">
        <f t="shared" si="497"/>
        <v>0</v>
      </c>
      <c r="Y282" s="19">
        <f t="shared" si="389"/>
        <v>0</v>
      </c>
      <c r="Z282" s="19">
        <f t="shared" si="497"/>
        <v>0</v>
      </c>
      <c r="AA282" s="19">
        <f t="shared" si="497"/>
        <v>0</v>
      </c>
      <c r="AB282" s="19">
        <f t="shared" si="390"/>
        <v>0</v>
      </c>
    </row>
    <row r="283" spans="1:187" s="20" customFormat="1" ht="31.5" x14ac:dyDescent="0.25">
      <c r="A283" s="22" t="s">
        <v>158</v>
      </c>
      <c r="B283" s="26">
        <f t="shared" si="382"/>
        <v>2470</v>
      </c>
      <c r="C283" s="26">
        <f t="shared" si="382"/>
        <v>2470</v>
      </c>
      <c r="D283" s="26">
        <f t="shared" si="382"/>
        <v>0</v>
      </c>
      <c r="E283" s="26"/>
      <c r="F283" s="26"/>
      <c r="G283" s="26">
        <f t="shared" si="383"/>
        <v>0</v>
      </c>
      <c r="H283" s="26"/>
      <c r="I283" s="26"/>
      <c r="J283" s="26">
        <f t="shared" si="384"/>
        <v>0</v>
      </c>
      <c r="K283" s="26"/>
      <c r="L283" s="26"/>
      <c r="M283" s="26">
        <f t="shared" si="385"/>
        <v>0</v>
      </c>
      <c r="N283" s="26"/>
      <c r="O283" s="26"/>
      <c r="P283" s="26">
        <f t="shared" si="386"/>
        <v>0</v>
      </c>
      <c r="Q283" s="26">
        <v>2470</v>
      </c>
      <c r="R283" s="26">
        <v>2470</v>
      </c>
      <c r="S283" s="26">
        <f t="shared" si="387"/>
        <v>0</v>
      </c>
      <c r="T283" s="26"/>
      <c r="U283" s="26"/>
      <c r="V283" s="26">
        <f t="shared" si="388"/>
        <v>0</v>
      </c>
      <c r="W283" s="26"/>
      <c r="X283" s="26"/>
      <c r="Y283" s="26">
        <f t="shared" si="389"/>
        <v>0</v>
      </c>
      <c r="Z283" s="26"/>
      <c r="AA283" s="26"/>
      <c r="AB283" s="26">
        <f t="shared" si="390"/>
        <v>0</v>
      </c>
    </row>
    <row r="284" spans="1:187" s="20" customFormat="1" x14ac:dyDescent="0.25">
      <c r="A284" s="18" t="s">
        <v>69</v>
      </c>
      <c r="B284" s="19">
        <f t="shared" si="382"/>
        <v>24000</v>
      </c>
      <c r="C284" s="19">
        <f t="shared" si="382"/>
        <v>436151</v>
      </c>
      <c r="D284" s="19">
        <f t="shared" si="382"/>
        <v>412151</v>
      </c>
      <c r="E284" s="19">
        <f>SUM(E285)</f>
        <v>0</v>
      </c>
      <c r="F284" s="19">
        <f>SUM(F285)</f>
        <v>0</v>
      </c>
      <c r="G284" s="19">
        <f t="shared" si="383"/>
        <v>0</v>
      </c>
      <c r="H284" s="19">
        <f t="shared" ref="H284:I284" si="498">SUM(H285)</f>
        <v>0</v>
      </c>
      <c r="I284" s="19">
        <f t="shared" si="498"/>
        <v>0</v>
      </c>
      <c r="J284" s="19">
        <f t="shared" si="384"/>
        <v>0</v>
      </c>
      <c r="K284" s="19">
        <f t="shared" ref="K284:L284" si="499">SUM(K285)</f>
        <v>24000</v>
      </c>
      <c r="L284" s="19">
        <f t="shared" si="499"/>
        <v>24000</v>
      </c>
      <c r="M284" s="19">
        <f t="shared" si="385"/>
        <v>0</v>
      </c>
      <c r="N284" s="19">
        <f t="shared" ref="N284:O284" si="500">SUM(N285)</f>
        <v>0</v>
      </c>
      <c r="O284" s="19">
        <f t="shared" si="500"/>
        <v>412151</v>
      </c>
      <c r="P284" s="19">
        <f t="shared" si="386"/>
        <v>412151</v>
      </c>
      <c r="Q284" s="19">
        <f t="shared" ref="Q284:R284" si="501">SUM(Q285)</f>
        <v>0</v>
      </c>
      <c r="R284" s="19">
        <f t="shared" si="501"/>
        <v>0</v>
      </c>
      <c r="S284" s="19">
        <f t="shared" si="387"/>
        <v>0</v>
      </c>
      <c r="T284" s="19">
        <f t="shared" ref="T284:U284" si="502">SUM(T285)</f>
        <v>0</v>
      </c>
      <c r="U284" s="19">
        <f t="shared" si="502"/>
        <v>0</v>
      </c>
      <c r="V284" s="19">
        <f t="shared" si="388"/>
        <v>0</v>
      </c>
      <c r="W284" s="19">
        <f t="shared" ref="W284:X284" si="503">SUM(W285)</f>
        <v>0</v>
      </c>
      <c r="X284" s="19">
        <f t="shared" si="503"/>
        <v>0</v>
      </c>
      <c r="Y284" s="19">
        <f t="shared" si="389"/>
        <v>0</v>
      </c>
      <c r="Z284" s="19">
        <f t="shared" ref="Z284:AA284" si="504">SUM(Z285)</f>
        <v>0</v>
      </c>
      <c r="AA284" s="19">
        <f t="shared" si="504"/>
        <v>0</v>
      </c>
      <c r="AB284" s="19">
        <f t="shared" si="390"/>
        <v>0</v>
      </c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7"/>
      <c r="CD284" s="17"/>
      <c r="CE284" s="17"/>
      <c r="CF284" s="17"/>
      <c r="CG284" s="17"/>
      <c r="CH284" s="17"/>
      <c r="CI284" s="17"/>
      <c r="CJ284" s="17"/>
      <c r="CK284" s="17"/>
      <c r="CL284" s="17"/>
      <c r="CM284" s="17"/>
      <c r="CN284" s="17"/>
      <c r="CO284" s="17"/>
      <c r="CP284" s="17"/>
      <c r="CQ284" s="17"/>
      <c r="CR284" s="17"/>
      <c r="CS284" s="17"/>
      <c r="CT284" s="17"/>
      <c r="CU284" s="17"/>
      <c r="CV284" s="17"/>
      <c r="CW284" s="17"/>
      <c r="CX284" s="17"/>
      <c r="CY284" s="17"/>
      <c r="CZ284" s="17"/>
      <c r="DA284" s="17"/>
      <c r="DB284" s="17"/>
      <c r="DC284" s="17"/>
      <c r="DD284" s="17"/>
      <c r="DE284" s="17"/>
      <c r="DF284" s="17"/>
      <c r="DG284" s="17"/>
      <c r="DH284" s="17"/>
      <c r="DI284" s="17"/>
      <c r="DJ284" s="17"/>
      <c r="DK284" s="17"/>
      <c r="DL284" s="17"/>
      <c r="DM284" s="17"/>
      <c r="DN284" s="17"/>
      <c r="DO284" s="17"/>
      <c r="DP284" s="17"/>
      <c r="DQ284" s="17"/>
      <c r="DR284" s="17"/>
      <c r="DS284" s="17"/>
      <c r="DT284" s="17"/>
      <c r="DU284" s="17"/>
      <c r="DV284" s="17"/>
      <c r="DW284" s="17"/>
      <c r="DX284" s="17"/>
      <c r="DY284" s="17"/>
      <c r="DZ284" s="17"/>
      <c r="EA284" s="17"/>
      <c r="EB284" s="17"/>
      <c r="EC284" s="17"/>
      <c r="ED284" s="17"/>
      <c r="EE284" s="17"/>
      <c r="EF284" s="17"/>
      <c r="EG284" s="17"/>
      <c r="EH284" s="17"/>
      <c r="EI284" s="17"/>
      <c r="EJ284" s="17"/>
      <c r="EK284" s="17"/>
      <c r="EL284" s="17"/>
      <c r="EM284" s="17"/>
      <c r="EN284" s="17"/>
      <c r="EO284" s="17"/>
      <c r="EP284" s="17"/>
      <c r="EQ284" s="17"/>
      <c r="ER284" s="17"/>
      <c r="ES284" s="17"/>
      <c r="ET284" s="17"/>
      <c r="EU284" s="17"/>
      <c r="EV284" s="17"/>
      <c r="EW284" s="17"/>
      <c r="EX284" s="17"/>
      <c r="EY284" s="17"/>
      <c r="EZ284" s="17"/>
      <c r="FA284" s="17"/>
      <c r="FB284" s="17"/>
      <c r="FC284" s="17"/>
      <c r="FD284" s="17"/>
      <c r="FE284" s="17"/>
      <c r="FF284" s="17"/>
      <c r="FG284" s="17"/>
      <c r="FH284" s="17"/>
      <c r="FI284" s="17"/>
      <c r="FJ284" s="17"/>
      <c r="FK284" s="17"/>
      <c r="FL284" s="17"/>
      <c r="FM284" s="17"/>
      <c r="FN284" s="17"/>
      <c r="FO284" s="17"/>
      <c r="FP284" s="17"/>
      <c r="FQ284" s="17"/>
      <c r="FR284" s="17"/>
      <c r="FS284" s="17"/>
      <c r="FT284" s="17"/>
      <c r="FU284" s="17"/>
      <c r="FV284" s="17"/>
      <c r="FW284" s="17"/>
      <c r="FX284" s="17"/>
      <c r="FY284" s="17"/>
      <c r="FZ284" s="17"/>
      <c r="GA284" s="17"/>
      <c r="GB284" s="17"/>
      <c r="GC284" s="17"/>
      <c r="GD284" s="17"/>
      <c r="GE284" s="17"/>
    </row>
    <row r="285" spans="1:187" s="20" customFormat="1" ht="31.5" x14ac:dyDescent="0.25">
      <c r="A285" s="18" t="s">
        <v>156</v>
      </c>
      <c r="B285" s="19">
        <f t="shared" si="382"/>
        <v>24000</v>
      </c>
      <c r="C285" s="19">
        <f t="shared" si="382"/>
        <v>436151</v>
      </c>
      <c r="D285" s="19">
        <f t="shared" si="382"/>
        <v>412151</v>
      </c>
      <c r="E285" s="19">
        <f>SUM(E286:E287)</f>
        <v>0</v>
      </c>
      <c r="F285" s="19">
        <f>SUM(F286:F287)</f>
        <v>0</v>
      </c>
      <c r="G285" s="19">
        <f t="shared" si="383"/>
        <v>0</v>
      </c>
      <c r="H285" s="19">
        <f t="shared" ref="H285:I285" si="505">SUM(H286:H287)</f>
        <v>0</v>
      </c>
      <c r="I285" s="19">
        <f t="shared" si="505"/>
        <v>0</v>
      </c>
      <c r="J285" s="19">
        <f t="shared" si="384"/>
        <v>0</v>
      </c>
      <c r="K285" s="19">
        <f t="shared" ref="K285:L285" si="506">SUM(K286:K287)</f>
        <v>24000</v>
      </c>
      <c r="L285" s="19">
        <f t="shared" si="506"/>
        <v>24000</v>
      </c>
      <c r="M285" s="19">
        <f t="shared" si="385"/>
        <v>0</v>
      </c>
      <c r="N285" s="19">
        <f t="shared" ref="N285:O285" si="507">SUM(N286:N287)</f>
        <v>0</v>
      </c>
      <c r="O285" s="19">
        <f t="shared" si="507"/>
        <v>412151</v>
      </c>
      <c r="P285" s="19">
        <f t="shared" si="386"/>
        <v>412151</v>
      </c>
      <c r="Q285" s="19">
        <f t="shared" ref="Q285:R285" si="508">SUM(Q286:Q287)</f>
        <v>0</v>
      </c>
      <c r="R285" s="19">
        <f t="shared" si="508"/>
        <v>0</v>
      </c>
      <c r="S285" s="19">
        <f t="shared" si="387"/>
        <v>0</v>
      </c>
      <c r="T285" s="19">
        <f t="shared" ref="T285:U285" si="509">SUM(T286:T287)</f>
        <v>0</v>
      </c>
      <c r="U285" s="19">
        <f t="shared" si="509"/>
        <v>0</v>
      </c>
      <c r="V285" s="19">
        <f t="shared" si="388"/>
        <v>0</v>
      </c>
      <c r="W285" s="19">
        <f t="shared" ref="W285:X285" si="510">SUM(W286:W287)</f>
        <v>0</v>
      </c>
      <c r="X285" s="19">
        <f t="shared" si="510"/>
        <v>0</v>
      </c>
      <c r="Y285" s="19">
        <f t="shared" si="389"/>
        <v>0</v>
      </c>
      <c r="Z285" s="19">
        <f t="shared" ref="Z285:AA285" si="511">SUM(Z286:Z287)</f>
        <v>0</v>
      </c>
      <c r="AA285" s="19">
        <f t="shared" si="511"/>
        <v>0</v>
      </c>
      <c r="AB285" s="19">
        <f t="shared" si="390"/>
        <v>0</v>
      </c>
    </row>
    <row r="286" spans="1:187" s="20" customFormat="1" ht="78.75" x14ac:dyDescent="0.25">
      <c r="A286" s="25" t="s">
        <v>255</v>
      </c>
      <c r="B286" s="26">
        <f t="shared" si="382"/>
        <v>0</v>
      </c>
      <c r="C286" s="26">
        <f t="shared" si="382"/>
        <v>412151</v>
      </c>
      <c r="D286" s="26">
        <f t="shared" si="382"/>
        <v>412151</v>
      </c>
      <c r="E286" s="26"/>
      <c r="F286" s="26"/>
      <c r="G286" s="26">
        <f t="shared" si="383"/>
        <v>0</v>
      </c>
      <c r="H286" s="26"/>
      <c r="I286" s="26"/>
      <c r="J286" s="26">
        <f t="shared" si="384"/>
        <v>0</v>
      </c>
      <c r="K286" s="26"/>
      <c r="L286" s="26"/>
      <c r="M286" s="26">
        <f t="shared" si="385"/>
        <v>0</v>
      </c>
      <c r="N286" s="26"/>
      <c r="O286" s="26">
        <v>412151</v>
      </c>
      <c r="P286" s="26">
        <f t="shared" si="386"/>
        <v>412151</v>
      </c>
      <c r="Q286" s="26"/>
      <c r="R286" s="26"/>
      <c r="S286" s="26">
        <f t="shared" si="387"/>
        <v>0</v>
      </c>
      <c r="T286" s="26"/>
      <c r="U286" s="26"/>
      <c r="V286" s="26">
        <f t="shared" si="388"/>
        <v>0</v>
      </c>
      <c r="W286" s="26"/>
      <c r="X286" s="26"/>
      <c r="Y286" s="26">
        <f t="shared" si="389"/>
        <v>0</v>
      </c>
      <c r="Z286" s="26"/>
      <c r="AA286" s="26"/>
      <c r="AB286" s="26">
        <f t="shared" si="390"/>
        <v>0</v>
      </c>
      <c r="FL286" s="17"/>
      <c r="FM286" s="17"/>
      <c r="FN286" s="17"/>
      <c r="FO286" s="17"/>
      <c r="FP286" s="17"/>
      <c r="FQ286" s="17"/>
      <c r="FR286" s="17"/>
      <c r="FS286" s="17"/>
      <c r="FT286" s="17"/>
      <c r="FU286" s="17"/>
      <c r="FV286" s="17"/>
      <c r="FW286" s="17"/>
      <c r="FX286" s="17"/>
      <c r="FY286" s="17"/>
      <c r="FZ286" s="17"/>
      <c r="GA286" s="17"/>
      <c r="GB286" s="17"/>
      <c r="GC286" s="17"/>
      <c r="GD286" s="17"/>
      <c r="GE286" s="17"/>
    </row>
    <row r="287" spans="1:187" s="20" customFormat="1" ht="31.5" x14ac:dyDescent="0.25">
      <c r="A287" s="32" t="s">
        <v>182</v>
      </c>
      <c r="B287" s="26">
        <f t="shared" si="382"/>
        <v>24000</v>
      </c>
      <c r="C287" s="26">
        <f t="shared" si="382"/>
        <v>24000</v>
      </c>
      <c r="D287" s="26">
        <f t="shared" si="382"/>
        <v>0</v>
      </c>
      <c r="E287" s="26"/>
      <c r="F287" s="26"/>
      <c r="G287" s="26">
        <f t="shared" si="383"/>
        <v>0</v>
      </c>
      <c r="H287" s="26"/>
      <c r="I287" s="26"/>
      <c r="J287" s="26">
        <f t="shared" si="384"/>
        <v>0</v>
      </c>
      <c r="K287" s="26">
        <v>24000</v>
      </c>
      <c r="L287" s="26">
        <v>24000</v>
      </c>
      <c r="M287" s="26">
        <f t="shared" si="385"/>
        <v>0</v>
      </c>
      <c r="N287" s="26"/>
      <c r="O287" s="26"/>
      <c r="P287" s="26">
        <f t="shared" si="386"/>
        <v>0</v>
      </c>
      <c r="Q287" s="26"/>
      <c r="R287" s="26"/>
      <c r="S287" s="26">
        <f t="shared" si="387"/>
        <v>0</v>
      </c>
      <c r="T287" s="26"/>
      <c r="U287" s="26"/>
      <c r="V287" s="26">
        <f t="shared" si="388"/>
        <v>0</v>
      </c>
      <c r="W287" s="26"/>
      <c r="X287" s="26"/>
      <c r="Y287" s="26">
        <f t="shared" si="389"/>
        <v>0</v>
      </c>
      <c r="Z287" s="26"/>
      <c r="AA287" s="26"/>
      <c r="AB287" s="26">
        <f t="shared" si="390"/>
        <v>0</v>
      </c>
    </row>
    <row r="288" spans="1:187" s="20" customFormat="1" x14ac:dyDescent="0.25">
      <c r="A288" s="33" t="s">
        <v>159</v>
      </c>
      <c r="B288" s="19">
        <f t="shared" si="382"/>
        <v>117149</v>
      </c>
      <c r="C288" s="19">
        <f t="shared" si="382"/>
        <v>117149</v>
      </c>
      <c r="D288" s="19">
        <f t="shared" si="382"/>
        <v>0</v>
      </c>
      <c r="E288" s="19">
        <f t="shared" ref="E288:AA288" si="512">SUM(E289)</f>
        <v>0</v>
      </c>
      <c r="F288" s="19">
        <f t="shared" si="512"/>
        <v>0</v>
      </c>
      <c r="G288" s="19">
        <f t="shared" si="383"/>
        <v>0</v>
      </c>
      <c r="H288" s="19">
        <f t="shared" si="512"/>
        <v>0</v>
      </c>
      <c r="I288" s="19">
        <f t="shared" si="512"/>
        <v>0</v>
      </c>
      <c r="J288" s="19">
        <f t="shared" si="384"/>
        <v>0</v>
      </c>
      <c r="K288" s="19">
        <f t="shared" si="512"/>
        <v>117149</v>
      </c>
      <c r="L288" s="19">
        <f t="shared" si="512"/>
        <v>117149</v>
      </c>
      <c r="M288" s="19">
        <f t="shared" si="385"/>
        <v>0</v>
      </c>
      <c r="N288" s="19">
        <f t="shared" si="512"/>
        <v>0</v>
      </c>
      <c r="O288" s="19">
        <f t="shared" si="512"/>
        <v>0</v>
      </c>
      <c r="P288" s="19">
        <f t="shared" si="386"/>
        <v>0</v>
      </c>
      <c r="Q288" s="19">
        <f t="shared" si="512"/>
        <v>0</v>
      </c>
      <c r="R288" s="19">
        <f t="shared" si="512"/>
        <v>0</v>
      </c>
      <c r="S288" s="19">
        <f t="shared" si="387"/>
        <v>0</v>
      </c>
      <c r="T288" s="19">
        <f t="shared" si="512"/>
        <v>0</v>
      </c>
      <c r="U288" s="19">
        <f t="shared" si="512"/>
        <v>0</v>
      </c>
      <c r="V288" s="19">
        <f t="shared" si="388"/>
        <v>0</v>
      </c>
      <c r="W288" s="19">
        <f t="shared" si="512"/>
        <v>0</v>
      </c>
      <c r="X288" s="19">
        <f t="shared" si="512"/>
        <v>0</v>
      </c>
      <c r="Y288" s="19">
        <f t="shared" si="389"/>
        <v>0</v>
      </c>
      <c r="Z288" s="19">
        <f t="shared" si="512"/>
        <v>0</v>
      </c>
      <c r="AA288" s="19">
        <f t="shared" si="512"/>
        <v>0</v>
      </c>
      <c r="AB288" s="19">
        <f t="shared" si="390"/>
        <v>0</v>
      </c>
    </row>
    <row r="289" spans="1:188" s="20" customFormat="1" ht="31.5" x14ac:dyDescent="0.25">
      <c r="A289" s="18" t="s">
        <v>45</v>
      </c>
      <c r="B289" s="19">
        <f t="shared" si="382"/>
        <v>117149</v>
      </c>
      <c r="C289" s="19">
        <f t="shared" si="382"/>
        <v>117149</v>
      </c>
      <c r="D289" s="19">
        <f t="shared" si="382"/>
        <v>0</v>
      </c>
      <c r="E289" s="19">
        <f t="shared" ref="E289" si="513">SUM(E290:E291)</f>
        <v>0</v>
      </c>
      <c r="F289" s="19">
        <f t="shared" ref="F289:X289" si="514">SUM(F290:F291)</f>
        <v>0</v>
      </c>
      <c r="G289" s="19">
        <f t="shared" si="383"/>
        <v>0</v>
      </c>
      <c r="H289" s="19">
        <f t="shared" ref="H289" si="515">SUM(H290:H291)</f>
        <v>0</v>
      </c>
      <c r="I289" s="19">
        <f t="shared" si="514"/>
        <v>0</v>
      </c>
      <c r="J289" s="19">
        <f t="shared" si="384"/>
        <v>0</v>
      </c>
      <c r="K289" s="19">
        <f t="shared" ref="K289" si="516">SUM(K290:K291)</f>
        <v>117149</v>
      </c>
      <c r="L289" s="19">
        <f t="shared" ref="L289" si="517">SUM(L290:L291)</f>
        <v>117149</v>
      </c>
      <c r="M289" s="19">
        <f t="shared" si="385"/>
        <v>0</v>
      </c>
      <c r="N289" s="19">
        <f t="shared" ref="N289" si="518">SUM(N290:N291)</f>
        <v>0</v>
      </c>
      <c r="O289" s="19">
        <f t="shared" ref="O289" si="519">SUM(O290:O291)</f>
        <v>0</v>
      </c>
      <c r="P289" s="19">
        <f t="shared" si="386"/>
        <v>0</v>
      </c>
      <c r="Q289" s="19">
        <f t="shared" ref="Q289" si="520">SUM(Q290:Q291)</f>
        <v>0</v>
      </c>
      <c r="R289" s="19">
        <f t="shared" ref="R289" si="521">SUM(R290:R291)</f>
        <v>0</v>
      </c>
      <c r="S289" s="19">
        <f t="shared" si="387"/>
        <v>0</v>
      </c>
      <c r="T289" s="19">
        <f t="shared" ref="T289" si="522">SUM(T290:T291)</f>
        <v>0</v>
      </c>
      <c r="U289" s="19">
        <f t="shared" ref="U289" si="523">SUM(U290:U291)</f>
        <v>0</v>
      </c>
      <c r="V289" s="19">
        <f t="shared" si="388"/>
        <v>0</v>
      </c>
      <c r="W289" s="19">
        <f t="shared" ref="W289" si="524">SUM(W290:W291)</f>
        <v>0</v>
      </c>
      <c r="X289" s="19">
        <f t="shared" si="514"/>
        <v>0</v>
      </c>
      <c r="Y289" s="19">
        <f t="shared" si="389"/>
        <v>0</v>
      </c>
      <c r="Z289" s="19">
        <f t="shared" ref="Z289" si="525">SUM(Z290:Z291)</f>
        <v>0</v>
      </c>
      <c r="AA289" s="19">
        <f t="shared" ref="AA289" si="526">SUM(AA290:AA291)</f>
        <v>0</v>
      </c>
      <c r="AB289" s="19">
        <f t="shared" si="390"/>
        <v>0</v>
      </c>
    </row>
    <row r="290" spans="1:188" s="20" customFormat="1" ht="47.25" x14ac:dyDescent="0.25">
      <c r="A290" s="27" t="s">
        <v>160</v>
      </c>
      <c r="B290" s="26">
        <f t="shared" si="382"/>
        <v>100000</v>
      </c>
      <c r="C290" s="26">
        <f t="shared" si="382"/>
        <v>100000</v>
      </c>
      <c r="D290" s="26">
        <f t="shared" si="382"/>
        <v>0</v>
      </c>
      <c r="E290" s="26"/>
      <c r="F290" s="26"/>
      <c r="G290" s="26">
        <f t="shared" si="383"/>
        <v>0</v>
      </c>
      <c r="H290" s="26"/>
      <c r="I290" s="26"/>
      <c r="J290" s="26">
        <f t="shared" si="384"/>
        <v>0</v>
      </c>
      <c r="K290" s="26">
        <v>100000</v>
      </c>
      <c r="L290" s="26">
        <v>100000</v>
      </c>
      <c r="M290" s="26">
        <f t="shared" si="385"/>
        <v>0</v>
      </c>
      <c r="N290" s="26"/>
      <c r="O290" s="26"/>
      <c r="P290" s="26">
        <f t="shared" si="386"/>
        <v>0</v>
      </c>
      <c r="Q290" s="26"/>
      <c r="R290" s="26"/>
      <c r="S290" s="26">
        <f t="shared" si="387"/>
        <v>0</v>
      </c>
      <c r="T290" s="26"/>
      <c r="U290" s="26"/>
      <c r="V290" s="26">
        <f t="shared" si="388"/>
        <v>0</v>
      </c>
      <c r="W290" s="26"/>
      <c r="X290" s="26"/>
      <c r="Y290" s="26">
        <f t="shared" si="389"/>
        <v>0</v>
      </c>
      <c r="Z290" s="34"/>
      <c r="AA290" s="34"/>
      <c r="AB290" s="26">
        <f t="shared" si="390"/>
        <v>0</v>
      </c>
      <c r="FL290" s="17"/>
      <c r="FM290" s="17"/>
      <c r="FN290" s="17"/>
      <c r="FO290" s="17"/>
      <c r="FP290" s="17"/>
      <c r="FQ290" s="17"/>
      <c r="FR290" s="17"/>
      <c r="FS290" s="17"/>
      <c r="FT290" s="17"/>
      <c r="FU290" s="17"/>
      <c r="FV290" s="17"/>
      <c r="FW290" s="17"/>
      <c r="FX290" s="17"/>
      <c r="FY290" s="17"/>
      <c r="FZ290" s="17"/>
      <c r="GA290" s="17"/>
      <c r="GB290" s="17"/>
      <c r="GC290" s="17"/>
      <c r="GD290" s="17"/>
      <c r="GE290" s="17"/>
    </row>
    <row r="291" spans="1:188" s="20" customFormat="1" ht="31.5" x14ac:dyDescent="0.25">
      <c r="A291" s="27" t="s">
        <v>161</v>
      </c>
      <c r="B291" s="26">
        <f t="shared" si="382"/>
        <v>17149</v>
      </c>
      <c r="C291" s="26">
        <f t="shared" si="382"/>
        <v>17149</v>
      </c>
      <c r="D291" s="26">
        <f t="shared" si="382"/>
        <v>0</v>
      </c>
      <c r="E291" s="26"/>
      <c r="F291" s="26"/>
      <c r="G291" s="26">
        <f t="shared" si="383"/>
        <v>0</v>
      </c>
      <c r="H291" s="26"/>
      <c r="I291" s="26"/>
      <c r="J291" s="26">
        <f t="shared" si="384"/>
        <v>0</v>
      </c>
      <c r="K291" s="26">
        <f>4500+5852+6797</f>
        <v>17149</v>
      </c>
      <c r="L291" s="26">
        <f>4500+5852+6797</f>
        <v>17149</v>
      </c>
      <c r="M291" s="26">
        <f t="shared" si="385"/>
        <v>0</v>
      </c>
      <c r="N291" s="26"/>
      <c r="O291" s="26"/>
      <c r="P291" s="26">
        <f t="shared" si="386"/>
        <v>0</v>
      </c>
      <c r="Q291" s="26"/>
      <c r="R291" s="26"/>
      <c r="S291" s="26">
        <f t="shared" si="387"/>
        <v>0</v>
      </c>
      <c r="T291" s="26"/>
      <c r="U291" s="26"/>
      <c r="V291" s="26">
        <f t="shared" si="388"/>
        <v>0</v>
      </c>
      <c r="W291" s="26"/>
      <c r="X291" s="26"/>
      <c r="Y291" s="26">
        <f t="shared" si="389"/>
        <v>0</v>
      </c>
      <c r="Z291" s="34"/>
      <c r="AA291" s="34"/>
      <c r="AB291" s="26">
        <f t="shared" si="390"/>
        <v>0</v>
      </c>
      <c r="FL291" s="17"/>
      <c r="FM291" s="17"/>
      <c r="FN291" s="17"/>
      <c r="FO291" s="17"/>
      <c r="FP291" s="17"/>
      <c r="FQ291" s="17"/>
      <c r="FR291" s="17"/>
      <c r="FS291" s="17"/>
      <c r="FT291" s="17"/>
      <c r="FU291" s="17"/>
      <c r="FV291" s="17"/>
      <c r="FW291" s="17"/>
      <c r="FX291" s="17"/>
      <c r="FY291" s="17"/>
      <c r="FZ291" s="17"/>
      <c r="GA291" s="17"/>
      <c r="GB291" s="17"/>
      <c r="GC291" s="17"/>
      <c r="GD291" s="17"/>
      <c r="GE291" s="17"/>
    </row>
    <row r="292" spans="1:188" s="20" customFormat="1" ht="31.5" x14ac:dyDescent="0.25">
      <c r="A292" s="33" t="s">
        <v>162</v>
      </c>
      <c r="B292" s="19">
        <f t="shared" si="382"/>
        <v>639749</v>
      </c>
      <c r="C292" s="19">
        <f t="shared" si="382"/>
        <v>0</v>
      </c>
      <c r="D292" s="19">
        <f t="shared" si="382"/>
        <v>-639749</v>
      </c>
      <c r="E292" s="19">
        <f t="shared" ref="E292:AA293" si="527">SUM(E293)</f>
        <v>639749</v>
      </c>
      <c r="F292" s="19">
        <f t="shared" si="527"/>
        <v>0</v>
      </c>
      <c r="G292" s="19">
        <f t="shared" si="383"/>
        <v>-639749</v>
      </c>
      <c r="H292" s="19">
        <f t="shared" si="527"/>
        <v>0</v>
      </c>
      <c r="I292" s="19">
        <f t="shared" si="527"/>
        <v>0</v>
      </c>
      <c r="J292" s="19">
        <f t="shared" si="384"/>
        <v>0</v>
      </c>
      <c r="K292" s="19">
        <f t="shared" si="527"/>
        <v>0</v>
      </c>
      <c r="L292" s="19">
        <f t="shared" si="527"/>
        <v>0</v>
      </c>
      <c r="M292" s="19">
        <f t="shared" si="385"/>
        <v>0</v>
      </c>
      <c r="N292" s="19">
        <f t="shared" si="527"/>
        <v>0</v>
      </c>
      <c r="O292" s="19">
        <f t="shared" si="527"/>
        <v>0</v>
      </c>
      <c r="P292" s="19">
        <f t="shared" si="386"/>
        <v>0</v>
      </c>
      <c r="Q292" s="19">
        <f t="shared" si="527"/>
        <v>0</v>
      </c>
      <c r="R292" s="19">
        <f t="shared" si="527"/>
        <v>0</v>
      </c>
      <c r="S292" s="19">
        <f t="shared" si="387"/>
        <v>0</v>
      </c>
      <c r="T292" s="19">
        <f t="shared" si="527"/>
        <v>0</v>
      </c>
      <c r="U292" s="19">
        <f t="shared" si="527"/>
        <v>0</v>
      </c>
      <c r="V292" s="19">
        <f t="shared" si="388"/>
        <v>0</v>
      </c>
      <c r="W292" s="19">
        <f t="shared" si="527"/>
        <v>0</v>
      </c>
      <c r="X292" s="19">
        <f t="shared" si="527"/>
        <v>0</v>
      </c>
      <c r="Y292" s="19">
        <f t="shared" si="389"/>
        <v>0</v>
      </c>
      <c r="Z292" s="19">
        <f t="shared" si="527"/>
        <v>0</v>
      </c>
      <c r="AA292" s="19">
        <f t="shared" si="527"/>
        <v>0</v>
      </c>
      <c r="AB292" s="19">
        <f t="shared" si="390"/>
        <v>0</v>
      </c>
    </row>
    <row r="293" spans="1:188" s="20" customFormat="1" ht="31.5" x14ac:dyDescent="0.25">
      <c r="A293" s="18" t="s">
        <v>45</v>
      </c>
      <c r="B293" s="19">
        <f t="shared" si="382"/>
        <v>639749</v>
      </c>
      <c r="C293" s="19">
        <f t="shared" si="382"/>
        <v>0</v>
      </c>
      <c r="D293" s="19">
        <f t="shared" si="382"/>
        <v>-639749</v>
      </c>
      <c r="E293" s="19">
        <f t="shared" si="527"/>
        <v>639749</v>
      </c>
      <c r="F293" s="19">
        <f t="shared" si="527"/>
        <v>0</v>
      </c>
      <c r="G293" s="19">
        <f t="shared" si="383"/>
        <v>-639749</v>
      </c>
      <c r="H293" s="19">
        <f t="shared" si="527"/>
        <v>0</v>
      </c>
      <c r="I293" s="19">
        <f t="shared" si="527"/>
        <v>0</v>
      </c>
      <c r="J293" s="19">
        <f t="shared" si="384"/>
        <v>0</v>
      </c>
      <c r="K293" s="19">
        <f t="shared" si="527"/>
        <v>0</v>
      </c>
      <c r="L293" s="19">
        <f t="shared" si="527"/>
        <v>0</v>
      </c>
      <c r="M293" s="19">
        <f t="shared" si="385"/>
        <v>0</v>
      </c>
      <c r="N293" s="19">
        <f t="shared" si="527"/>
        <v>0</v>
      </c>
      <c r="O293" s="19">
        <f t="shared" si="527"/>
        <v>0</v>
      </c>
      <c r="P293" s="19">
        <f t="shared" si="386"/>
        <v>0</v>
      </c>
      <c r="Q293" s="19">
        <f t="shared" si="527"/>
        <v>0</v>
      </c>
      <c r="R293" s="19">
        <f t="shared" si="527"/>
        <v>0</v>
      </c>
      <c r="S293" s="19">
        <f t="shared" si="387"/>
        <v>0</v>
      </c>
      <c r="T293" s="19">
        <f t="shared" si="527"/>
        <v>0</v>
      </c>
      <c r="U293" s="19">
        <f t="shared" si="527"/>
        <v>0</v>
      </c>
      <c r="V293" s="19">
        <f t="shared" si="388"/>
        <v>0</v>
      </c>
      <c r="W293" s="19">
        <f t="shared" si="527"/>
        <v>0</v>
      </c>
      <c r="X293" s="19">
        <f t="shared" si="527"/>
        <v>0</v>
      </c>
      <c r="Y293" s="19">
        <f t="shared" si="389"/>
        <v>0</v>
      </c>
      <c r="Z293" s="19">
        <f t="shared" si="527"/>
        <v>0</v>
      </c>
      <c r="AA293" s="19">
        <f t="shared" si="527"/>
        <v>0</v>
      </c>
      <c r="AB293" s="19">
        <f t="shared" si="390"/>
        <v>0</v>
      </c>
    </row>
    <row r="294" spans="1:188" s="20" customFormat="1" ht="31.5" x14ac:dyDescent="0.25">
      <c r="A294" s="27" t="s">
        <v>163</v>
      </c>
      <c r="B294" s="26">
        <f t="shared" si="382"/>
        <v>639749</v>
      </c>
      <c r="C294" s="26">
        <f t="shared" si="382"/>
        <v>0</v>
      </c>
      <c r="D294" s="26">
        <f t="shared" si="382"/>
        <v>-639749</v>
      </c>
      <c r="E294" s="26">
        <v>639749</v>
      </c>
      <c r="F294" s="26">
        <f>639749-639749</f>
        <v>0</v>
      </c>
      <c r="G294" s="26">
        <f t="shared" si="383"/>
        <v>-639749</v>
      </c>
      <c r="H294" s="26"/>
      <c r="I294" s="26"/>
      <c r="J294" s="26">
        <f t="shared" si="384"/>
        <v>0</v>
      </c>
      <c r="K294" s="26"/>
      <c r="L294" s="26"/>
      <c r="M294" s="26">
        <f t="shared" si="385"/>
        <v>0</v>
      </c>
      <c r="N294" s="26"/>
      <c r="O294" s="26"/>
      <c r="P294" s="26">
        <f t="shared" si="386"/>
        <v>0</v>
      </c>
      <c r="Q294" s="26"/>
      <c r="R294" s="26"/>
      <c r="S294" s="26">
        <f t="shared" si="387"/>
        <v>0</v>
      </c>
      <c r="T294" s="26"/>
      <c r="U294" s="26"/>
      <c r="V294" s="26">
        <f t="shared" si="388"/>
        <v>0</v>
      </c>
      <c r="W294" s="34">
        <v>0</v>
      </c>
      <c r="X294" s="34">
        <v>0</v>
      </c>
      <c r="Y294" s="26">
        <f t="shared" si="389"/>
        <v>0</v>
      </c>
      <c r="Z294" s="34">
        <v>0</v>
      </c>
      <c r="AA294" s="34">
        <v>0</v>
      </c>
      <c r="AB294" s="26">
        <f t="shared" si="390"/>
        <v>0</v>
      </c>
      <c r="FM294" s="17"/>
      <c r="FN294" s="17"/>
      <c r="FO294" s="17"/>
      <c r="FP294" s="17"/>
      <c r="FQ294" s="17"/>
      <c r="FR294" s="17"/>
      <c r="FS294" s="17"/>
      <c r="FT294" s="17"/>
      <c r="FU294" s="17"/>
      <c r="FV294" s="17"/>
      <c r="FW294" s="17"/>
      <c r="FX294" s="17"/>
      <c r="FY294" s="17"/>
      <c r="FZ294" s="17"/>
      <c r="GA294" s="17"/>
      <c r="GB294" s="17"/>
      <c r="GC294" s="17"/>
      <c r="GD294" s="17"/>
      <c r="GE294" s="17"/>
      <c r="GF294" s="17"/>
    </row>
    <row r="295" spans="1:188" s="20" customFormat="1" ht="31.5" x14ac:dyDescent="0.25">
      <c r="A295" s="33" t="s">
        <v>164</v>
      </c>
      <c r="B295" s="19">
        <f t="shared" si="382"/>
        <v>0</v>
      </c>
      <c r="C295" s="19">
        <f t="shared" si="382"/>
        <v>0</v>
      </c>
      <c r="D295" s="19">
        <f t="shared" si="382"/>
        <v>0</v>
      </c>
      <c r="E295" s="19">
        <f t="shared" ref="E295:AA296" si="528">SUM(E296)</f>
        <v>0</v>
      </c>
      <c r="F295" s="19">
        <f t="shared" si="528"/>
        <v>0</v>
      </c>
      <c r="G295" s="19">
        <f t="shared" si="383"/>
        <v>0</v>
      </c>
      <c r="H295" s="19">
        <f t="shared" si="528"/>
        <v>0</v>
      </c>
      <c r="I295" s="19">
        <f t="shared" si="528"/>
        <v>0</v>
      </c>
      <c r="J295" s="19">
        <f t="shared" si="384"/>
        <v>0</v>
      </c>
      <c r="K295" s="19">
        <f t="shared" si="528"/>
        <v>0</v>
      </c>
      <c r="L295" s="19">
        <f t="shared" si="528"/>
        <v>0</v>
      </c>
      <c r="M295" s="19">
        <f t="shared" si="385"/>
        <v>0</v>
      </c>
      <c r="N295" s="19">
        <f t="shared" si="528"/>
        <v>0</v>
      </c>
      <c r="O295" s="19">
        <f t="shared" si="528"/>
        <v>0</v>
      </c>
      <c r="P295" s="19">
        <f t="shared" si="386"/>
        <v>0</v>
      </c>
      <c r="Q295" s="19">
        <f t="shared" si="528"/>
        <v>0</v>
      </c>
      <c r="R295" s="19">
        <f t="shared" si="528"/>
        <v>0</v>
      </c>
      <c r="S295" s="19">
        <f t="shared" si="387"/>
        <v>0</v>
      </c>
      <c r="T295" s="19">
        <f t="shared" si="528"/>
        <v>0</v>
      </c>
      <c r="U295" s="19">
        <f t="shared" si="528"/>
        <v>0</v>
      </c>
      <c r="V295" s="19">
        <f t="shared" si="388"/>
        <v>0</v>
      </c>
      <c r="W295" s="19">
        <f t="shared" si="528"/>
        <v>0</v>
      </c>
      <c r="X295" s="19">
        <f t="shared" si="528"/>
        <v>0</v>
      </c>
      <c r="Y295" s="19">
        <f t="shared" si="389"/>
        <v>0</v>
      </c>
      <c r="Z295" s="19">
        <f t="shared" si="528"/>
        <v>0</v>
      </c>
      <c r="AA295" s="19">
        <f t="shared" si="528"/>
        <v>0</v>
      </c>
      <c r="AB295" s="19">
        <f t="shared" si="390"/>
        <v>0</v>
      </c>
    </row>
    <row r="296" spans="1:188" s="20" customFormat="1" x14ac:dyDescent="0.25">
      <c r="A296" s="18" t="s">
        <v>69</v>
      </c>
      <c r="B296" s="19">
        <f t="shared" si="382"/>
        <v>0</v>
      </c>
      <c r="C296" s="19">
        <f t="shared" si="382"/>
        <v>0</v>
      </c>
      <c r="D296" s="19">
        <f t="shared" si="382"/>
        <v>0</v>
      </c>
      <c r="E296" s="19">
        <f t="shared" si="528"/>
        <v>0</v>
      </c>
      <c r="F296" s="19">
        <f t="shared" si="528"/>
        <v>0</v>
      </c>
      <c r="G296" s="19">
        <f t="shared" si="383"/>
        <v>0</v>
      </c>
      <c r="H296" s="19">
        <f t="shared" si="528"/>
        <v>0</v>
      </c>
      <c r="I296" s="19">
        <f t="shared" si="528"/>
        <v>0</v>
      </c>
      <c r="J296" s="19">
        <f t="shared" si="384"/>
        <v>0</v>
      </c>
      <c r="K296" s="19">
        <f t="shared" si="528"/>
        <v>0</v>
      </c>
      <c r="L296" s="19">
        <f t="shared" si="528"/>
        <v>0</v>
      </c>
      <c r="M296" s="19">
        <f t="shared" si="385"/>
        <v>0</v>
      </c>
      <c r="N296" s="19">
        <f t="shared" si="528"/>
        <v>0</v>
      </c>
      <c r="O296" s="19">
        <f t="shared" si="528"/>
        <v>0</v>
      </c>
      <c r="P296" s="19">
        <f t="shared" si="386"/>
        <v>0</v>
      </c>
      <c r="Q296" s="19">
        <f t="shared" si="528"/>
        <v>0</v>
      </c>
      <c r="R296" s="19">
        <f t="shared" si="528"/>
        <v>0</v>
      </c>
      <c r="S296" s="19">
        <f t="shared" si="387"/>
        <v>0</v>
      </c>
      <c r="T296" s="19">
        <f t="shared" si="528"/>
        <v>0</v>
      </c>
      <c r="U296" s="19">
        <f t="shared" si="528"/>
        <v>0</v>
      </c>
      <c r="V296" s="19">
        <f t="shared" si="388"/>
        <v>0</v>
      </c>
      <c r="W296" s="19">
        <f t="shared" si="528"/>
        <v>0</v>
      </c>
      <c r="X296" s="19">
        <f t="shared" si="528"/>
        <v>0</v>
      </c>
      <c r="Y296" s="19">
        <f t="shared" si="389"/>
        <v>0</v>
      </c>
      <c r="Z296" s="19">
        <f t="shared" si="528"/>
        <v>0</v>
      </c>
      <c r="AA296" s="19">
        <f t="shared" si="528"/>
        <v>0</v>
      </c>
      <c r="AB296" s="19">
        <f t="shared" si="390"/>
        <v>0</v>
      </c>
    </row>
    <row r="297" spans="1:188" s="20" customFormat="1" ht="63" x14ac:dyDescent="0.25">
      <c r="A297" s="27" t="s">
        <v>165</v>
      </c>
      <c r="B297" s="26">
        <f t="shared" si="382"/>
        <v>0</v>
      </c>
      <c r="C297" s="26">
        <f t="shared" si="382"/>
        <v>0</v>
      </c>
      <c r="D297" s="26">
        <f t="shared" si="382"/>
        <v>0</v>
      </c>
      <c r="E297" s="26">
        <f>1077036-1077036</f>
        <v>0</v>
      </c>
      <c r="F297" s="26">
        <f>1077036-1077036</f>
        <v>0</v>
      </c>
      <c r="G297" s="26">
        <f t="shared" si="383"/>
        <v>0</v>
      </c>
      <c r="H297" s="26"/>
      <c r="I297" s="26"/>
      <c r="J297" s="26">
        <f t="shared" si="384"/>
        <v>0</v>
      </c>
      <c r="K297" s="26"/>
      <c r="L297" s="26"/>
      <c r="M297" s="26">
        <f t="shared" si="385"/>
        <v>0</v>
      </c>
      <c r="N297" s="26"/>
      <c r="O297" s="26"/>
      <c r="P297" s="26">
        <f t="shared" si="386"/>
        <v>0</v>
      </c>
      <c r="Q297" s="26"/>
      <c r="R297" s="26"/>
      <c r="S297" s="26">
        <f t="shared" si="387"/>
        <v>0</v>
      </c>
      <c r="T297" s="26"/>
      <c r="U297" s="26"/>
      <c r="V297" s="26">
        <f t="shared" si="388"/>
        <v>0</v>
      </c>
      <c r="W297" s="34">
        <v>0</v>
      </c>
      <c r="X297" s="34">
        <v>0</v>
      </c>
      <c r="Y297" s="26">
        <f t="shared" si="389"/>
        <v>0</v>
      </c>
      <c r="Z297" s="34">
        <v>0</v>
      </c>
      <c r="AA297" s="34">
        <v>0</v>
      </c>
      <c r="AB297" s="26">
        <f t="shared" si="390"/>
        <v>0</v>
      </c>
      <c r="FM297" s="17"/>
      <c r="FN297" s="17"/>
      <c r="FO297" s="17"/>
      <c r="FP297" s="17"/>
      <c r="FQ297" s="17"/>
      <c r="FR297" s="17"/>
      <c r="FS297" s="17"/>
      <c r="FT297" s="17"/>
      <c r="FU297" s="17"/>
      <c r="FV297" s="17"/>
      <c r="FW297" s="17"/>
      <c r="FX297" s="17"/>
      <c r="FY297" s="17"/>
      <c r="FZ297" s="17"/>
      <c r="GA297" s="17"/>
      <c r="GB297" s="17"/>
      <c r="GC297" s="17"/>
      <c r="GD297" s="17"/>
      <c r="GE297" s="17"/>
      <c r="GF297" s="17"/>
    </row>
    <row r="299" spans="1:188" x14ac:dyDescent="0.25">
      <c r="E299" s="49"/>
    </row>
    <row r="304" spans="1:188" s="35" customFormat="1" x14ac:dyDescent="0.25">
      <c r="C304" s="47"/>
      <c r="E304" s="45"/>
    </row>
    <row r="305" spans="1:187" s="36" customFormat="1" x14ac:dyDescent="0.25">
      <c r="A305" s="43" t="s">
        <v>322</v>
      </c>
      <c r="C305" s="44"/>
      <c r="E305" s="46"/>
    </row>
    <row r="306" spans="1:187" s="38" customFormat="1" x14ac:dyDescent="0.25">
      <c r="A306" s="37" t="s">
        <v>323</v>
      </c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</row>
    <row r="307" spans="1:187" x14ac:dyDescent="0.25">
      <c r="A307" s="38" t="s">
        <v>186</v>
      </c>
    </row>
    <row r="308" spans="1:187" s="1" customFormat="1" x14ac:dyDescent="0.25">
      <c r="A308" s="39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</row>
    <row r="309" spans="1:187" s="1" customFormat="1" x14ac:dyDescent="0.25">
      <c r="A309" s="4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</row>
    <row r="310" spans="1:187" s="1" customFormat="1" x14ac:dyDescent="0.25">
      <c r="A310" s="4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</row>
    <row r="311" spans="1:187" s="1" customFormat="1" x14ac:dyDescent="0.25">
      <c r="A311" s="3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</row>
    <row r="312" spans="1:187" s="1" customFormat="1" x14ac:dyDescent="0.25">
      <c r="A312" s="3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</row>
    <row r="313" spans="1:187" s="1" customFormat="1" x14ac:dyDescent="0.25">
      <c r="A313" s="3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</row>
  </sheetData>
  <autoFilter ref="A1:XBT313"/>
  <printOptions horizontalCentered="1"/>
  <pageMargins left="0" right="0" top="0.39370078740157483" bottom="0.39370078740157483" header="0" footer="0"/>
  <pageSetup paperSize="8" scale="45" fitToHeight="0" orientation="landscape" r:id="rId1"/>
  <headerFooter alignWithMargins="0">
    <oddFooter>Стр.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6"/>
  <sheetViews>
    <sheetView view="pageBreakPreview" zoomScaleNormal="100" zoomScaleSheetLayoutView="100" workbookViewId="0">
      <selection activeCell="E1" sqref="E1:F1"/>
    </sheetView>
  </sheetViews>
  <sheetFormatPr defaultRowHeight="15" x14ac:dyDescent="0.25"/>
  <cols>
    <col min="1" max="1" width="8.42578125" style="59" customWidth="1"/>
    <col min="2" max="2" width="63.28515625" style="59" customWidth="1"/>
    <col min="3" max="4" width="9.140625" style="59"/>
    <col min="5" max="5" width="10.140625" style="59" customWidth="1"/>
    <col min="6" max="6" width="9.140625" style="59"/>
    <col min="7" max="14" width="9.140625" style="63"/>
    <col min="15" max="16384" width="9.140625" style="59"/>
  </cols>
  <sheetData>
    <row r="1" spans="1:15" s="63" customFormat="1" x14ac:dyDescent="0.25">
      <c r="A1" s="61"/>
      <c r="B1" s="62"/>
      <c r="C1" s="115"/>
      <c r="D1" s="115"/>
      <c r="E1" s="115" t="s">
        <v>326</v>
      </c>
      <c r="F1" s="115"/>
      <c r="G1" s="62"/>
      <c r="H1" s="62"/>
      <c r="I1" s="62"/>
      <c r="J1" s="62"/>
      <c r="O1" s="59"/>
    </row>
    <row r="2" spans="1:15" s="63" customFormat="1" x14ac:dyDescent="0.25">
      <c r="A2" s="64"/>
      <c r="B2" s="65"/>
      <c r="C2" s="65"/>
      <c r="D2" s="66"/>
      <c r="E2" s="65"/>
      <c r="F2" s="66"/>
      <c r="G2" s="67"/>
      <c r="H2" s="67"/>
      <c r="I2" s="67"/>
      <c r="J2" s="67"/>
      <c r="O2" s="59"/>
    </row>
    <row r="3" spans="1:15" s="63" customFormat="1" x14ac:dyDescent="0.25">
      <c r="A3" s="68" t="s">
        <v>257</v>
      </c>
      <c r="B3" s="68"/>
      <c r="C3" s="69"/>
      <c r="D3" s="70"/>
      <c r="E3" s="69"/>
      <c r="F3" s="70"/>
      <c r="O3" s="59"/>
    </row>
    <row r="4" spans="1:15" s="63" customFormat="1" x14ac:dyDescent="0.25">
      <c r="A4" s="68"/>
      <c r="B4" s="71"/>
      <c r="C4" s="72"/>
      <c r="D4" s="73"/>
      <c r="E4" s="72"/>
      <c r="F4" s="73"/>
      <c r="O4" s="59"/>
    </row>
    <row r="5" spans="1:15" s="63" customFormat="1" x14ac:dyDescent="0.25">
      <c r="A5" s="68" t="s">
        <v>258</v>
      </c>
      <c r="B5" s="68"/>
      <c r="C5" s="69"/>
      <c r="D5" s="70"/>
      <c r="E5" s="69"/>
      <c r="F5" s="70"/>
      <c r="O5" s="59"/>
    </row>
    <row r="6" spans="1:15" s="63" customFormat="1" x14ac:dyDescent="0.25">
      <c r="A6" s="68" t="s">
        <v>259</v>
      </c>
      <c r="B6" s="68"/>
      <c r="C6" s="69"/>
      <c r="D6" s="70"/>
      <c r="E6" s="69"/>
      <c r="F6" s="70"/>
      <c r="O6" s="59"/>
    </row>
    <row r="7" spans="1:15" s="63" customFormat="1" x14ac:dyDescent="0.25">
      <c r="A7" s="74"/>
      <c r="B7" s="75"/>
      <c r="C7" s="76"/>
      <c r="D7" s="76"/>
      <c r="E7" s="76"/>
      <c r="F7" s="76"/>
      <c r="O7" s="59"/>
    </row>
    <row r="8" spans="1:15" s="63" customFormat="1" x14ac:dyDescent="0.25">
      <c r="A8" s="74"/>
      <c r="B8" s="75"/>
      <c r="C8" s="77"/>
      <c r="D8" s="77"/>
      <c r="E8" s="77"/>
      <c r="F8" s="77"/>
      <c r="O8" s="59"/>
    </row>
    <row r="9" spans="1:15" s="63" customFormat="1" ht="12.75" customHeight="1" x14ac:dyDescent="0.25">
      <c r="A9" s="78" t="s">
        <v>260</v>
      </c>
      <c r="B9" s="78" t="s">
        <v>261</v>
      </c>
      <c r="C9" s="116" t="s">
        <v>176</v>
      </c>
      <c r="D9" s="117"/>
      <c r="E9" s="116" t="s">
        <v>177</v>
      </c>
      <c r="F9" s="117"/>
      <c r="G9" s="79"/>
      <c r="H9" s="79"/>
      <c r="I9" s="79"/>
      <c r="J9" s="79"/>
      <c r="O9" s="59"/>
    </row>
    <row r="10" spans="1:15" s="63" customFormat="1" ht="71.25" customHeight="1" x14ac:dyDescent="0.25">
      <c r="A10" s="80"/>
      <c r="B10" s="81"/>
      <c r="C10" s="82" t="s">
        <v>262</v>
      </c>
      <c r="D10" s="82" t="s">
        <v>263</v>
      </c>
      <c r="E10" s="82" t="s">
        <v>262</v>
      </c>
      <c r="F10" s="82" t="s">
        <v>263</v>
      </c>
      <c r="G10" s="83"/>
      <c r="H10" s="83"/>
      <c r="I10" s="83"/>
      <c r="J10" s="83"/>
      <c r="O10" s="59"/>
    </row>
    <row r="11" spans="1:15" s="63" customFormat="1" ht="12.75" customHeight="1" x14ac:dyDescent="0.25">
      <c r="A11" s="84"/>
      <c r="B11" s="85"/>
      <c r="C11" s="86"/>
      <c r="D11" s="86"/>
      <c r="E11" s="86"/>
      <c r="F11" s="86"/>
      <c r="O11" s="59"/>
    </row>
    <row r="12" spans="1:15" s="63" customFormat="1" ht="12.75" customHeight="1" x14ac:dyDescent="0.25">
      <c r="A12" s="80"/>
      <c r="B12" s="87" t="s">
        <v>264</v>
      </c>
      <c r="C12" s="88"/>
      <c r="D12" s="88"/>
      <c r="E12" s="88"/>
      <c r="F12" s="88"/>
      <c r="G12" s="83"/>
      <c r="H12" s="83"/>
      <c r="I12" s="83"/>
      <c r="J12" s="83"/>
      <c r="O12" s="59"/>
    </row>
    <row r="13" spans="1:15" s="63" customFormat="1" ht="12.75" customHeight="1" x14ac:dyDescent="0.25">
      <c r="A13" s="84"/>
      <c r="B13" s="89"/>
      <c r="C13" s="86"/>
      <c r="D13" s="86"/>
      <c r="E13" s="86"/>
      <c r="F13" s="86"/>
      <c r="O13" s="59"/>
    </row>
    <row r="14" spans="1:15" s="63" customFormat="1" ht="12.75" customHeight="1" x14ac:dyDescent="0.25">
      <c r="A14" s="80" t="s">
        <v>265</v>
      </c>
      <c r="B14" s="87" t="s">
        <v>266</v>
      </c>
      <c r="C14" s="88">
        <v>274</v>
      </c>
      <c r="D14" s="88">
        <v>430780</v>
      </c>
      <c r="E14" s="88">
        <v>274</v>
      </c>
      <c r="F14" s="88">
        <v>430780</v>
      </c>
      <c r="G14" s="83"/>
      <c r="H14" s="83"/>
      <c r="I14" s="83"/>
      <c r="J14" s="83"/>
      <c r="O14" s="59"/>
    </row>
    <row r="15" spans="1:15" s="63" customFormat="1" ht="12.75" customHeight="1" x14ac:dyDescent="0.25">
      <c r="A15" s="84"/>
      <c r="B15" s="89" t="s">
        <v>267</v>
      </c>
      <c r="C15" s="86"/>
      <c r="D15" s="86"/>
      <c r="E15" s="86"/>
      <c r="F15" s="86"/>
      <c r="O15" s="59"/>
    </row>
    <row r="16" spans="1:15" s="63" customFormat="1" ht="12.75" customHeight="1" x14ac:dyDescent="0.25">
      <c r="A16" s="84"/>
      <c r="B16" s="89" t="s">
        <v>268</v>
      </c>
      <c r="C16" s="86">
        <v>5</v>
      </c>
      <c r="D16" s="86">
        <v>3747</v>
      </c>
      <c r="E16" s="86">
        <v>5</v>
      </c>
      <c r="F16" s="86">
        <v>3747</v>
      </c>
      <c r="O16" s="59"/>
    </row>
    <row r="17" spans="1:10" ht="12.75" customHeight="1" x14ac:dyDescent="0.25">
      <c r="A17" s="84"/>
      <c r="B17" s="89"/>
      <c r="C17" s="86"/>
      <c r="D17" s="86"/>
      <c r="E17" s="86"/>
      <c r="F17" s="86"/>
    </row>
    <row r="18" spans="1:10" ht="12.75" customHeight="1" x14ac:dyDescent="0.25">
      <c r="A18" s="80" t="s">
        <v>269</v>
      </c>
      <c r="B18" s="87" t="s">
        <v>270</v>
      </c>
      <c r="C18" s="88">
        <v>12</v>
      </c>
      <c r="D18" s="88">
        <v>11333</v>
      </c>
      <c r="E18" s="88">
        <v>12</v>
      </c>
      <c r="F18" s="88">
        <v>11333</v>
      </c>
      <c r="G18" s="83"/>
      <c r="H18" s="83"/>
      <c r="I18" s="83"/>
      <c r="J18" s="83"/>
    </row>
    <row r="19" spans="1:10" ht="12.75" customHeight="1" x14ac:dyDescent="0.25">
      <c r="A19" s="84"/>
      <c r="B19" s="89" t="s">
        <v>267</v>
      </c>
      <c r="C19" s="86"/>
      <c r="D19" s="86"/>
      <c r="E19" s="86"/>
      <c r="F19" s="86"/>
    </row>
    <row r="20" spans="1:10" ht="12.75" customHeight="1" x14ac:dyDescent="0.25">
      <c r="A20" s="84"/>
      <c r="B20" s="89" t="s">
        <v>271</v>
      </c>
      <c r="C20" s="86">
        <v>6</v>
      </c>
      <c r="D20" s="86">
        <v>6057.416666666667</v>
      </c>
      <c r="E20" s="86">
        <v>6</v>
      </c>
      <c r="F20" s="86">
        <v>6057.416666666667</v>
      </c>
      <c r="G20" s="90"/>
    </row>
    <row r="21" spans="1:10" ht="12.75" customHeight="1" x14ac:dyDescent="0.25">
      <c r="A21" s="84"/>
      <c r="B21" s="89"/>
      <c r="C21" s="86"/>
      <c r="D21" s="86"/>
      <c r="E21" s="86"/>
      <c r="F21" s="86"/>
      <c r="G21" s="90"/>
    </row>
    <row r="22" spans="1:10" ht="12.75" customHeight="1" x14ac:dyDescent="0.25">
      <c r="A22" s="80" t="s">
        <v>272</v>
      </c>
      <c r="B22" s="87" t="s">
        <v>273</v>
      </c>
      <c r="C22" s="88">
        <v>237</v>
      </c>
      <c r="D22" s="88">
        <v>289796.25000000006</v>
      </c>
      <c r="E22" s="88">
        <v>237</v>
      </c>
      <c r="F22" s="88">
        <v>367871</v>
      </c>
      <c r="G22" s="83"/>
      <c r="H22" s="83"/>
      <c r="I22" s="83"/>
      <c r="J22" s="83"/>
    </row>
    <row r="23" spans="1:10" ht="12.75" customHeight="1" x14ac:dyDescent="0.25">
      <c r="A23" s="84"/>
      <c r="B23" s="89" t="s">
        <v>267</v>
      </c>
      <c r="C23" s="86"/>
      <c r="D23" s="86"/>
      <c r="E23" s="86"/>
      <c r="F23" s="86"/>
      <c r="G23" s="90"/>
    </row>
    <row r="24" spans="1:10" ht="12.75" customHeight="1" x14ac:dyDescent="0.25">
      <c r="A24" s="84">
        <v>1</v>
      </c>
      <c r="B24" s="89" t="s">
        <v>274</v>
      </c>
      <c r="C24" s="86">
        <v>176</v>
      </c>
      <c r="D24" s="86">
        <v>202213.83333333334</v>
      </c>
      <c r="E24" s="86">
        <v>176</v>
      </c>
      <c r="F24" s="86">
        <f>202213.83+62785</f>
        <v>264998.82999999996</v>
      </c>
      <c r="G24" s="90"/>
    </row>
    <row r="25" spans="1:10" ht="12.75" customHeight="1" x14ac:dyDescent="0.25">
      <c r="A25" s="84">
        <v>2</v>
      </c>
      <c r="B25" s="89" t="s">
        <v>275</v>
      </c>
      <c r="C25" s="86">
        <v>52</v>
      </c>
      <c r="D25" s="86">
        <v>77623</v>
      </c>
      <c r="E25" s="86">
        <v>52</v>
      </c>
      <c r="F25" s="86">
        <f>77623+15290</f>
        <v>92913</v>
      </c>
    </row>
    <row r="26" spans="1:10" ht="12.75" customHeight="1" x14ac:dyDescent="0.25">
      <c r="A26" s="84">
        <v>3</v>
      </c>
      <c r="B26" s="89" t="s">
        <v>276</v>
      </c>
      <c r="C26" s="86">
        <v>9</v>
      </c>
      <c r="D26" s="86">
        <v>9959.4166666666661</v>
      </c>
      <c r="E26" s="86">
        <v>9</v>
      </c>
      <c r="F26" s="86">
        <v>9959.4166666666661</v>
      </c>
    </row>
    <row r="27" spans="1:10" ht="12.75" customHeight="1" x14ac:dyDescent="0.25">
      <c r="A27" s="84"/>
      <c r="B27" s="89"/>
      <c r="C27" s="86"/>
      <c r="D27" s="86"/>
      <c r="E27" s="86"/>
      <c r="F27" s="86"/>
    </row>
    <row r="28" spans="1:10" ht="29.25" customHeight="1" x14ac:dyDescent="0.25">
      <c r="A28" s="80" t="s">
        <v>277</v>
      </c>
      <c r="B28" s="110" t="s">
        <v>278</v>
      </c>
      <c r="C28" s="111">
        <f>360.5+4</f>
        <v>364.5</v>
      </c>
      <c r="D28" s="88">
        <f>443831.333333333+4901</f>
        <v>448732.33333333302</v>
      </c>
      <c r="E28" s="111">
        <f>360.5+4+6+19</f>
        <v>389.5</v>
      </c>
      <c r="F28" s="88">
        <f>443831.333333333+4901+23699+5937</f>
        <v>478368.33333333302</v>
      </c>
      <c r="G28" s="83"/>
      <c r="H28" s="83"/>
      <c r="I28" s="83"/>
      <c r="J28" s="83"/>
    </row>
    <row r="29" spans="1:10" ht="12.75" customHeight="1" x14ac:dyDescent="0.25">
      <c r="A29" s="84"/>
      <c r="B29" s="89"/>
      <c r="C29" s="86"/>
      <c r="D29" s="86"/>
      <c r="E29" s="86"/>
      <c r="F29" s="86"/>
    </row>
    <row r="30" spans="1:10" ht="12.75" customHeight="1" x14ac:dyDescent="0.25">
      <c r="A30" s="80" t="s">
        <v>279</v>
      </c>
      <c r="B30" s="87" t="s">
        <v>280</v>
      </c>
      <c r="C30" s="88">
        <v>190</v>
      </c>
      <c r="D30" s="88">
        <v>222554.91666666666</v>
      </c>
      <c r="E30" s="88">
        <v>190</v>
      </c>
      <c r="F30" s="88">
        <f>222554.916666667+1508</f>
        <v>224062.91666666701</v>
      </c>
      <c r="G30" s="83"/>
      <c r="H30" s="83"/>
      <c r="I30" s="83"/>
      <c r="J30" s="83"/>
    </row>
    <row r="31" spans="1:10" ht="12.75" customHeight="1" x14ac:dyDescent="0.25">
      <c r="A31" s="84"/>
      <c r="B31" s="89"/>
      <c r="C31" s="86"/>
      <c r="D31" s="86"/>
      <c r="E31" s="86"/>
      <c r="F31" s="86"/>
    </row>
    <row r="32" spans="1:10" ht="12.75" customHeight="1" x14ac:dyDescent="0.25">
      <c r="A32" s="84"/>
      <c r="B32" s="89"/>
      <c r="C32" s="86"/>
      <c r="D32" s="86"/>
      <c r="E32" s="86"/>
      <c r="F32" s="86"/>
    </row>
    <row r="33" spans="1:10" ht="12.75" customHeight="1" x14ac:dyDescent="0.25">
      <c r="A33" s="80"/>
      <c r="B33" s="87" t="s">
        <v>281</v>
      </c>
      <c r="C33" s="88"/>
      <c r="D33" s="88"/>
      <c r="E33" s="88"/>
      <c r="F33" s="88"/>
      <c r="G33" s="83"/>
      <c r="H33" s="83"/>
      <c r="I33" s="83"/>
      <c r="J33" s="83"/>
    </row>
    <row r="34" spans="1:10" ht="12.75" customHeight="1" x14ac:dyDescent="0.25">
      <c r="A34" s="80" t="s">
        <v>265</v>
      </c>
      <c r="B34" s="87" t="s">
        <v>266</v>
      </c>
      <c r="C34" s="88">
        <v>41</v>
      </c>
      <c r="D34" s="88">
        <v>38083.833333333336</v>
      </c>
      <c r="E34" s="88">
        <v>41</v>
      </c>
      <c r="F34" s="88">
        <f>38083.8333333333+1812+5501</f>
        <v>45396.833333333299</v>
      </c>
      <c r="G34" s="83"/>
      <c r="H34" s="83"/>
      <c r="I34" s="83"/>
      <c r="J34" s="83"/>
    </row>
    <row r="35" spans="1:10" ht="12.75" customHeight="1" x14ac:dyDescent="0.25">
      <c r="A35" s="84"/>
      <c r="B35" s="89" t="s">
        <v>282</v>
      </c>
      <c r="C35" s="86"/>
      <c r="D35" s="86"/>
      <c r="E35" s="86"/>
      <c r="F35" s="86"/>
    </row>
    <row r="36" spans="1:10" ht="12.75" customHeight="1" x14ac:dyDescent="0.25">
      <c r="A36" s="84"/>
      <c r="B36" s="89" t="s">
        <v>283</v>
      </c>
      <c r="C36" s="86">
        <v>37</v>
      </c>
      <c r="D36" s="86">
        <v>33083.25</v>
      </c>
      <c r="E36" s="86">
        <v>37</v>
      </c>
      <c r="F36" s="86">
        <f>33083.25+1812</f>
        <v>34895.25</v>
      </c>
    </row>
    <row r="37" spans="1:10" ht="12.75" customHeight="1" x14ac:dyDescent="0.25">
      <c r="A37" s="80" t="s">
        <v>284</v>
      </c>
      <c r="B37" s="87" t="s">
        <v>285</v>
      </c>
      <c r="C37" s="88">
        <v>20</v>
      </c>
      <c r="D37" s="88">
        <v>23848</v>
      </c>
      <c r="E37" s="88">
        <f>20-3</f>
        <v>17</v>
      </c>
      <c r="F37" s="88">
        <v>23848</v>
      </c>
      <c r="G37" s="83"/>
      <c r="H37" s="83"/>
      <c r="I37" s="83"/>
      <c r="J37" s="83"/>
    </row>
    <row r="38" spans="1:10" ht="12.75" customHeight="1" x14ac:dyDescent="0.25">
      <c r="A38" s="80" t="s">
        <v>286</v>
      </c>
      <c r="B38" s="87" t="s">
        <v>278</v>
      </c>
      <c r="C38" s="88">
        <v>121</v>
      </c>
      <c r="D38" s="88">
        <v>118995.25</v>
      </c>
      <c r="E38" s="88">
        <v>121</v>
      </c>
      <c r="F38" s="88">
        <v>118995.25</v>
      </c>
      <c r="G38" s="83"/>
      <c r="H38" s="83"/>
      <c r="I38" s="83"/>
      <c r="J38" s="83"/>
    </row>
    <row r="39" spans="1:10" ht="12.75" customHeight="1" x14ac:dyDescent="0.25">
      <c r="A39" s="80"/>
      <c r="B39" s="87"/>
      <c r="C39" s="88"/>
      <c r="D39" s="88"/>
      <c r="E39" s="88"/>
      <c r="F39" s="88"/>
      <c r="G39" s="83"/>
      <c r="H39" s="83"/>
      <c r="I39" s="83"/>
      <c r="J39" s="83"/>
    </row>
    <row r="40" spans="1:10" ht="12.75" customHeight="1" x14ac:dyDescent="0.25">
      <c r="A40" s="80" t="s">
        <v>277</v>
      </c>
      <c r="B40" s="87" t="s">
        <v>287</v>
      </c>
      <c r="C40" s="88">
        <f>265+10</f>
        <v>275</v>
      </c>
      <c r="D40" s="88">
        <f>228553.833333333+11024</f>
        <v>239577.83333333299</v>
      </c>
      <c r="E40" s="88">
        <f>265+10</f>
        <v>275</v>
      </c>
      <c r="F40" s="88">
        <f>228553.833333333+11024</f>
        <v>239577.83333333299</v>
      </c>
      <c r="G40" s="83"/>
      <c r="H40" s="83"/>
      <c r="I40" s="83"/>
      <c r="J40" s="83"/>
    </row>
    <row r="41" spans="1:10" ht="12.75" customHeight="1" x14ac:dyDescent="0.25">
      <c r="A41" s="84"/>
      <c r="B41" s="89"/>
      <c r="C41" s="86"/>
      <c r="D41" s="86"/>
      <c r="E41" s="86"/>
      <c r="F41" s="86"/>
    </row>
    <row r="42" spans="1:10" ht="12.75" customHeight="1" x14ac:dyDescent="0.25">
      <c r="A42" s="80" t="s">
        <v>279</v>
      </c>
      <c r="B42" s="87" t="s">
        <v>288</v>
      </c>
      <c r="C42" s="88">
        <v>110</v>
      </c>
      <c r="D42" s="88">
        <f>106965+1508</f>
        <v>108473</v>
      </c>
      <c r="E42" s="88">
        <v>110</v>
      </c>
      <c r="F42" s="88">
        <f>106965+1508</f>
        <v>108473</v>
      </c>
      <c r="G42" s="83"/>
      <c r="H42" s="83"/>
      <c r="I42" s="83"/>
      <c r="J42" s="83"/>
    </row>
    <row r="43" spans="1:10" ht="12.75" customHeight="1" x14ac:dyDescent="0.25">
      <c r="A43" s="84"/>
      <c r="B43" s="89"/>
      <c r="C43" s="86"/>
      <c r="D43" s="86"/>
      <c r="E43" s="86"/>
      <c r="F43" s="86"/>
    </row>
    <row r="44" spans="1:10" ht="12.75" customHeight="1" x14ac:dyDescent="0.25">
      <c r="A44" s="84">
        <v>1</v>
      </c>
      <c r="B44" s="89" t="s">
        <v>289</v>
      </c>
      <c r="C44" s="86">
        <v>27</v>
      </c>
      <c r="D44" s="86">
        <v>28801.166666666668</v>
      </c>
      <c r="E44" s="86">
        <v>27</v>
      </c>
      <c r="F44" s="86">
        <v>28801.166666666668</v>
      </c>
    </row>
    <row r="45" spans="1:10" ht="12.75" customHeight="1" x14ac:dyDescent="0.25">
      <c r="A45" s="84" t="s">
        <v>290</v>
      </c>
      <c r="B45" s="89" t="s">
        <v>291</v>
      </c>
      <c r="C45" s="86">
        <v>7</v>
      </c>
      <c r="D45" s="86">
        <v>7361.166666666667</v>
      </c>
      <c r="E45" s="86">
        <v>7</v>
      </c>
      <c r="F45" s="86">
        <v>7361.166666666667</v>
      </c>
    </row>
    <row r="46" spans="1:10" ht="12.75" customHeight="1" x14ac:dyDescent="0.25">
      <c r="A46" s="84" t="s">
        <v>292</v>
      </c>
      <c r="B46" s="89" t="s">
        <v>293</v>
      </c>
      <c r="C46" s="86">
        <v>18</v>
      </c>
      <c r="D46" s="86">
        <v>19583.333333333332</v>
      </c>
      <c r="E46" s="86">
        <v>18</v>
      </c>
      <c r="F46" s="86">
        <v>19583.333333333332</v>
      </c>
    </row>
    <row r="47" spans="1:10" ht="12.75" customHeight="1" x14ac:dyDescent="0.25">
      <c r="A47" s="84" t="s">
        <v>294</v>
      </c>
      <c r="B47" s="89" t="s">
        <v>295</v>
      </c>
      <c r="C47" s="86">
        <v>2</v>
      </c>
      <c r="D47" s="86">
        <v>1856.6666666666667</v>
      </c>
      <c r="E47" s="86">
        <v>2</v>
      </c>
      <c r="F47" s="86">
        <v>1856.6666666666667</v>
      </c>
    </row>
    <row r="48" spans="1:10" ht="12.75" customHeight="1" x14ac:dyDescent="0.25">
      <c r="A48" s="84">
        <v>2</v>
      </c>
      <c r="B48" s="89" t="s">
        <v>296</v>
      </c>
      <c r="C48" s="86">
        <v>83</v>
      </c>
      <c r="D48" s="86">
        <v>78164</v>
      </c>
      <c r="E48" s="86">
        <v>83</v>
      </c>
      <c r="F48" s="86">
        <v>78164</v>
      </c>
    </row>
    <row r="49" spans="1:15" s="63" customFormat="1" ht="12.75" customHeight="1" x14ac:dyDescent="0.25">
      <c r="A49" s="84" t="s">
        <v>297</v>
      </c>
      <c r="B49" s="89" t="s">
        <v>298</v>
      </c>
      <c r="C49" s="86">
        <v>28</v>
      </c>
      <c r="D49" s="86">
        <v>24177.5</v>
      </c>
      <c r="E49" s="86">
        <v>28</v>
      </c>
      <c r="F49" s="86">
        <v>24177.5</v>
      </c>
      <c r="O49" s="59"/>
    </row>
    <row r="50" spans="1:15" s="63" customFormat="1" ht="12.75" customHeight="1" x14ac:dyDescent="0.25">
      <c r="A50" s="84" t="s">
        <v>299</v>
      </c>
      <c r="B50" s="89" t="s">
        <v>300</v>
      </c>
      <c r="C50" s="86">
        <v>18</v>
      </c>
      <c r="D50" s="86">
        <v>17084</v>
      </c>
      <c r="E50" s="86">
        <v>18</v>
      </c>
      <c r="F50" s="86">
        <v>17084</v>
      </c>
      <c r="O50" s="59"/>
    </row>
    <row r="51" spans="1:15" s="63" customFormat="1" ht="12.75" customHeight="1" x14ac:dyDescent="0.25">
      <c r="A51" s="84" t="s">
        <v>301</v>
      </c>
      <c r="B51" s="89" t="s">
        <v>302</v>
      </c>
      <c r="C51" s="86">
        <v>19</v>
      </c>
      <c r="D51" s="86">
        <v>19558.333333333332</v>
      </c>
      <c r="E51" s="86">
        <v>19</v>
      </c>
      <c r="F51" s="86">
        <v>19558.333333333332</v>
      </c>
      <c r="O51" s="59"/>
    </row>
    <row r="52" spans="1:15" s="63" customFormat="1" ht="12.75" customHeight="1" x14ac:dyDescent="0.25">
      <c r="A52" s="84" t="s">
        <v>303</v>
      </c>
      <c r="B52" s="89" t="s">
        <v>304</v>
      </c>
      <c r="C52" s="86">
        <v>18</v>
      </c>
      <c r="D52" s="86">
        <v>17344.166666666668</v>
      </c>
      <c r="E52" s="86">
        <v>18</v>
      </c>
      <c r="F52" s="86">
        <v>17344.166666666668</v>
      </c>
      <c r="O52" s="59"/>
    </row>
    <row r="53" spans="1:15" s="63" customFormat="1" ht="12.75" customHeight="1" x14ac:dyDescent="0.25">
      <c r="A53" s="84"/>
      <c r="B53" s="89"/>
      <c r="C53" s="86"/>
      <c r="D53" s="86"/>
      <c r="E53" s="86"/>
      <c r="F53" s="86"/>
      <c r="O53" s="59"/>
    </row>
    <row r="54" spans="1:15" s="63" customFormat="1" ht="12.75" customHeight="1" x14ac:dyDescent="0.25">
      <c r="A54" s="80" t="s">
        <v>305</v>
      </c>
      <c r="B54" s="87" t="s">
        <v>306</v>
      </c>
      <c r="C54" s="88">
        <v>56</v>
      </c>
      <c r="D54" s="88">
        <v>64881.500000000007</v>
      </c>
      <c r="E54" s="88">
        <v>56</v>
      </c>
      <c r="F54" s="88">
        <v>64881.500000000007</v>
      </c>
      <c r="G54" s="83"/>
      <c r="H54" s="83"/>
      <c r="I54" s="83"/>
      <c r="J54" s="83"/>
      <c r="O54" s="59"/>
    </row>
    <row r="55" spans="1:15" s="63" customFormat="1" ht="12.75" customHeight="1" x14ac:dyDescent="0.25">
      <c r="A55" s="84">
        <v>1</v>
      </c>
      <c r="B55" s="89" t="s">
        <v>307</v>
      </c>
      <c r="C55" s="86">
        <v>6</v>
      </c>
      <c r="D55" s="86">
        <v>7708.333333333333</v>
      </c>
      <c r="E55" s="86">
        <v>6</v>
      </c>
      <c r="F55" s="86">
        <v>7708.333333333333</v>
      </c>
      <c r="O55" s="59"/>
    </row>
    <row r="56" spans="1:15" s="63" customFormat="1" ht="12.75" customHeight="1" x14ac:dyDescent="0.25">
      <c r="A56" s="84" t="s">
        <v>290</v>
      </c>
      <c r="B56" s="89" t="s">
        <v>308</v>
      </c>
      <c r="C56" s="86">
        <v>6</v>
      </c>
      <c r="D56" s="86">
        <v>7708.333333333333</v>
      </c>
      <c r="E56" s="86">
        <v>6</v>
      </c>
      <c r="F56" s="86">
        <v>7708.333333333333</v>
      </c>
      <c r="O56" s="59"/>
    </row>
    <row r="57" spans="1:15" s="63" customFormat="1" ht="12.75" customHeight="1" x14ac:dyDescent="0.25">
      <c r="A57" s="84">
        <v>2</v>
      </c>
      <c r="B57" s="89" t="s">
        <v>309</v>
      </c>
      <c r="C57" s="86">
        <v>50</v>
      </c>
      <c r="D57" s="86">
        <v>57173.166666666672</v>
      </c>
      <c r="E57" s="86">
        <v>50</v>
      </c>
      <c r="F57" s="86">
        <v>57173.166666666672</v>
      </c>
      <c r="O57" s="59"/>
    </row>
    <row r="58" spans="1:15" s="63" customFormat="1" ht="12.75" customHeight="1" x14ac:dyDescent="0.25">
      <c r="A58" s="84" t="s">
        <v>297</v>
      </c>
      <c r="B58" s="89" t="s">
        <v>310</v>
      </c>
      <c r="C58" s="86">
        <v>7</v>
      </c>
      <c r="D58" s="86">
        <v>9506.6666666666661</v>
      </c>
      <c r="E58" s="86">
        <v>7</v>
      </c>
      <c r="F58" s="86">
        <v>9506.6666666666661</v>
      </c>
      <c r="O58" s="59"/>
    </row>
    <row r="59" spans="1:15" s="63" customFormat="1" ht="12.75" customHeight="1" x14ac:dyDescent="0.25">
      <c r="A59" s="84" t="s">
        <v>299</v>
      </c>
      <c r="B59" s="89" t="s">
        <v>311</v>
      </c>
      <c r="C59" s="86">
        <v>18</v>
      </c>
      <c r="D59" s="86">
        <f>21165.3333333333*110%</f>
        <v>23281.866666666632</v>
      </c>
      <c r="E59" s="86">
        <v>18</v>
      </c>
      <c r="F59" s="86">
        <f>D59</f>
        <v>23281.866666666632</v>
      </c>
      <c r="O59" s="59"/>
    </row>
    <row r="60" spans="1:15" s="63" customFormat="1" ht="12.75" customHeight="1" x14ac:dyDescent="0.25">
      <c r="A60" s="84" t="s">
        <v>301</v>
      </c>
      <c r="B60" s="89" t="s">
        <v>312</v>
      </c>
      <c r="C60" s="86">
        <v>7</v>
      </c>
      <c r="D60" s="86">
        <v>8208.3333333333339</v>
      </c>
      <c r="E60" s="86">
        <v>7</v>
      </c>
      <c r="F60" s="86">
        <v>8208.3333333333339</v>
      </c>
      <c r="O60" s="59"/>
    </row>
    <row r="61" spans="1:15" s="63" customFormat="1" ht="12.75" customHeight="1" x14ac:dyDescent="0.25">
      <c r="A61" s="84" t="s">
        <v>303</v>
      </c>
      <c r="B61" s="89" t="s">
        <v>313</v>
      </c>
      <c r="C61" s="86">
        <v>18</v>
      </c>
      <c r="D61" s="86">
        <v>18292.833333333332</v>
      </c>
      <c r="E61" s="86">
        <v>18</v>
      </c>
      <c r="F61" s="86">
        <v>18292.833333333332</v>
      </c>
      <c r="O61" s="59"/>
    </row>
    <row r="62" spans="1:15" s="63" customFormat="1" ht="12.75" customHeight="1" x14ac:dyDescent="0.25">
      <c r="A62" s="80"/>
      <c r="B62" s="87" t="s">
        <v>314</v>
      </c>
      <c r="C62" s="88"/>
      <c r="D62" s="88"/>
      <c r="E62" s="88"/>
      <c r="F62" s="88"/>
      <c r="G62" s="83"/>
      <c r="H62" s="83"/>
      <c r="I62" s="83"/>
      <c r="J62" s="83"/>
      <c r="O62" s="59"/>
    </row>
    <row r="63" spans="1:15" s="63" customFormat="1" ht="12.75" customHeight="1" x14ac:dyDescent="0.25">
      <c r="A63" s="80" t="s">
        <v>265</v>
      </c>
      <c r="B63" s="87" t="s">
        <v>266</v>
      </c>
      <c r="C63" s="88">
        <v>25</v>
      </c>
      <c r="D63" s="88">
        <f>28635.4166666667*110%</f>
        <v>31498.958333333372</v>
      </c>
      <c r="E63" s="88">
        <v>25</v>
      </c>
      <c r="F63" s="88">
        <f>D63</f>
        <v>31498.958333333372</v>
      </c>
      <c r="G63" s="83"/>
      <c r="H63" s="83"/>
      <c r="I63" s="83"/>
      <c r="J63" s="83"/>
    </row>
    <row r="64" spans="1:15" s="63" customFormat="1" ht="12.75" customHeight="1" x14ac:dyDescent="0.25">
      <c r="A64" s="80" t="s">
        <v>284</v>
      </c>
      <c r="B64" s="87" t="s">
        <v>285</v>
      </c>
      <c r="C64" s="88">
        <v>1</v>
      </c>
      <c r="D64" s="88">
        <v>1542.25</v>
      </c>
      <c r="E64" s="88">
        <v>1</v>
      </c>
      <c r="F64" s="88">
        <v>1542.25</v>
      </c>
      <c r="G64" s="83"/>
      <c r="H64" s="83"/>
      <c r="I64" s="83"/>
      <c r="J64" s="83"/>
      <c r="O64" s="59"/>
    </row>
    <row r="65" spans="1:15" s="63" customFormat="1" ht="12.75" customHeight="1" x14ac:dyDescent="0.25">
      <c r="A65" s="80" t="s">
        <v>315</v>
      </c>
      <c r="B65" s="87" t="s">
        <v>316</v>
      </c>
      <c r="C65" s="88">
        <v>10</v>
      </c>
      <c r="D65" s="88">
        <v>10487.5</v>
      </c>
      <c r="E65" s="88">
        <v>10</v>
      </c>
      <c r="F65" s="88">
        <v>10487.5</v>
      </c>
      <c r="G65" s="83"/>
      <c r="H65" s="83"/>
      <c r="I65" s="83"/>
      <c r="J65" s="83"/>
      <c r="O65" s="59"/>
    </row>
    <row r="66" spans="1:15" s="63" customFormat="1" ht="12.75" customHeight="1" x14ac:dyDescent="0.25">
      <c r="A66" s="80"/>
      <c r="B66" s="87" t="s">
        <v>317</v>
      </c>
      <c r="C66" s="88"/>
      <c r="D66" s="88"/>
      <c r="E66" s="88"/>
      <c r="F66" s="88"/>
      <c r="G66" s="83"/>
      <c r="H66" s="83"/>
      <c r="I66" s="83"/>
      <c r="J66" s="83"/>
      <c r="O66" s="59"/>
    </row>
    <row r="67" spans="1:15" s="63" customFormat="1" ht="12.75" customHeight="1" x14ac:dyDescent="0.25">
      <c r="A67" s="84">
        <v>1</v>
      </c>
      <c r="B67" s="89" t="s">
        <v>318</v>
      </c>
      <c r="C67" s="86">
        <v>3</v>
      </c>
      <c r="D67" s="86">
        <v>2408.3333333333335</v>
      </c>
      <c r="E67" s="86">
        <v>3</v>
      </c>
      <c r="F67" s="86">
        <v>2408.3333333333335</v>
      </c>
      <c r="O67" s="59"/>
    </row>
    <row r="69" spans="1:15" s="63" customFormat="1" x14ac:dyDescent="0.25">
      <c r="A69" s="59"/>
      <c r="B69" s="59"/>
      <c r="C69" s="59"/>
      <c r="D69" s="91"/>
      <c r="E69" s="59"/>
      <c r="F69" s="91"/>
      <c r="O69" s="59"/>
    </row>
    <row r="70" spans="1:15" s="63" customFormat="1" x14ac:dyDescent="0.25">
      <c r="A70" s="59"/>
      <c r="B70" s="90" t="s">
        <v>319</v>
      </c>
      <c r="C70" s="59"/>
      <c r="D70" s="59"/>
      <c r="E70" s="59"/>
      <c r="F70" s="59"/>
      <c r="O70" s="59"/>
    </row>
    <row r="74" spans="1:15" s="63" customFormat="1" x14ac:dyDescent="0.25">
      <c r="A74" s="92"/>
      <c r="B74" s="59"/>
      <c r="C74" s="59"/>
      <c r="D74" s="59"/>
      <c r="E74" s="59"/>
      <c r="F74" s="59"/>
      <c r="O74" s="59"/>
    </row>
    <row r="75" spans="1:15" s="63" customFormat="1" x14ac:dyDescent="0.25">
      <c r="A75" s="93"/>
      <c r="B75" s="94"/>
      <c r="C75" s="59"/>
      <c r="D75" s="59"/>
      <c r="E75" s="59"/>
      <c r="F75" s="59"/>
      <c r="O75" s="59"/>
    </row>
    <row r="76" spans="1:15" s="63" customFormat="1" x14ac:dyDescent="0.25">
      <c r="A76" s="93"/>
      <c r="B76" s="95"/>
      <c r="C76" s="96"/>
      <c r="D76" s="96"/>
      <c r="E76" s="96"/>
      <c r="F76" s="96"/>
      <c r="G76" s="67"/>
      <c r="H76" s="67"/>
      <c r="I76" s="67"/>
      <c r="J76" s="67"/>
      <c r="O76" s="59"/>
    </row>
    <row r="77" spans="1:15" s="63" customFormat="1" ht="15.75" x14ac:dyDescent="0.25">
      <c r="A77" s="43" t="s">
        <v>324</v>
      </c>
      <c r="B77" s="67"/>
      <c r="C77" s="96"/>
      <c r="D77" s="96"/>
      <c r="E77" s="96"/>
      <c r="F77" s="96"/>
      <c r="G77" s="67"/>
      <c r="H77" s="67"/>
      <c r="I77" s="67"/>
      <c r="J77" s="67"/>
      <c r="O77" s="59"/>
    </row>
    <row r="78" spans="1:15" s="63" customFormat="1" ht="15.75" x14ac:dyDescent="0.25">
      <c r="A78" s="43" t="s">
        <v>325</v>
      </c>
      <c r="B78" s="67"/>
      <c r="C78" s="96"/>
      <c r="D78" s="98"/>
      <c r="E78" s="96"/>
      <c r="F78" s="98"/>
      <c r="G78" s="67"/>
      <c r="H78" s="67"/>
      <c r="I78" s="67"/>
      <c r="J78" s="67"/>
      <c r="O78" s="59"/>
    </row>
    <row r="79" spans="1:15" s="63" customFormat="1" ht="15.75" x14ac:dyDescent="0.25">
      <c r="A79" s="43" t="s">
        <v>186</v>
      </c>
      <c r="B79" s="67"/>
      <c r="C79" s="96"/>
      <c r="D79" s="96"/>
      <c r="E79" s="96"/>
      <c r="F79" s="96"/>
      <c r="G79" s="67"/>
      <c r="H79" s="67"/>
      <c r="I79" s="67"/>
      <c r="J79" s="67"/>
      <c r="O79" s="59"/>
    </row>
    <row r="80" spans="1:15" s="63" customFormat="1" x14ac:dyDescent="0.25">
      <c r="A80" s="93"/>
      <c r="B80" s="94"/>
      <c r="C80" s="94"/>
      <c r="D80" s="94"/>
      <c r="E80" s="94"/>
      <c r="F80" s="94"/>
      <c r="G80" s="94"/>
      <c r="H80" s="94"/>
      <c r="I80" s="94"/>
      <c r="J80" s="94"/>
      <c r="O80" s="59"/>
    </row>
    <row r="81" spans="1:15" s="63" customFormat="1" x14ac:dyDescent="0.25">
      <c r="A81" s="92"/>
      <c r="B81" s="95"/>
      <c r="C81" s="95"/>
      <c r="D81" s="95"/>
      <c r="E81" s="95"/>
      <c r="F81" s="95"/>
      <c r="G81" s="95"/>
      <c r="H81" s="95"/>
      <c r="I81" s="95"/>
      <c r="J81" s="95"/>
      <c r="O81" s="59"/>
    </row>
    <row r="82" spans="1:15" s="63" customFormat="1" x14ac:dyDescent="0.25">
      <c r="A82" s="93"/>
      <c r="B82" s="95"/>
      <c r="C82" s="95"/>
      <c r="D82" s="95"/>
      <c r="E82" s="95"/>
      <c r="F82" s="95"/>
      <c r="G82" s="95"/>
      <c r="H82" s="95"/>
      <c r="I82" s="95"/>
      <c r="J82" s="95"/>
      <c r="O82" s="59"/>
    </row>
    <row r="83" spans="1:15" s="63" customFormat="1" x14ac:dyDescent="0.25">
      <c r="A83" s="97"/>
      <c r="B83" s="67"/>
      <c r="C83" s="65"/>
      <c r="D83" s="65"/>
      <c r="E83" s="65"/>
      <c r="F83" s="65"/>
      <c r="G83" s="67"/>
      <c r="H83" s="67"/>
      <c r="I83" s="67"/>
      <c r="J83" s="67"/>
      <c r="O83" s="59"/>
    </row>
    <row r="84" spans="1:15" s="63" customFormat="1" x14ac:dyDescent="0.25">
      <c r="A84" s="92"/>
      <c r="B84" s="99"/>
      <c r="C84" s="100"/>
      <c r="D84" s="101"/>
      <c r="E84" s="100"/>
      <c r="F84" s="101"/>
      <c r="G84" s="99"/>
      <c r="H84" s="99"/>
      <c r="I84" s="99"/>
      <c r="J84" s="99"/>
      <c r="O84" s="59"/>
    </row>
    <row r="85" spans="1:15" s="63" customFormat="1" x14ac:dyDescent="0.25">
      <c r="A85" s="93"/>
      <c r="B85" s="59"/>
      <c r="C85" s="59"/>
      <c r="D85" s="59"/>
      <c r="E85" s="59"/>
      <c r="F85" s="59"/>
      <c r="O85" s="59"/>
    </row>
    <row r="86" spans="1:15" s="63" customFormat="1" x14ac:dyDescent="0.25">
      <c r="A86" s="102"/>
      <c r="B86" s="103"/>
      <c r="C86" s="103"/>
      <c r="D86" s="103"/>
      <c r="E86" s="103"/>
      <c r="F86" s="103"/>
      <c r="G86" s="103"/>
      <c r="H86" s="103"/>
      <c r="I86" s="103"/>
      <c r="J86" s="103"/>
      <c r="O86" s="59"/>
    </row>
    <row r="87" spans="1:15" s="63" customFormat="1" x14ac:dyDescent="0.25">
      <c r="A87" s="102"/>
      <c r="B87" s="103"/>
      <c r="C87" s="103"/>
      <c r="D87" s="103"/>
      <c r="E87" s="103"/>
      <c r="F87" s="103"/>
      <c r="G87" s="103"/>
      <c r="H87" s="103"/>
      <c r="I87" s="103"/>
      <c r="J87" s="103"/>
      <c r="O87" s="59"/>
    </row>
    <row r="88" spans="1:15" s="63" customFormat="1" x14ac:dyDescent="0.25">
      <c r="A88" s="104"/>
      <c r="B88" s="105"/>
      <c r="C88" s="105"/>
      <c r="D88" s="105"/>
      <c r="E88" s="105"/>
      <c r="F88" s="105"/>
      <c r="G88" s="99"/>
      <c r="H88" s="99"/>
      <c r="I88" s="99"/>
      <c r="J88" s="99"/>
      <c r="O88" s="59"/>
    </row>
    <row r="89" spans="1:15" s="63" customFormat="1" x14ac:dyDescent="0.25">
      <c r="A89" s="104"/>
      <c r="B89" s="106"/>
      <c r="C89" s="106"/>
      <c r="D89" s="106"/>
      <c r="E89" s="106"/>
      <c r="F89" s="106"/>
      <c r="G89" s="67"/>
      <c r="H89" s="67"/>
      <c r="I89" s="67"/>
      <c r="J89" s="67"/>
      <c r="O89" s="59"/>
    </row>
    <row r="90" spans="1:15" s="63" customFormat="1" x14ac:dyDescent="0.25">
      <c r="A90" s="104"/>
      <c r="B90" s="107"/>
      <c r="C90" s="107"/>
      <c r="D90" s="107"/>
      <c r="E90" s="107"/>
      <c r="F90" s="107"/>
      <c r="G90" s="107"/>
      <c r="H90" s="107"/>
      <c r="I90" s="107"/>
      <c r="J90" s="107"/>
      <c r="O90" s="59"/>
    </row>
    <row r="91" spans="1:15" s="63" customFormat="1" x14ac:dyDescent="0.25">
      <c r="A91" s="108"/>
      <c r="B91" s="107"/>
      <c r="C91" s="107"/>
      <c r="D91" s="107"/>
      <c r="E91" s="107"/>
      <c r="F91" s="107"/>
      <c r="G91" s="107"/>
      <c r="H91" s="107"/>
      <c r="I91" s="107"/>
      <c r="J91" s="107"/>
      <c r="O91" s="59"/>
    </row>
    <row r="92" spans="1:15" s="63" customFormat="1" x14ac:dyDescent="0.25">
      <c r="A92" s="64"/>
      <c r="B92" s="59"/>
      <c r="C92" s="59"/>
      <c r="D92" s="59"/>
      <c r="E92" s="59"/>
      <c r="F92" s="59"/>
      <c r="O92" s="59"/>
    </row>
    <row r="93" spans="1:15" s="63" customFormat="1" x14ac:dyDescent="0.25">
      <c r="A93" s="109"/>
      <c r="B93" s="59"/>
      <c r="C93" s="59"/>
      <c r="D93" s="59"/>
      <c r="E93" s="59"/>
      <c r="F93" s="59"/>
      <c r="O93" s="59"/>
    </row>
    <row r="94" spans="1:15" s="63" customFormat="1" x14ac:dyDescent="0.25">
      <c r="A94" s="64"/>
      <c r="B94" s="59"/>
      <c r="C94" s="59"/>
      <c r="D94" s="59"/>
      <c r="E94" s="59"/>
      <c r="F94" s="59"/>
      <c r="O94" s="59"/>
    </row>
    <row r="95" spans="1:15" s="63" customFormat="1" x14ac:dyDescent="0.25">
      <c r="A95" s="61"/>
      <c r="B95" s="59"/>
      <c r="C95" s="59"/>
      <c r="D95" s="59"/>
      <c r="E95" s="59"/>
      <c r="F95" s="59"/>
      <c r="O95" s="59"/>
    </row>
    <row r="96" spans="1:15" s="63" customFormat="1" x14ac:dyDescent="0.25">
      <c r="A96" s="61"/>
      <c r="B96" s="59"/>
      <c r="C96" s="59"/>
      <c r="D96" s="59"/>
      <c r="E96" s="59"/>
      <c r="F96" s="59"/>
      <c r="O96" s="59"/>
    </row>
    <row r="97" spans="1:1" x14ac:dyDescent="0.25">
      <c r="A97" s="64"/>
    </row>
    <row r="98" spans="1:1" x14ac:dyDescent="0.25">
      <c r="A98" s="61"/>
    </row>
    <row r="99" spans="1:1" x14ac:dyDescent="0.25">
      <c r="A99" s="61"/>
    </row>
    <row r="100" spans="1:1" x14ac:dyDescent="0.25">
      <c r="A100" s="64"/>
    </row>
    <row r="101" spans="1:1" x14ac:dyDescent="0.25">
      <c r="A101" s="61"/>
    </row>
    <row r="103" spans="1:1" x14ac:dyDescent="0.25">
      <c r="A103" s="109"/>
    </row>
    <row r="104" spans="1:1" x14ac:dyDescent="0.25">
      <c r="A104" s="109"/>
    </row>
    <row r="105" spans="1:1" x14ac:dyDescent="0.25">
      <c r="A105" s="109"/>
    </row>
    <row r="106" spans="1:1" x14ac:dyDescent="0.25">
      <c r="A106" s="109"/>
    </row>
  </sheetData>
  <mergeCells count="4">
    <mergeCell ref="C1:D1"/>
    <mergeCell ref="E1:F1"/>
    <mergeCell ref="C9:D9"/>
    <mergeCell ref="E9:F9"/>
  </mergeCells>
  <pageMargins left="0.7" right="0.7" top="0.75" bottom="0.75" header="0.3" footer="0.3"/>
  <pageSetup paperSize="9" scale="79" fitToHeight="0" orientation="portrait" r:id="rId1"/>
  <rowBreaks count="1" manualBreakCount="1">
    <brk id="6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ИП промяна август 2022 </vt:lpstr>
      <vt:lpstr>01092022</vt:lpstr>
      <vt:lpstr>'01092022'!Област_печат</vt:lpstr>
      <vt:lpstr>'ИП промяна август 2022 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2022-10-05T09:07:58Z</dcterms:modified>
</cp:coreProperties>
</file>