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ПРИЛОЖЕНИЕ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</sheets>
  <calcPr calcId="152511"/>
</workbook>
</file>

<file path=xl/calcChain.xml><?xml version="1.0" encoding="utf-8"?>
<calcChain xmlns="http://schemas.openxmlformats.org/spreadsheetml/2006/main">
  <c r="C63" i="6" l="1"/>
  <c r="C64" i="6" s="1"/>
  <c r="C62" i="6"/>
  <c r="D59" i="6"/>
  <c r="C49" i="6"/>
  <c r="C48" i="6"/>
  <c r="C47" i="6"/>
  <c r="D44" i="6"/>
  <c r="C33" i="6"/>
  <c r="C32" i="6"/>
  <c r="C34" i="6" s="1"/>
  <c r="D29" i="6"/>
  <c r="C18" i="6"/>
  <c r="C19" i="6" s="1"/>
  <c r="C17" i="6"/>
  <c r="D14" i="6"/>
  <c r="C74" i="5"/>
  <c r="C73" i="5"/>
  <c r="C75" i="5" s="1"/>
  <c r="D70" i="5"/>
  <c r="C56" i="5"/>
  <c r="C55" i="5"/>
  <c r="C57" i="5" s="1"/>
  <c r="D52" i="5"/>
  <c r="C38" i="5"/>
  <c r="C37" i="5"/>
  <c r="C39" i="5" s="1"/>
  <c r="D34" i="5"/>
  <c r="C20" i="5"/>
  <c r="C19" i="5"/>
  <c r="C21" i="5" s="1"/>
  <c r="D16" i="5"/>
  <c r="Q17" i="4" l="1"/>
  <c r="P17" i="4"/>
  <c r="M17" i="4"/>
  <c r="L17" i="4"/>
  <c r="K17" i="4"/>
  <c r="O16" i="4"/>
  <c r="N16" i="4"/>
  <c r="M16" i="4"/>
  <c r="L16" i="4"/>
  <c r="K16" i="4"/>
  <c r="J16" i="4"/>
  <c r="I16" i="4"/>
  <c r="H16" i="4"/>
  <c r="G16" i="4"/>
  <c r="U16" i="4" s="1"/>
  <c r="V16" i="4" s="1"/>
  <c r="F16" i="4"/>
  <c r="R16" i="4" s="1"/>
  <c r="E16" i="4"/>
  <c r="S16" i="4" s="1"/>
  <c r="T16" i="4" s="1"/>
  <c r="O15" i="4"/>
  <c r="O17" i="4" s="1"/>
  <c r="N15" i="4"/>
  <c r="N17" i="4" s="1"/>
  <c r="M15" i="4"/>
  <c r="L15" i="4"/>
  <c r="K15" i="4"/>
  <c r="J15" i="4"/>
  <c r="I15" i="4"/>
  <c r="H15" i="4"/>
  <c r="G15" i="4"/>
  <c r="F15" i="4"/>
  <c r="E15" i="4"/>
  <c r="W15" i="4" s="1"/>
  <c r="X15" i="4" s="1"/>
  <c r="D15" i="4"/>
  <c r="R15" i="4" s="1"/>
  <c r="M14" i="4"/>
  <c r="L14" i="4"/>
  <c r="K14" i="4"/>
  <c r="J14" i="4"/>
  <c r="I14" i="4"/>
  <c r="S14" i="4" s="1"/>
  <c r="T14" i="4" s="1"/>
  <c r="H14" i="4"/>
  <c r="R14" i="4" s="1"/>
  <c r="G14" i="4"/>
  <c r="F14" i="4"/>
  <c r="E14" i="4"/>
  <c r="W14" i="4" s="1"/>
  <c r="X14" i="4" s="1"/>
  <c r="D14" i="4"/>
  <c r="S13" i="4"/>
  <c r="T13" i="4" s="1"/>
  <c r="R13" i="4"/>
  <c r="M13" i="4"/>
  <c r="L13" i="4"/>
  <c r="K13" i="4"/>
  <c r="J13" i="4"/>
  <c r="I13" i="4"/>
  <c r="H13" i="4"/>
  <c r="G13" i="4"/>
  <c r="F13" i="4"/>
  <c r="E13" i="4"/>
  <c r="U13" i="4" s="1"/>
  <c r="V13" i="4" s="1"/>
  <c r="D13" i="4"/>
  <c r="D17" i="4" s="1"/>
  <c r="X12" i="4"/>
  <c r="W12" i="4"/>
  <c r="U12" i="4"/>
  <c r="V12" i="4" s="1"/>
  <c r="S12" i="4"/>
  <c r="T12" i="4" s="1"/>
  <c r="R12" i="4"/>
  <c r="O11" i="4"/>
  <c r="M11" i="4"/>
  <c r="L11" i="4"/>
  <c r="K11" i="4"/>
  <c r="J11" i="4"/>
  <c r="J17" i="4" s="1"/>
  <c r="I11" i="4"/>
  <c r="I17" i="4" s="1"/>
  <c r="H11" i="4"/>
  <c r="H17" i="4" s="1"/>
  <c r="G11" i="4"/>
  <c r="G17" i="4" s="1"/>
  <c r="F11" i="4"/>
  <c r="F17" i="4" s="1"/>
  <c r="E11" i="4"/>
  <c r="S11" i="4" s="1"/>
  <c r="D11" i="4"/>
  <c r="R11" i="4" s="1"/>
  <c r="R17" i="4" l="1"/>
  <c r="AB12" i="4" s="1"/>
  <c r="AB11" i="4"/>
  <c r="T11" i="4"/>
  <c r="T17" i="4" s="1"/>
  <c r="S15" i="4"/>
  <c r="T15" i="4" s="1"/>
  <c r="W16" i="4"/>
  <c r="X16" i="4" s="1"/>
  <c r="U14" i="4"/>
  <c r="V14" i="4" s="1"/>
  <c r="U11" i="4"/>
  <c r="W11" i="4"/>
  <c r="W13" i="4"/>
  <c r="X13" i="4" s="1"/>
  <c r="U15" i="4"/>
  <c r="V15" i="4" s="1"/>
  <c r="E17" i="4"/>
  <c r="AB16" i="4" l="1"/>
  <c r="U17" i="4"/>
  <c r="V11" i="4"/>
  <c r="V17" i="4" s="1"/>
  <c r="AB15" i="4"/>
  <c r="AB13" i="4"/>
  <c r="S17" i="4"/>
  <c r="X11" i="4"/>
  <c r="X17" i="4" s="1"/>
  <c r="W17" i="4"/>
  <c r="AB14" i="4"/>
  <c r="AB17" i="4" s="1"/>
  <c r="C17" i="3" l="1"/>
  <c r="F15" i="3"/>
  <c r="E15" i="3"/>
  <c r="D15" i="3"/>
  <c r="L15" i="3" s="1"/>
  <c r="F14" i="3"/>
  <c r="E14" i="3"/>
  <c r="D14" i="3"/>
  <c r="L14" i="3" s="1"/>
  <c r="L13" i="3"/>
  <c r="K13" i="3"/>
  <c r="F13" i="3"/>
  <c r="E13" i="3"/>
  <c r="D13" i="3"/>
  <c r="J13" i="3" s="1"/>
  <c r="L12" i="3"/>
  <c r="K12" i="3"/>
  <c r="J12" i="3"/>
  <c r="I12" i="3"/>
  <c r="F12" i="3"/>
  <c r="E12" i="3"/>
  <c r="D12" i="3"/>
  <c r="H12" i="3" s="1"/>
  <c r="L11" i="3"/>
  <c r="K11" i="3"/>
  <c r="J11" i="3"/>
  <c r="I11" i="3"/>
  <c r="H11" i="3"/>
  <c r="G11" i="3"/>
  <c r="M11" i="3" s="1"/>
  <c r="F11" i="3"/>
  <c r="E11" i="3"/>
  <c r="D11" i="3"/>
  <c r="L10" i="3"/>
  <c r="K10" i="3"/>
  <c r="J10" i="3"/>
  <c r="I10" i="3"/>
  <c r="H10" i="3"/>
  <c r="G10" i="3"/>
  <c r="M10" i="3" s="1"/>
  <c r="F10" i="3"/>
  <c r="E10" i="3"/>
  <c r="D10" i="3"/>
  <c r="F9" i="3"/>
  <c r="F17" i="3" s="1"/>
  <c r="E9" i="3"/>
  <c r="E17" i="3" s="1"/>
  <c r="D9" i="3"/>
  <c r="L9" i="3" s="1"/>
  <c r="M8" i="3"/>
  <c r="L17" i="3" l="1"/>
  <c r="L19" i="3" s="1"/>
  <c r="G15" i="3"/>
  <c r="H15" i="3"/>
  <c r="G9" i="3"/>
  <c r="H9" i="3"/>
  <c r="I15" i="3"/>
  <c r="J9" i="3"/>
  <c r="H14" i="3"/>
  <c r="J15" i="3"/>
  <c r="K9" i="3"/>
  <c r="K15" i="3"/>
  <c r="G12" i="3"/>
  <c r="M12" i="3" s="1"/>
  <c r="I13" i="3"/>
  <c r="K14" i="3"/>
  <c r="D17" i="3"/>
  <c r="I9" i="3"/>
  <c r="G14" i="3"/>
  <c r="G13" i="3"/>
  <c r="I14" i="3"/>
  <c r="H13" i="3"/>
  <c r="J14" i="3"/>
  <c r="G16" i="3" l="1"/>
  <c r="M16" i="3" s="1"/>
  <c r="M15" i="3"/>
  <c r="K17" i="3"/>
  <c r="K19" i="3" s="1"/>
  <c r="J17" i="3"/>
  <c r="J19" i="3" s="1"/>
  <c r="M13" i="3"/>
  <c r="M14" i="3"/>
  <c r="H17" i="3"/>
  <c r="I17" i="3"/>
  <c r="I19" i="3" s="1"/>
  <c r="M9" i="3"/>
  <c r="G17" i="3"/>
  <c r="M17" i="3" l="1"/>
  <c r="G19" i="3"/>
  <c r="Q36" i="2" l="1"/>
  <c r="P36" i="2"/>
  <c r="M36" i="2"/>
  <c r="L36" i="2"/>
  <c r="K36" i="2"/>
  <c r="J36" i="2"/>
  <c r="I36" i="2"/>
  <c r="H36" i="2"/>
  <c r="G36" i="2"/>
  <c r="F36" i="2"/>
  <c r="D36" i="2"/>
  <c r="Q35" i="2"/>
  <c r="Q37" i="2" s="1"/>
  <c r="Q40" i="2" s="1"/>
  <c r="P35" i="2"/>
  <c r="P37" i="2" s="1"/>
  <c r="P40" i="2" s="1"/>
  <c r="O35" i="2"/>
  <c r="O36" i="2" s="1"/>
  <c r="N35" i="2"/>
  <c r="N36" i="2" s="1"/>
  <c r="E35" i="2"/>
  <c r="E36" i="2" s="1"/>
  <c r="D35" i="2"/>
  <c r="Q31" i="2"/>
  <c r="P31" i="2"/>
  <c r="O31" i="2"/>
  <c r="E31" i="2"/>
  <c r="D31" i="2"/>
  <c r="X30" i="2"/>
  <c r="W30" i="2"/>
  <c r="U30" i="2"/>
  <c r="V30" i="2" s="1"/>
  <c r="O30" i="2"/>
  <c r="S30" i="2" s="1"/>
  <c r="T30" i="2" s="1"/>
  <c r="N30" i="2"/>
  <c r="R30" i="2" s="1"/>
  <c r="W29" i="2"/>
  <c r="X29" i="2" s="1"/>
  <c r="U29" i="2"/>
  <c r="V29" i="2" s="1"/>
  <c r="S29" i="2"/>
  <c r="T29" i="2" s="1"/>
  <c r="R29" i="2"/>
  <c r="O29" i="2"/>
  <c r="N29" i="2"/>
  <c r="W28" i="2"/>
  <c r="X28" i="2" s="1"/>
  <c r="U28" i="2"/>
  <c r="V28" i="2" s="1"/>
  <c r="S28" i="2"/>
  <c r="T28" i="2" s="1"/>
  <c r="R28" i="2"/>
  <c r="O28" i="2"/>
  <c r="N28" i="2"/>
  <c r="X27" i="2"/>
  <c r="W27" i="2"/>
  <c r="O27" i="2"/>
  <c r="O37" i="2" s="1"/>
  <c r="N27" i="2"/>
  <c r="N31" i="2" s="1"/>
  <c r="M26" i="2"/>
  <c r="L26" i="2"/>
  <c r="K26" i="2"/>
  <c r="J26" i="2"/>
  <c r="I26" i="2"/>
  <c r="H26" i="2"/>
  <c r="G26" i="2"/>
  <c r="F26" i="2"/>
  <c r="R26" i="2" s="1"/>
  <c r="E26" i="2"/>
  <c r="W26" i="2" s="1"/>
  <c r="X26" i="2" s="1"/>
  <c r="D26" i="2"/>
  <c r="R25" i="2"/>
  <c r="M25" i="2"/>
  <c r="S25" i="2" s="1"/>
  <c r="T25" i="2" s="1"/>
  <c r="L25" i="2"/>
  <c r="K25" i="2"/>
  <c r="J25" i="2"/>
  <c r="I25" i="2"/>
  <c r="H25" i="2"/>
  <c r="G25" i="2"/>
  <c r="F25" i="2"/>
  <c r="E25" i="2"/>
  <c r="W25" i="2" s="1"/>
  <c r="X25" i="2" s="1"/>
  <c r="D25" i="2"/>
  <c r="M24" i="2"/>
  <c r="L24" i="2"/>
  <c r="K24" i="2"/>
  <c r="J24" i="2"/>
  <c r="J31" i="2" s="1"/>
  <c r="I24" i="2"/>
  <c r="I37" i="2" s="1"/>
  <c r="H24" i="2"/>
  <c r="H37" i="2" s="1"/>
  <c r="G24" i="2"/>
  <c r="S24" i="2" s="1"/>
  <c r="F24" i="2"/>
  <c r="F37" i="2" s="1"/>
  <c r="E24" i="2"/>
  <c r="U24" i="2" s="1"/>
  <c r="D24" i="2"/>
  <c r="R24" i="2" s="1"/>
  <c r="M23" i="2"/>
  <c r="M31" i="2" s="1"/>
  <c r="L23" i="2"/>
  <c r="L31" i="2" s="1"/>
  <c r="K23" i="2"/>
  <c r="K31" i="2" s="1"/>
  <c r="J23" i="2"/>
  <c r="I23" i="2"/>
  <c r="I31" i="2" s="1"/>
  <c r="H23" i="2"/>
  <c r="H31" i="2" s="1"/>
  <c r="G23" i="2"/>
  <c r="F23" i="2"/>
  <c r="E23" i="2"/>
  <c r="E37" i="2" s="1"/>
  <c r="D23" i="2"/>
  <c r="D37" i="2" s="1"/>
  <c r="Q17" i="2"/>
  <c r="P17" i="2"/>
  <c r="R16" i="2"/>
  <c r="O16" i="2"/>
  <c r="N16" i="2"/>
  <c r="M16" i="2"/>
  <c r="L16" i="2"/>
  <c r="K16" i="2"/>
  <c r="J16" i="2"/>
  <c r="I16" i="2"/>
  <c r="H16" i="2"/>
  <c r="G16" i="2"/>
  <c r="F16" i="2"/>
  <c r="E16" i="2"/>
  <c r="W16" i="2" s="1"/>
  <c r="X16" i="2" s="1"/>
  <c r="O15" i="2"/>
  <c r="N15" i="2"/>
  <c r="N17" i="2" s="1"/>
  <c r="M15" i="2"/>
  <c r="L15" i="2"/>
  <c r="K15" i="2"/>
  <c r="J15" i="2"/>
  <c r="I15" i="2"/>
  <c r="H15" i="2"/>
  <c r="G15" i="2"/>
  <c r="U15" i="2" s="1"/>
  <c r="V15" i="2" s="1"/>
  <c r="F15" i="2"/>
  <c r="E15" i="2"/>
  <c r="W15" i="2" s="1"/>
  <c r="X15" i="2" s="1"/>
  <c r="D15" i="2"/>
  <c r="R15" i="2" s="1"/>
  <c r="S14" i="2"/>
  <c r="T14" i="2" s="1"/>
  <c r="M14" i="2"/>
  <c r="L14" i="2"/>
  <c r="K14" i="2"/>
  <c r="J14" i="2"/>
  <c r="I14" i="2"/>
  <c r="H14" i="2"/>
  <c r="G14" i="2"/>
  <c r="F14" i="2"/>
  <c r="E14" i="2"/>
  <c r="U14" i="2" s="1"/>
  <c r="V14" i="2" s="1"/>
  <c r="D14" i="2"/>
  <c r="R14" i="2" s="1"/>
  <c r="M13" i="2"/>
  <c r="L13" i="2"/>
  <c r="K13" i="2"/>
  <c r="J13" i="2"/>
  <c r="I13" i="2"/>
  <c r="H13" i="2"/>
  <c r="G13" i="2"/>
  <c r="F13" i="2"/>
  <c r="R13" i="2" s="1"/>
  <c r="E13" i="2"/>
  <c r="W13" i="2" s="1"/>
  <c r="X13" i="2" s="1"/>
  <c r="D13" i="2"/>
  <c r="X12" i="2"/>
  <c r="W12" i="2"/>
  <c r="U12" i="2"/>
  <c r="V12" i="2" s="1"/>
  <c r="S12" i="2"/>
  <c r="T12" i="2" s="1"/>
  <c r="R12" i="2"/>
  <c r="O11" i="2"/>
  <c r="O17" i="2" s="1"/>
  <c r="M11" i="2"/>
  <c r="M17" i="2" s="1"/>
  <c r="L11" i="2"/>
  <c r="L17" i="2" s="1"/>
  <c r="K11" i="2"/>
  <c r="K17" i="2" s="1"/>
  <c r="J11" i="2"/>
  <c r="J17" i="2" s="1"/>
  <c r="I11" i="2"/>
  <c r="U11" i="2" s="1"/>
  <c r="H11" i="2"/>
  <c r="H17" i="2" s="1"/>
  <c r="G11" i="2"/>
  <c r="G17" i="2" s="1"/>
  <c r="F11" i="2"/>
  <c r="F17" i="2" s="1"/>
  <c r="E11" i="2"/>
  <c r="W11" i="2" s="1"/>
  <c r="D11" i="2"/>
  <c r="D17" i="2" s="1"/>
  <c r="R17" i="2" s="1"/>
  <c r="D40" i="2" l="1"/>
  <c r="E40" i="2"/>
  <c r="X11" i="2"/>
  <c r="W17" i="2"/>
  <c r="V11" i="2"/>
  <c r="V24" i="2"/>
  <c r="H40" i="2"/>
  <c r="I40" i="2"/>
  <c r="O40" i="2"/>
  <c r="F40" i="2"/>
  <c r="T24" i="2"/>
  <c r="S16" i="2"/>
  <c r="T16" i="2" s="1"/>
  <c r="W24" i="2"/>
  <c r="U16" i="2"/>
  <c r="V16" i="2" s="1"/>
  <c r="R23" i="2"/>
  <c r="W14" i="2"/>
  <c r="X14" i="2" s="1"/>
  <c r="S23" i="2"/>
  <c r="U25" i="2"/>
  <c r="V25" i="2" s="1"/>
  <c r="J37" i="2"/>
  <c r="J40" i="2" s="1"/>
  <c r="R35" i="2"/>
  <c r="R36" i="2" s="1"/>
  <c r="K37" i="2"/>
  <c r="K40" i="2" s="1"/>
  <c r="R11" i="2"/>
  <c r="U23" i="2"/>
  <c r="U27" i="2"/>
  <c r="V27" i="2" s="1"/>
  <c r="S35" i="2"/>
  <c r="L37" i="2"/>
  <c r="L40" i="2" s="1"/>
  <c r="I17" i="2"/>
  <c r="R27" i="2"/>
  <c r="F31" i="2"/>
  <c r="S27" i="2"/>
  <c r="T27" i="2" s="1"/>
  <c r="G31" i="2"/>
  <c r="S11" i="2"/>
  <c r="S13" i="2"/>
  <c r="T13" i="2" s="1"/>
  <c r="S15" i="2"/>
  <c r="T15" i="2" s="1"/>
  <c r="S26" i="2"/>
  <c r="T26" i="2" s="1"/>
  <c r="M37" i="2"/>
  <c r="M40" i="2" s="1"/>
  <c r="E17" i="2"/>
  <c r="W23" i="2"/>
  <c r="U35" i="2"/>
  <c r="N37" i="2"/>
  <c r="N40" i="2" s="1"/>
  <c r="G37" i="2"/>
  <c r="G40" i="2" s="1"/>
  <c r="U13" i="2"/>
  <c r="V13" i="2" s="1"/>
  <c r="U26" i="2"/>
  <c r="V26" i="2" s="1"/>
  <c r="W35" i="2"/>
  <c r="V23" i="2" l="1"/>
  <c r="V31" i="2" s="1"/>
  <c r="U31" i="2"/>
  <c r="X35" i="2"/>
  <c r="X36" i="2" s="1"/>
  <c r="W36" i="2"/>
  <c r="S17" i="2"/>
  <c r="T11" i="2"/>
  <c r="T17" i="2" s="1"/>
  <c r="AB36" i="2"/>
  <c r="T23" i="2"/>
  <c r="T31" i="2" s="1"/>
  <c r="S31" i="2"/>
  <c r="V35" i="2"/>
  <c r="V36" i="2" s="1"/>
  <c r="U36" i="2"/>
  <c r="R37" i="2"/>
  <c r="R40" i="2" s="1"/>
  <c r="AB17" i="2" s="1"/>
  <c r="R31" i="2"/>
  <c r="AB31" i="2" s="1"/>
  <c r="V17" i="2"/>
  <c r="U37" i="2"/>
  <c r="X23" i="2"/>
  <c r="W31" i="2"/>
  <c r="U17" i="2"/>
  <c r="S37" i="2"/>
  <c r="S40" i="2" s="1"/>
  <c r="T35" i="2"/>
  <c r="T36" i="2" s="1"/>
  <c r="S36" i="2"/>
  <c r="X24" i="2"/>
  <c r="X37" i="2" s="1"/>
  <c r="X40" i="2" s="1"/>
  <c r="W37" i="2"/>
  <c r="W40" i="2" s="1"/>
  <c r="X17" i="2"/>
  <c r="X31" i="2" l="1"/>
  <c r="U40" i="2"/>
  <c r="V37" i="2"/>
  <c r="V40" i="2" s="1"/>
  <c r="T37" i="2"/>
  <c r="T40" i="2" s="1"/>
  <c r="AB40" i="2"/>
  <c r="C17" i="1" l="1"/>
</calcChain>
</file>

<file path=xl/sharedStrings.xml><?xml version="1.0" encoding="utf-8"?>
<sst xmlns="http://schemas.openxmlformats.org/spreadsheetml/2006/main" count="467" uniqueCount="109">
  <si>
    <t>ПРИЛОЖЕНИЕ №1</t>
  </si>
  <si>
    <t>РАЗХОДИ НА ОП "ГОРСКО СТОПАНСТВО"  ЗА  2021</t>
  </si>
  <si>
    <t>Наименование</t>
  </si>
  <si>
    <t xml:space="preserve">Общо </t>
  </si>
  <si>
    <t>Платени услуги</t>
  </si>
  <si>
    <t>Неплатени услуги</t>
  </si>
  <si>
    <t>Друго</t>
  </si>
  <si>
    <t>разходи</t>
  </si>
  <si>
    <t>Разходи за материали</t>
  </si>
  <si>
    <t>Разходи за външни услуги</t>
  </si>
  <si>
    <t>Разходи за амортизация</t>
  </si>
  <si>
    <t>Разходи за заплати, други възнаграждения и провизии за персонала</t>
  </si>
  <si>
    <t>Разходи за социални осигуровки за персонал</t>
  </si>
  <si>
    <t>Разходи за данъци и такси</t>
  </si>
  <si>
    <t>Разходи за финансови услуги и комисионни</t>
  </si>
  <si>
    <t>Всичко разходи местна дейност</t>
  </si>
  <si>
    <t>Приложение №2</t>
  </si>
  <si>
    <t>РАБОТНА КАРТА ( ОБОБЩЕНА РАБОТНА КАРТАОТ М.М. МАРТ, АПРИЛ И МАЙ 2022 ГОДИНА)</t>
  </si>
  <si>
    <t>I.</t>
  </si>
  <si>
    <t>Платени услуги по чл.50 от НАРЕДБА за определянето и администрирането на местните такси и цени на услуги на територията на Община Велико</t>
  </si>
  <si>
    <t>№ по ред</t>
  </si>
  <si>
    <t>Наименование на услугата</t>
  </si>
  <si>
    <t>всичко часове</t>
  </si>
  <si>
    <t>%-тно съотношение на услугите</t>
  </si>
  <si>
    <t xml:space="preserve">Директор </t>
  </si>
  <si>
    <t>Горски стражар</t>
  </si>
  <si>
    <t>Експерт стопанска дейност</t>
  </si>
  <si>
    <t>Касиер, домакин</t>
  </si>
  <si>
    <t>Главен счетоводи-тел</t>
  </si>
  <si>
    <t>часове</t>
  </si>
  <si>
    <t>%</t>
  </si>
  <si>
    <t>% всичко 7</t>
  </si>
  <si>
    <t>% всичко/7</t>
  </si>
  <si>
    <t>% всичко 6</t>
  </si>
  <si>
    <t>% всичко/6</t>
  </si>
  <si>
    <t>% всичко 5</t>
  </si>
  <si>
    <t>% всичко/5</t>
  </si>
  <si>
    <t>Издаване на разрешително за почистване</t>
  </si>
  <si>
    <t xml:space="preserve">Маркиране и сортиментиране на дървесина на корен </t>
  </si>
  <si>
    <t xml:space="preserve">Измерване и кубиране на отсечената дървесина в лежащо състояние </t>
  </si>
  <si>
    <t xml:space="preserve">Маркиране на дървесина в лежащо състояние </t>
  </si>
  <si>
    <t>Издаване на превозен билет</t>
  </si>
  <si>
    <t xml:space="preserve">Разглеждане на документи за издаване на разрешително за сеч  /За комисия за издаване на разрешително </t>
  </si>
  <si>
    <t>Всичко платени</t>
  </si>
  <si>
    <t>II.</t>
  </si>
  <si>
    <t>За услуги извън чл.50 от НАРЕДБА за определянето и администрирането на местните такси и цени на услуги на територията на Община Велико</t>
  </si>
  <si>
    <t>% всичко</t>
  </si>
  <si>
    <t>Съставяне на протокол от комисия</t>
  </si>
  <si>
    <t>Маркиране на Лесфонд</t>
  </si>
  <si>
    <t xml:space="preserve">Комисия по проект за залесяване </t>
  </si>
  <si>
    <t>Съвещание по маркирация</t>
  </si>
  <si>
    <t>Заявление за издаване на превозен билет</t>
  </si>
  <si>
    <t>Разрешително за дотъп до горски територии</t>
  </si>
  <si>
    <t>Писане на фактурти към сключен договор</t>
  </si>
  <si>
    <t>Приемане на заявения /молба по чл,32, ал.2 от ЗОСИ</t>
  </si>
  <si>
    <t xml:space="preserve">Всичко </t>
  </si>
  <si>
    <t>III.</t>
  </si>
  <si>
    <t>Други дейности, извън първите две</t>
  </si>
  <si>
    <t>Дейности съгласно длъжността</t>
  </si>
  <si>
    <t>II.+III.</t>
  </si>
  <si>
    <t>всичко неплатени</t>
  </si>
  <si>
    <t>I.+II.+III.</t>
  </si>
  <si>
    <t>Всичко  платени и неплатени</t>
  </si>
  <si>
    <t>ПРИЛОЖЕНИЕ №3</t>
  </si>
  <si>
    <t>РАЗХОДИ НА "ОП ГОРСКО СТОПАНСТВО" 2021</t>
  </si>
  <si>
    <t>Общо разходи</t>
  </si>
  <si>
    <t>%-тно съотношение на дейностите</t>
  </si>
  <si>
    <t>Брой предоставени услуги - количество - брой/дървесина на куб.м.</t>
  </si>
  <si>
    <t>Себестойност за 1-ца</t>
  </si>
  <si>
    <t>Предлагана цена</t>
  </si>
  <si>
    <t>Приложение №4</t>
  </si>
  <si>
    <t xml:space="preserve">%-тно разпределение </t>
  </si>
  <si>
    <t>Приложение №5</t>
  </si>
  <si>
    <t xml:space="preserve">РАБОТНА КАРТА </t>
  </si>
  <si>
    <t>ПО ЧЛ. 50, Т.2 ОТ НАРЕДБА (МАРКИРАНЕ И СОРТИМЕНТИРАНЕ НА ДЪРВЕСИНА НА КОРЕН)</t>
  </si>
  <si>
    <t>а) едра куб.м. - време</t>
  </si>
  <si>
    <t>№</t>
  </si>
  <si>
    <t>Вид дейност</t>
  </si>
  <si>
    <t>Мярка</t>
  </si>
  <si>
    <t>Количество</t>
  </si>
  <si>
    <t>Служител</t>
  </si>
  <si>
    <t>"Маркиране и сортиментиране на дървесина на корен" т.2 в % време</t>
  </si>
  <si>
    <t>по т.2 "Маркиране и сортиментиране на дървесина на корен" в лв.</t>
  </si>
  <si>
    <t>Отиване в населеното място до конкретния имот</t>
  </si>
  <si>
    <t>мин</t>
  </si>
  <si>
    <t>Поставя Общинска горска марка</t>
  </si>
  <si>
    <t xml:space="preserve">Връщане да работното място в ОП </t>
  </si>
  <si>
    <t xml:space="preserve">Отива повторно на терен, за да пусне превозен билет, след като е получил информация от гражданина или фирма, че дървесината е отсечена и нарязана. Извършва сортиментиране* и изчислява обема на дървесината в плътни кубически метри, като при дърва за горене - в пространствени кубически метри. </t>
  </si>
  <si>
    <t>Поставя Общинска горска марка на вече нарязаната и натоварена дървесина</t>
  </si>
  <si>
    <t>Издава превозен билет от служебен таблет-времето за издаване зависи от връзка с интернет връзка</t>
  </si>
  <si>
    <t>Издаване/писане на квитанция на гражданина и се извършва плащането</t>
  </si>
  <si>
    <t>Касиер в ОП</t>
  </si>
  <si>
    <t>Общо време</t>
  </si>
  <si>
    <t>минути</t>
  </si>
  <si>
    <t>касиер в ОП</t>
  </si>
  <si>
    <t>б) средна куб.м. - време</t>
  </si>
  <si>
    <t xml:space="preserve">Отива повторно на терен, за да пусне превозен билет, след като е получил информация от гражданина или фирма, че дървесината е отсечена и нарязана. Извършва сортиментиране и изчислява обема на дървесината в плътни кубически метри, като при дърва за горене - в пространствени кубически метри. </t>
  </si>
  <si>
    <t>в) дребна куб.м. - време</t>
  </si>
  <si>
    <t>г) дърва простр. куб.м. - време</t>
  </si>
  <si>
    <t>Забележка: Сортиментиране* - категоризиране на дървесината като едра, средна, дребна и дърва за горене.</t>
  </si>
  <si>
    <t>Приложение №6</t>
  </si>
  <si>
    <t>ПО ЧЛ. 50, Т.3 И ЧЛ.50 Т.4 ОТ НАРЕДБА (ИЗМЕРВАНЕ И КУБИРАНЕ НА ОТСЕЧЕНАТА ДЪРВЕСИНА В ЛЕЖАЩО СЪСТОЯНИЕ</t>
  </si>
  <si>
    <t>И МАРКИРАНЕ НА ДЪРВЕСИНА В ЛЕЖАЩО СЪСТОЯНИЕ)</t>
  </si>
  <si>
    <t>Количе-ство</t>
  </si>
  <si>
    <t xml:space="preserve">"Измерване и кубиране на отсечената дървесина в лежащо състояние" и "Маркиране на дървесина в лежащо състояние" т.3 и т.4 в % време </t>
  </si>
  <si>
    <t>по т.3 "Измерване и кубиране на отсечената дървесина в лежащо състояние" в лв.</t>
  </si>
  <si>
    <t>по т.4 "Маркиране на дървесина в лежащо състояние" в лв.</t>
  </si>
  <si>
    <t>Отива на терен, за да пусне превозен билет, след като е получил информация от гражданина или фирма, че дървесината е отсечена и нарязана. Извършва сортиментиране и изчислява обема на дървесината в плътни кубически метри, като при дърва за горене - в пространствени кубически метри.</t>
  </si>
  <si>
    <t xml:space="preserve">г) дърва простр. куб.м. - време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</si>
</sst>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лв.&quot;;[Red]\-#,##0.00\ &quot;лв.&quot;"/>
    <numFmt numFmtId="164" formatCode="#,##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/>
    <xf numFmtId="0" fontId="5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horizontal="right" vertical="center"/>
    </xf>
    <xf numFmtId="4" fontId="2" fillId="2" borderId="0" xfId="0" applyNumberFormat="1" applyFont="1" applyFill="1"/>
    <xf numFmtId="0" fontId="6" fillId="2" borderId="11" xfId="0" applyFont="1" applyFill="1" applyBorder="1" applyAlignment="1">
      <alignment vertical="center" wrapText="1"/>
    </xf>
    <xf numFmtId="4" fontId="6" fillId="2" borderId="12" xfId="0" applyNumberFormat="1" applyFont="1" applyFill="1" applyBorder="1" applyAlignment="1">
      <alignment horizontal="right" vertical="center"/>
    </xf>
    <xf numFmtId="0" fontId="6" fillId="2" borderId="23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right" vertical="center"/>
    </xf>
    <xf numFmtId="0" fontId="2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Fill="1"/>
    <xf numFmtId="0" fontId="2" fillId="0" borderId="25" xfId="0" applyFont="1" applyBorder="1"/>
    <xf numFmtId="0" fontId="2" fillId="0" borderId="26" xfId="0" applyFont="1" applyBorder="1"/>
    <xf numFmtId="0" fontId="2" fillId="0" borderId="14" xfId="0" applyFont="1" applyBorder="1"/>
    <xf numFmtId="0" fontId="2" fillId="0" borderId="28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31" xfId="0" applyNumberFormat="1" applyFont="1" applyFill="1" applyBorder="1" applyAlignment="1">
      <alignment wrapText="1"/>
    </xf>
    <xf numFmtId="0" fontId="2" fillId="0" borderId="32" xfId="0" applyFont="1" applyBorder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0" applyFont="1" applyBorder="1"/>
    <xf numFmtId="0" fontId="7" fillId="0" borderId="10" xfId="0" applyFont="1" applyBorder="1" applyAlignment="1">
      <alignment horizontal="right"/>
    </xf>
    <xf numFmtId="4" fontId="2" fillId="0" borderId="10" xfId="0" applyNumberFormat="1" applyFont="1" applyBorder="1"/>
    <xf numFmtId="164" fontId="2" fillId="0" borderId="10" xfId="0" applyNumberFormat="1" applyFon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0" fontId="2" fillId="0" borderId="34" xfId="0" applyFont="1" applyBorder="1"/>
    <xf numFmtId="0" fontId="2" fillId="0" borderId="35" xfId="0" applyFont="1" applyBorder="1"/>
    <xf numFmtId="0" fontId="2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horizontal="right"/>
    </xf>
    <xf numFmtId="0" fontId="2" fillId="2" borderId="14" xfId="0" applyFont="1" applyFill="1" applyBorder="1"/>
    <xf numFmtId="4" fontId="2" fillId="2" borderId="14" xfId="0" applyNumberFormat="1" applyFont="1" applyFill="1" applyBorder="1"/>
    <xf numFmtId="164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wrapText="1"/>
    </xf>
    <xf numFmtId="0" fontId="2" fillId="2" borderId="28" xfId="0" applyFont="1" applyFill="1" applyBorder="1"/>
    <xf numFmtId="0" fontId="2" fillId="2" borderId="29" xfId="0" applyFont="1" applyFill="1" applyBorder="1"/>
    <xf numFmtId="0" fontId="7" fillId="0" borderId="14" xfId="0" applyFont="1" applyBorder="1" applyAlignment="1">
      <alignment horizontal="right"/>
    </xf>
    <xf numFmtId="4" fontId="2" fillId="0" borderId="14" xfId="0" applyNumberFormat="1" applyFont="1" applyBorder="1"/>
    <xf numFmtId="164" fontId="2" fillId="0" borderId="14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0" fontId="2" fillId="0" borderId="29" xfId="0" applyFont="1" applyBorder="1"/>
    <xf numFmtId="0" fontId="2" fillId="2" borderId="14" xfId="0" applyFont="1" applyFill="1" applyBorder="1" applyAlignment="1">
      <alignment wrapText="1"/>
    </xf>
    <xf numFmtId="2" fontId="2" fillId="0" borderId="14" xfId="0" applyNumberFormat="1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Fill="1" applyBorder="1"/>
    <xf numFmtId="0" fontId="7" fillId="0" borderId="31" xfId="0" applyFont="1" applyBorder="1"/>
    <xf numFmtId="2" fontId="7" fillId="0" borderId="31" xfId="0" applyNumberFormat="1" applyFont="1" applyBorder="1"/>
    <xf numFmtId="0" fontId="7" fillId="0" borderId="31" xfId="0" applyFont="1" applyBorder="1" applyAlignment="1">
      <alignment horizontal="right"/>
    </xf>
    <xf numFmtId="4" fontId="7" fillId="0" borderId="31" xfId="0" applyNumberFormat="1" applyFont="1" applyBorder="1"/>
    <xf numFmtId="2" fontId="2" fillId="0" borderId="33" xfId="0" applyNumberFormat="1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" fillId="0" borderId="14" xfId="0" applyFont="1" applyFill="1" applyBorder="1" applyAlignment="1">
      <alignment horizontal="center" wrapText="1"/>
    </xf>
    <xf numFmtId="0" fontId="2" fillId="0" borderId="14" xfId="0" applyFont="1" applyFill="1" applyBorder="1"/>
    <xf numFmtId="0" fontId="2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2" fillId="0" borderId="14" xfId="0" applyNumberFormat="1" applyFont="1" applyFill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/>
    <xf numFmtId="0" fontId="7" fillId="0" borderId="14" xfId="0" applyFont="1" applyBorder="1"/>
    <xf numFmtId="0" fontId="7" fillId="0" borderId="0" xfId="0" applyFont="1" applyFill="1"/>
    <xf numFmtId="2" fontId="7" fillId="0" borderId="14" xfId="0" applyNumberFormat="1" applyFont="1" applyBorder="1"/>
    <xf numFmtId="0" fontId="2" fillId="0" borderId="0" xfId="0" applyFont="1" applyAlignment="1">
      <alignment horizontal="center"/>
    </xf>
    <xf numFmtId="0" fontId="8" fillId="0" borderId="0" xfId="0" applyFont="1"/>
    <xf numFmtId="0" fontId="0" fillId="0" borderId="38" xfId="0" applyFill="1" applyBorder="1" applyAlignment="1">
      <alignment vertical="top" wrapText="1"/>
    </xf>
    <xf numFmtId="0" fontId="0" fillId="0" borderId="38" xfId="0" applyFill="1" applyBorder="1" applyAlignment="1">
      <alignment horizontal="center" vertical="top" wrapText="1"/>
    </xf>
    <xf numFmtId="0" fontId="0" fillId="0" borderId="38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8" fillId="2" borderId="14" xfId="0" applyFont="1" applyFill="1" applyBorder="1"/>
    <xf numFmtId="0" fontId="8" fillId="2" borderId="12" xfId="0" applyFont="1" applyFill="1" applyBorder="1"/>
    <xf numFmtId="0" fontId="10" fillId="0" borderId="14" xfId="0" applyFont="1" applyBorder="1" applyAlignment="1">
      <alignment horizontal="center" vertical="center" wrapText="1"/>
    </xf>
    <xf numFmtId="10" fontId="10" fillId="2" borderId="14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2" fontId="11" fillId="2" borderId="12" xfId="0" applyNumberFormat="1" applyFont="1" applyFill="1" applyBorder="1"/>
    <xf numFmtId="0" fontId="8" fillId="0" borderId="29" xfId="0" applyFont="1" applyBorder="1"/>
    <xf numFmtId="0" fontId="12" fillId="0" borderId="13" xfId="0" applyFont="1" applyBorder="1" applyAlignment="1">
      <alignment vertical="center" wrapText="1"/>
    </xf>
    <xf numFmtId="4" fontId="12" fillId="0" borderId="14" xfId="0" applyNumberFormat="1" applyFont="1" applyBorder="1" applyAlignment="1">
      <alignment horizontal="right" vertical="center"/>
    </xf>
    <xf numFmtId="4" fontId="8" fillId="0" borderId="14" xfId="0" applyNumberFormat="1" applyFont="1" applyBorder="1"/>
    <xf numFmtId="4" fontId="11" fillId="2" borderId="14" xfId="0" applyNumberFormat="1" applyFont="1" applyFill="1" applyBorder="1"/>
    <xf numFmtId="4" fontId="11" fillId="2" borderId="12" xfId="0" applyNumberFormat="1" applyFont="1" applyFill="1" applyBorder="1"/>
    <xf numFmtId="4" fontId="8" fillId="0" borderId="14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vertical="center" wrapText="1"/>
    </xf>
    <xf numFmtId="4" fontId="12" fillId="0" borderId="14" xfId="0" applyNumberFormat="1" applyFont="1" applyBorder="1" applyAlignment="1">
      <alignment vertical="center"/>
    </xf>
    <xf numFmtId="0" fontId="12" fillId="0" borderId="17" xfId="0" applyFont="1" applyBorder="1" applyAlignment="1">
      <alignment vertical="center" wrapText="1"/>
    </xf>
    <xf numFmtId="4" fontId="12" fillId="0" borderId="18" xfId="0" applyNumberFormat="1" applyFont="1" applyBorder="1" applyAlignment="1">
      <alignment horizontal="right" vertical="center"/>
    </xf>
    <xf numFmtId="4" fontId="11" fillId="2" borderId="18" xfId="0" applyNumberFormat="1" applyFont="1" applyFill="1" applyBorder="1"/>
    <xf numFmtId="4" fontId="11" fillId="2" borderId="16" xfId="0" applyNumberFormat="1" applyFont="1" applyFill="1" applyBorder="1"/>
    <xf numFmtId="0" fontId="8" fillId="0" borderId="3" xfId="0" applyFont="1" applyBorder="1"/>
    <xf numFmtId="4" fontId="8" fillId="0" borderId="4" xfId="0" applyNumberFormat="1" applyFont="1" applyBorder="1"/>
    <xf numFmtId="3" fontId="11" fillId="2" borderId="4" xfId="0" applyNumberFormat="1" applyFont="1" applyFill="1" applyBorder="1"/>
    <xf numFmtId="4" fontId="11" fillId="2" borderId="4" xfId="0" applyNumberFormat="1" applyFont="1" applyFill="1" applyBorder="1"/>
    <xf numFmtId="4" fontId="11" fillId="2" borderId="5" xfId="0" applyNumberFormat="1" applyFont="1" applyFill="1" applyBorder="1"/>
    <xf numFmtId="0" fontId="8" fillId="0" borderId="21" xfId="0" applyFont="1" applyBorder="1"/>
    <xf numFmtId="4" fontId="8" fillId="0" borderId="22" xfId="0" applyNumberFormat="1" applyFont="1" applyBorder="1"/>
    <xf numFmtId="4" fontId="11" fillId="2" borderId="22" xfId="0" applyNumberFormat="1" applyFont="1" applyFill="1" applyBorder="1"/>
    <xf numFmtId="4" fontId="11" fillId="2" borderId="20" xfId="0" applyNumberFormat="1" applyFont="1" applyFill="1" applyBorder="1"/>
    <xf numFmtId="0" fontId="8" fillId="0" borderId="33" xfId="0" applyFont="1" applyBorder="1"/>
    <xf numFmtId="0" fontId="1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25" xfId="0" applyBorder="1"/>
    <xf numFmtId="0" fontId="0" fillId="0" borderId="14" xfId="0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1" xfId="0" applyNumberFormat="1" applyFill="1" applyBorder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10" xfId="0" applyFill="1" applyBorder="1"/>
    <xf numFmtId="0" fontId="0" fillId="0" borderId="10" xfId="0" applyBorder="1"/>
    <xf numFmtId="0" fontId="1" fillId="0" borderId="10" xfId="0" applyFont="1" applyBorder="1" applyAlignment="1">
      <alignment horizontal="right"/>
    </xf>
    <xf numFmtId="4" fontId="0" fillId="0" borderId="10" xfId="0" applyNumberFormat="1" applyBorder="1"/>
    <xf numFmtId="164" fontId="0" fillId="0" borderId="10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2" fontId="0" fillId="0" borderId="9" xfId="0" applyNumberFormat="1" applyBorder="1"/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wrapText="1"/>
    </xf>
    <xf numFmtId="0" fontId="1" fillId="2" borderId="14" xfId="0" applyFont="1" applyFill="1" applyBorder="1" applyAlignment="1">
      <alignment horizontal="right"/>
    </xf>
    <xf numFmtId="0" fontId="0" fillId="2" borderId="14" xfId="0" applyFill="1" applyBorder="1"/>
    <xf numFmtId="4" fontId="0" fillId="2" borderId="14" xfId="0" applyNumberFormat="1" applyFill="1" applyBorder="1"/>
    <xf numFmtId="164" fontId="0" fillId="2" borderId="14" xfId="0" applyNumberFormat="1" applyFill="1" applyBorder="1" applyAlignment="1">
      <alignment wrapText="1"/>
    </xf>
    <xf numFmtId="4" fontId="0" fillId="2" borderId="14" xfId="0" applyNumberFormat="1" applyFill="1" applyBorder="1" applyAlignment="1">
      <alignment wrapText="1"/>
    </xf>
    <xf numFmtId="2" fontId="0" fillId="2" borderId="12" xfId="0" applyNumberFormat="1" applyFill="1" applyBorder="1"/>
    <xf numFmtId="0" fontId="1" fillId="0" borderId="14" xfId="0" applyFont="1" applyBorder="1" applyAlignment="1">
      <alignment horizontal="right"/>
    </xf>
    <xf numFmtId="4" fontId="0" fillId="0" borderId="14" xfId="0" applyNumberFormat="1" applyBorder="1"/>
    <xf numFmtId="164" fontId="0" fillId="0" borderId="14" xfId="0" applyNumberFormat="1" applyBorder="1" applyAlignment="1">
      <alignment wrapText="1"/>
    </xf>
    <xf numFmtId="4" fontId="0" fillId="0" borderId="14" xfId="0" applyNumberFormat="1" applyBorder="1" applyAlignment="1">
      <alignment wrapText="1"/>
    </xf>
    <xf numFmtId="2" fontId="0" fillId="0" borderId="12" xfId="0" applyNumberFormat="1" applyBorder="1"/>
    <xf numFmtId="0" fontId="0" fillId="2" borderId="14" xfId="0" applyFill="1" applyBorder="1" applyAlignment="1">
      <alignment wrapText="1"/>
    </xf>
    <xf numFmtId="2" fontId="0" fillId="0" borderId="14" xfId="0" applyNumberFormat="1" applyBorder="1"/>
    <xf numFmtId="0" fontId="1" fillId="0" borderId="30" xfId="0" applyFont="1" applyBorder="1" applyAlignment="1">
      <alignment horizontal="center"/>
    </xf>
    <xf numFmtId="0" fontId="1" fillId="0" borderId="31" xfId="0" applyFont="1" applyFill="1" applyBorder="1"/>
    <xf numFmtId="0" fontId="1" fillId="0" borderId="31" xfId="0" applyFont="1" applyBorder="1"/>
    <xf numFmtId="2" fontId="1" fillId="0" borderId="31" xfId="0" applyNumberFormat="1" applyFont="1" applyBorder="1"/>
    <xf numFmtId="0" fontId="1" fillId="0" borderId="31" xfId="0" applyFont="1" applyBorder="1" applyAlignment="1">
      <alignment horizontal="right"/>
    </xf>
    <xf numFmtId="4" fontId="1" fillId="0" borderId="31" xfId="0" applyNumberFormat="1" applyFont="1" applyBorder="1"/>
    <xf numFmtId="0" fontId="0" fillId="0" borderId="41" xfId="0" applyBorder="1"/>
    <xf numFmtId="0" fontId="0" fillId="0" borderId="0" xfId="0" applyFill="1" applyBorder="1"/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8" fillId="0" borderId="0" xfId="0" applyFont="1" applyBorder="1" applyAlignment="1">
      <alignment horizontal="left"/>
    </xf>
    <xf numFmtId="0" fontId="17" fillId="0" borderId="0" xfId="0" applyFont="1"/>
    <xf numFmtId="0" fontId="15" fillId="0" borderId="14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wrapText="1"/>
    </xf>
    <xf numFmtId="0" fontId="15" fillId="0" borderId="14" xfId="0" applyFont="1" applyBorder="1" applyAlignment="1">
      <alignment horizontal="right" vertical="center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center" vertical="center"/>
    </xf>
    <xf numFmtId="0" fontId="15" fillId="0" borderId="28" xfId="0" applyFont="1" applyBorder="1" applyAlignment="1">
      <alignment wrapText="1"/>
    </xf>
    <xf numFmtId="0" fontId="15" fillId="0" borderId="42" xfId="0" applyFont="1" applyBorder="1"/>
    <xf numFmtId="0" fontId="15" fillId="0" borderId="18" xfId="0" applyFont="1" applyBorder="1"/>
    <xf numFmtId="0" fontId="15" fillId="0" borderId="14" xfId="0" applyFont="1" applyBorder="1"/>
    <xf numFmtId="0" fontId="15" fillId="0" borderId="43" xfId="0" applyFont="1" applyBorder="1"/>
    <xf numFmtId="0" fontId="15" fillId="0" borderId="22" xfId="0" applyFont="1" applyBorder="1"/>
    <xf numFmtId="0" fontId="15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right"/>
    </xf>
    <xf numFmtId="0" fontId="15" fillId="0" borderId="18" xfId="0" applyFont="1" applyBorder="1" applyAlignment="1">
      <alignment horizontal="center" vertical="center"/>
    </xf>
    <xf numFmtId="0" fontId="17" fillId="0" borderId="14" xfId="0" applyFont="1" applyFill="1" applyBorder="1" applyAlignment="1">
      <alignment wrapText="1"/>
    </xf>
    <xf numFmtId="0" fontId="17" fillId="0" borderId="14" xfId="0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/>
    </xf>
    <xf numFmtId="8" fontId="15" fillId="0" borderId="1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right" vertical="center"/>
    </xf>
    <xf numFmtId="0" fontId="15" fillId="0" borderId="13" xfId="0" applyFont="1" applyBorder="1"/>
    <xf numFmtId="0" fontId="15" fillId="0" borderId="28" xfId="0" applyFont="1" applyBorder="1"/>
    <xf numFmtId="0" fontId="13" fillId="0" borderId="14" xfId="0" applyFont="1" applyBorder="1" applyAlignment="1">
      <alignment horizontal="right"/>
    </xf>
    <xf numFmtId="0" fontId="17" fillId="0" borderId="14" xfId="0" applyFont="1" applyBorder="1"/>
    <xf numFmtId="0" fontId="17" fillId="0" borderId="28" xfId="0" applyFont="1" applyBorder="1"/>
    <xf numFmtId="0" fontId="15" fillId="0" borderId="34" xfId="0" applyFont="1" applyBorder="1"/>
    <xf numFmtId="0" fontId="15" fillId="0" borderId="10" xfId="0" applyFont="1" applyBorder="1"/>
    <xf numFmtId="0" fontId="15" fillId="0" borderId="0" xfId="0" applyFont="1" applyBorder="1"/>
    <xf numFmtId="0" fontId="13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wrapText="1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17" fillId="0" borderId="14" xfId="0" applyFont="1" applyBorder="1" applyAlignment="1">
      <alignment wrapText="1"/>
    </xf>
    <xf numFmtId="9" fontId="15" fillId="0" borderId="10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4" fontId="6" fillId="2" borderId="16" xfId="0" applyNumberFormat="1" applyFont="1" applyFill="1" applyBorder="1" applyAlignment="1">
      <alignment horizontal="right" vertical="center"/>
    </xf>
    <xf numFmtId="4" fontId="6" fillId="2" borderId="20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10" fontId="10" fillId="2" borderId="1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24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C17" sqref="C17"/>
    </sheetView>
  </sheetViews>
  <sheetFormatPr defaultRowHeight="18" x14ac:dyDescent="0.35"/>
  <cols>
    <col min="1" max="1" width="8.88671875" style="1"/>
    <col min="2" max="2" width="46.33203125" style="1" customWidth="1"/>
    <col min="3" max="3" width="24.109375" style="1" customWidth="1"/>
    <col min="4" max="16384" width="8.88671875" style="1"/>
  </cols>
  <sheetData>
    <row r="1" spans="2:6" x14ac:dyDescent="0.35">
      <c r="C1" s="2" t="s">
        <v>0</v>
      </c>
    </row>
    <row r="2" spans="2:6" x14ac:dyDescent="0.35">
      <c r="B2" s="193"/>
      <c r="C2" s="193"/>
    </row>
    <row r="3" spans="2:6" x14ac:dyDescent="0.35">
      <c r="B3" s="193"/>
      <c r="C3" s="193"/>
    </row>
    <row r="4" spans="2:6" x14ac:dyDescent="0.35">
      <c r="B4" s="194" t="s">
        <v>1</v>
      </c>
      <c r="C4" s="194"/>
    </row>
    <row r="5" spans="2:6" x14ac:dyDescent="0.35">
      <c r="B5" s="3"/>
      <c r="C5" s="3"/>
    </row>
    <row r="6" spans="2:6" ht="18.600000000000001" thickBot="1" x14ac:dyDescent="0.4">
      <c r="B6" s="4"/>
      <c r="C6" s="4"/>
    </row>
    <row r="7" spans="2:6" x14ac:dyDescent="0.35">
      <c r="B7" s="195" t="s">
        <v>2</v>
      </c>
      <c r="C7" s="5" t="s">
        <v>3</v>
      </c>
    </row>
    <row r="8" spans="2:6" ht="18.600000000000001" thickBot="1" x14ac:dyDescent="0.4">
      <c r="B8" s="196"/>
      <c r="C8" s="6" t="s">
        <v>7</v>
      </c>
    </row>
    <row r="9" spans="2:6" x14ac:dyDescent="0.35">
      <c r="B9" s="7" t="s">
        <v>8</v>
      </c>
      <c r="C9" s="8">
        <v>19446.59</v>
      </c>
      <c r="E9" s="9"/>
      <c r="F9" s="9"/>
    </row>
    <row r="10" spans="2:6" x14ac:dyDescent="0.35">
      <c r="B10" s="10" t="s">
        <v>9</v>
      </c>
      <c r="C10" s="11">
        <v>9296.08</v>
      </c>
      <c r="E10" s="9"/>
      <c r="F10" s="9"/>
    </row>
    <row r="11" spans="2:6" x14ac:dyDescent="0.35">
      <c r="B11" s="10" t="s">
        <v>10</v>
      </c>
      <c r="C11" s="11">
        <v>3816.24</v>
      </c>
      <c r="E11" s="9"/>
      <c r="F11" s="9"/>
    </row>
    <row r="12" spans="2:6" ht="54" x14ac:dyDescent="0.35">
      <c r="B12" s="10" t="s">
        <v>11</v>
      </c>
      <c r="C12" s="11">
        <v>110647.65</v>
      </c>
      <c r="E12" s="9"/>
      <c r="F12" s="9"/>
    </row>
    <row r="13" spans="2:6" ht="36" x14ac:dyDescent="0.35">
      <c r="B13" s="10" t="s">
        <v>12</v>
      </c>
      <c r="C13" s="11">
        <v>16261.76</v>
      </c>
      <c r="E13" s="9"/>
      <c r="F13" s="9"/>
    </row>
    <row r="14" spans="2:6" x14ac:dyDescent="0.35">
      <c r="B14" s="10" t="s">
        <v>13</v>
      </c>
      <c r="C14" s="11">
        <v>284.74</v>
      </c>
      <c r="E14" s="9"/>
      <c r="F14" s="9"/>
    </row>
    <row r="15" spans="2:6" x14ac:dyDescent="0.35">
      <c r="B15" s="197" t="s">
        <v>14</v>
      </c>
      <c r="C15" s="199">
        <v>717.59</v>
      </c>
      <c r="E15" s="9"/>
      <c r="F15" s="9"/>
    </row>
    <row r="16" spans="2:6" ht="18.600000000000001" thickBot="1" x14ac:dyDescent="0.4">
      <c r="B16" s="198"/>
      <c r="C16" s="200"/>
      <c r="E16" s="9"/>
      <c r="F16" s="9"/>
    </row>
    <row r="17" spans="2:6" ht="18.600000000000001" thickBot="1" x14ac:dyDescent="0.4">
      <c r="B17" s="12" t="s">
        <v>15</v>
      </c>
      <c r="C17" s="13">
        <f>C9+C10+C11+C12+C13+C14+C15</f>
        <v>160470.65</v>
      </c>
      <c r="E17" s="9"/>
      <c r="F17" s="9"/>
    </row>
  </sheetData>
  <mergeCells count="6">
    <mergeCell ref="B2:C2"/>
    <mergeCell ref="B3:C3"/>
    <mergeCell ref="B4:C4"/>
    <mergeCell ref="B7:B8"/>
    <mergeCell ref="B15:B16"/>
    <mergeCell ref="C15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0"/>
  <sheetViews>
    <sheetView topLeftCell="A26" workbookViewId="0">
      <selection activeCell="A23" sqref="A23:XFD23"/>
    </sheetView>
  </sheetViews>
  <sheetFormatPr defaultRowHeight="18" x14ac:dyDescent="0.35"/>
  <cols>
    <col min="1" max="1" width="8.88671875" style="14"/>
    <col min="2" max="2" width="8.88671875" style="14" customWidth="1"/>
    <col min="3" max="3" width="72" style="14" customWidth="1"/>
    <col min="4" max="4" width="11.44140625" style="14" customWidth="1"/>
    <col min="5" max="5" width="0" style="14" hidden="1" customWidth="1"/>
    <col min="6" max="6" width="11.44140625" style="14" customWidth="1"/>
    <col min="7" max="7" width="0" style="14" hidden="1" customWidth="1"/>
    <col min="8" max="8" width="11.44140625" style="14" customWidth="1"/>
    <col min="9" max="9" width="0" style="14" hidden="1" customWidth="1"/>
    <col min="10" max="10" width="11.44140625" style="14" customWidth="1"/>
    <col min="11" max="11" width="0" style="14" hidden="1" customWidth="1"/>
    <col min="12" max="12" width="11.44140625" style="14" customWidth="1"/>
    <col min="13" max="13" width="0" style="14" hidden="1" customWidth="1"/>
    <col min="14" max="14" width="11.44140625" style="14" customWidth="1"/>
    <col min="15" max="15" width="0" style="14" hidden="1" customWidth="1"/>
    <col min="16" max="16" width="11.44140625" style="14" customWidth="1"/>
    <col min="17" max="17" width="0.109375" style="14" customWidth="1"/>
    <col min="18" max="18" width="8.88671875" style="15"/>
    <col min="19" max="19" width="10.6640625" style="14" hidden="1" customWidth="1"/>
    <col min="20" max="22" width="10.5546875" style="14" hidden="1" customWidth="1"/>
    <col min="23" max="27" width="0" style="14" hidden="1" customWidth="1"/>
    <col min="28" max="28" width="12.44140625" style="14" bestFit="1" customWidth="1"/>
    <col min="29" max="16384" width="8.88671875" style="14"/>
  </cols>
  <sheetData>
    <row r="1" spans="2:28" x14ac:dyDescent="0.35">
      <c r="Q1" s="14" t="s">
        <v>16</v>
      </c>
      <c r="R1" s="14"/>
      <c r="U1" s="15"/>
    </row>
    <row r="4" spans="2:28" x14ac:dyDescent="0.35">
      <c r="C4" s="14" t="s">
        <v>17</v>
      </c>
    </row>
    <row r="7" spans="2:28" ht="18.600000000000001" thickBot="1" x14ac:dyDescent="0.4">
      <c r="B7" s="16" t="s">
        <v>18</v>
      </c>
      <c r="C7" s="17" t="s">
        <v>19</v>
      </c>
    </row>
    <row r="8" spans="2:28" ht="14.4" customHeight="1" x14ac:dyDescent="0.35">
      <c r="B8" s="209" t="s">
        <v>20</v>
      </c>
      <c r="C8" s="212" t="s">
        <v>21</v>
      </c>
      <c r="D8" s="202">
        <v>1</v>
      </c>
      <c r="E8" s="202"/>
      <c r="F8" s="202">
        <v>2</v>
      </c>
      <c r="G8" s="202"/>
      <c r="H8" s="202">
        <v>3</v>
      </c>
      <c r="I8" s="202"/>
      <c r="J8" s="202">
        <v>4</v>
      </c>
      <c r="K8" s="202"/>
      <c r="L8" s="202">
        <v>5</v>
      </c>
      <c r="M8" s="202"/>
      <c r="N8" s="202">
        <v>6</v>
      </c>
      <c r="O8" s="202"/>
      <c r="P8" s="202">
        <v>7</v>
      </c>
      <c r="Q8" s="202"/>
      <c r="R8" s="203" t="s">
        <v>22</v>
      </c>
      <c r="S8" s="18"/>
      <c r="T8" s="18"/>
      <c r="U8" s="18"/>
      <c r="V8" s="18"/>
      <c r="W8" s="18"/>
      <c r="X8" s="18"/>
      <c r="Y8" s="18"/>
      <c r="Z8" s="18"/>
      <c r="AA8" s="19"/>
      <c r="AB8" s="206" t="s">
        <v>23</v>
      </c>
    </row>
    <row r="9" spans="2:28" ht="53.4" customHeight="1" x14ac:dyDescent="0.35">
      <c r="B9" s="210"/>
      <c r="C9" s="213"/>
      <c r="D9" s="201" t="s">
        <v>24</v>
      </c>
      <c r="E9" s="201"/>
      <c r="F9" s="201" t="s">
        <v>25</v>
      </c>
      <c r="G9" s="201"/>
      <c r="H9" s="201" t="s">
        <v>25</v>
      </c>
      <c r="I9" s="201"/>
      <c r="J9" s="201" t="s">
        <v>25</v>
      </c>
      <c r="K9" s="201"/>
      <c r="L9" s="201" t="s">
        <v>26</v>
      </c>
      <c r="M9" s="201"/>
      <c r="N9" s="201" t="s">
        <v>27</v>
      </c>
      <c r="O9" s="201"/>
      <c r="P9" s="201" t="s">
        <v>28</v>
      </c>
      <c r="Q9" s="201"/>
      <c r="R9" s="204"/>
      <c r="S9" s="20"/>
      <c r="T9" s="20"/>
      <c r="U9" s="20"/>
      <c r="V9" s="20"/>
      <c r="W9" s="20"/>
      <c r="X9" s="20"/>
      <c r="Y9" s="20"/>
      <c r="Z9" s="20"/>
      <c r="AA9" s="21"/>
      <c r="AB9" s="207"/>
    </row>
    <row r="10" spans="2:28" ht="30.6" customHeight="1" thickBot="1" x14ac:dyDescent="0.4">
      <c r="B10" s="211"/>
      <c r="C10" s="214"/>
      <c r="D10" s="22" t="s">
        <v>29</v>
      </c>
      <c r="E10" s="22" t="s">
        <v>30</v>
      </c>
      <c r="F10" s="22" t="s">
        <v>29</v>
      </c>
      <c r="G10" s="22" t="s">
        <v>30</v>
      </c>
      <c r="H10" s="22" t="s">
        <v>29</v>
      </c>
      <c r="I10" s="22" t="s">
        <v>30</v>
      </c>
      <c r="J10" s="22" t="s">
        <v>29</v>
      </c>
      <c r="K10" s="22" t="s">
        <v>30</v>
      </c>
      <c r="L10" s="22" t="s">
        <v>29</v>
      </c>
      <c r="M10" s="22" t="s">
        <v>30</v>
      </c>
      <c r="N10" s="22" t="s">
        <v>29</v>
      </c>
      <c r="O10" s="22" t="s">
        <v>30</v>
      </c>
      <c r="P10" s="22" t="s">
        <v>29</v>
      </c>
      <c r="Q10" s="23" t="s">
        <v>30</v>
      </c>
      <c r="R10" s="205"/>
      <c r="S10" s="24" t="s">
        <v>31</v>
      </c>
      <c r="T10" s="24" t="s">
        <v>32</v>
      </c>
      <c r="U10" s="24" t="s">
        <v>33</v>
      </c>
      <c r="V10" s="24" t="s">
        <v>34</v>
      </c>
      <c r="W10" s="24" t="s">
        <v>35</v>
      </c>
      <c r="X10" s="24" t="s">
        <v>36</v>
      </c>
      <c r="Y10" s="23"/>
      <c r="Z10" s="23"/>
      <c r="AA10" s="25"/>
      <c r="AB10" s="208"/>
    </row>
    <row r="11" spans="2:28" ht="28.8" customHeight="1" x14ac:dyDescent="0.35">
      <c r="B11" s="26">
        <v>1</v>
      </c>
      <c r="C11" s="27" t="s">
        <v>37</v>
      </c>
      <c r="D11" s="28">
        <f>2080+1580+1110</f>
        <v>4770</v>
      </c>
      <c r="E11" s="28">
        <f>20.63+19.36+17.79</f>
        <v>57.779999999999994</v>
      </c>
      <c r="F11" s="28">
        <f>1850+1590+1110</f>
        <v>4550</v>
      </c>
      <c r="G11" s="28">
        <f>22.68+19.49+14.45</f>
        <v>56.620000000000005</v>
      </c>
      <c r="H11" s="28">
        <f>2100+1590+1010</f>
        <v>4700</v>
      </c>
      <c r="I11" s="28">
        <f>21.87+19.49+12.38</f>
        <v>53.74</v>
      </c>
      <c r="J11" s="28">
        <f>600+1590+1010</f>
        <v>3200</v>
      </c>
      <c r="K11" s="28">
        <f>6.25+19.49+12.38</f>
        <v>38.119999999999997</v>
      </c>
      <c r="L11" s="28">
        <f>680+900+570</f>
        <v>2150</v>
      </c>
      <c r="M11" s="28">
        <f>9.44+13.89+19.79</f>
        <v>43.12</v>
      </c>
      <c r="N11" s="28">
        <v>820</v>
      </c>
      <c r="O11" s="28">
        <f>23.31+21.71+25.35</f>
        <v>70.37</v>
      </c>
      <c r="P11" s="28">
        <v>0</v>
      </c>
      <c r="Q11" s="28">
        <v>0</v>
      </c>
      <c r="R11" s="29">
        <f>D11+F11+H11+J11+L11+N11+P11</f>
        <v>20190</v>
      </c>
      <c r="S11" s="28">
        <f>E11+G11+I11+K11+M11+O11+Q11</f>
        <v>319.75</v>
      </c>
      <c r="T11" s="30">
        <f t="shared" ref="T11:T16" si="0">S11/7</f>
        <v>45.678571428571431</v>
      </c>
      <c r="U11" s="28">
        <f>E11+G11+I11+K11+M11+O11</f>
        <v>319.75</v>
      </c>
      <c r="V11" s="30">
        <f>U11/6</f>
        <v>53.291666666666664</v>
      </c>
      <c r="W11" s="28">
        <f>E11+G11+I11+K11+M11</f>
        <v>249.38000000000002</v>
      </c>
      <c r="X11" s="28">
        <f t="shared" ref="X11:X16" si="1">W11/5</f>
        <v>49.876000000000005</v>
      </c>
      <c r="Y11" s="31"/>
      <c r="Z11" s="32"/>
      <c r="AA11" s="33"/>
      <c r="AB11" s="34"/>
    </row>
    <row r="12" spans="2:28" ht="29.25" customHeight="1" x14ac:dyDescent="0.35">
      <c r="B12" s="35">
        <v>2</v>
      </c>
      <c r="C12" s="36" t="s">
        <v>38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37">
        <f t="shared" ref="R12:S17" si="2">D12+F12+H12+J12+L12+N12+P12</f>
        <v>0</v>
      </c>
      <c r="S12" s="38">
        <f t="shared" si="2"/>
        <v>0</v>
      </c>
      <c r="T12" s="39">
        <f t="shared" si="0"/>
        <v>0</v>
      </c>
      <c r="U12" s="38">
        <f t="shared" ref="U12:U16" si="3">E12+G12+I12+K12+M12+O12+Q12</f>
        <v>0</v>
      </c>
      <c r="V12" s="39">
        <f t="shared" ref="V12:V16" si="4">U12/6</f>
        <v>0</v>
      </c>
      <c r="W12" s="38">
        <f t="shared" ref="W12:W16" si="5">E12+G12+I12+K12+M12</f>
        <v>0</v>
      </c>
      <c r="X12" s="38">
        <f t="shared" si="1"/>
        <v>0</v>
      </c>
      <c r="Y12" s="40"/>
      <c r="Z12" s="41"/>
      <c r="AA12" s="42"/>
      <c r="AB12" s="43"/>
    </row>
    <row r="13" spans="2:28" ht="34.5" customHeight="1" x14ac:dyDescent="0.35">
      <c r="B13" s="35">
        <v>3</v>
      </c>
      <c r="C13" s="36" t="s">
        <v>39</v>
      </c>
      <c r="D13" s="20">
        <f>2115+2760+1165</f>
        <v>6040</v>
      </c>
      <c r="E13" s="20">
        <f>20.98+33.83+18.67</f>
        <v>73.48</v>
      </c>
      <c r="F13" s="20">
        <f>1660+3170+1530</f>
        <v>6360</v>
      </c>
      <c r="G13" s="20">
        <f>20.34+38.85+19.92</f>
        <v>79.11</v>
      </c>
      <c r="H13" s="20">
        <f>2010+3170+1805</f>
        <v>6985</v>
      </c>
      <c r="I13" s="20">
        <f>20.94+38.85+22.12</f>
        <v>81.910000000000011</v>
      </c>
      <c r="J13" s="20">
        <f>2010+3170+1805</f>
        <v>6985</v>
      </c>
      <c r="K13" s="20">
        <f>20.94+38.85+22.12</f>
        <v>81.910000000000011</v>
      </c>
      <c r="L13" s="20">
        <f>2150+2230+610</f>
        <v>4990</v>
      </c>
      <c r="M13" s="20">
        <f>29.86+34.41+21.18</f>
        <v>85.449999999999989</v>
      </c>
      <c r="N13" s="20">
        <v>0</v>
      </c>
      <c r="O13" s="20">
        <v>0</v>
      </c>
      <c r="P13" s="20">
        <v>0</v>
      </c>
      <c r="Q13" s="20">
        <v>0</v>
      </c>
      <c r="R13" s="44">
        <f t="shared" si="2"/>
        <v>31360</v>
      </c>
      <c r="S13" s="20">
        <f t="shared" si="2"/>
        <v>401.86</v>
      </c>
      <c r="T13" s="45">
        <f t="shared" si="0"/>
        <v>57.408571428571427</v>
      </c>
      <c r="U13" s="20">
        <f t="shared" si="3"/>
        <v>401.86</v>
      </c>
      <c r="V13" s="45">
        <f t="shared" si="4"/>
        <v>66.976666666666674</v>
      </c>
      <c r="W13" s="20">
        <f t="shared" si="5"/>
        <v>401.86</v>
      </c>
      <c r="X13" s="20">
        <f t="shared" si="1"/>
        <v>80.372</v>
      </c>
      <c r="Y13" s="46"/>
      <c r="Z13" s="47"/>
      <c r="AA13" s="21"/>
      <c r="AB13" s="48"/>
    </row>
    <row r="14" spans="2:28" ht="25.5" customHeight="1" x14ac:dyDescent="0.35">
      <c r="B14" s="35">
        <v>4</v>
      </c>
      <c r="C14" s="36" t="s">
        <v>40</v>
      </c>
      <c r="D14" s="20">
        <f>2115+1090+1165</f>
        <v>4370</v>
      </c>
      <c r="E14" s="20">
        <f>20.98+13.36+18.67</f>
        <v>53.010000000000005</v>
      </c>
      <c r="F14" s="20">
        <f>1660+590+1530</f>
        <v>3780</v>
      </c>
      <c r="G14" s="20">
        <f>20.34+7.23+19.92</f>
        <v>47.49</v>
      </c>
      <c r="H14" s="20">
        <f>2010+590+1705</f>
        <v>4305</v>
      </c>
      <c r="I14" s="20">
        <f>20.94+7.23+20.89</f>
        <v>49.06</v>
      </c>
      <c r="J14" s="20">
        <f>2010+590+1705</f>
        <v>4305</v>
      </c>
      <c r="K14" s="20">
        <f>20.94+7.23+20.89</f>
        <v>49.06</v>
      </c>
      <c r="L14" s="20">
        <f>2150+1200+610</f>
        <v>3960</v>
      </c>
      <c r="M14" s="20">
        <f>29.86+18.52+21.18</f>
        <v>69.56</v>
      </c>
      <c r="N14" s="20">
        <v>0</v>
      </c>
      <c r="O14" s="20">
        <v>0</v>
      </c>
      <c r="P14" s="20">
        <v>0</v>
      </c>
      <c r="Q14" s="20">
        <v>0</v>
      </c>
      <c r="R14" s="44">
        <f t="shared" si="2"/>
        <v>20720</v>
      </c>
      <c r="S14" s="20">
        <f t="shared" si="2"/>
        <v>268.18</v>
      </c>
      <c r="T14" s="45">
        <f t="shared" si="0"/>
        <v>38.311428571428571</v>
      </c>
      <c r="U14" s="20">
        <f t="shared" si="3"/>
        <v>268.18</v>
      </c>
      <c r="V14" s="45">
        <f t="shared" si="4"/>
        <v>44.696666666666665</v>
      </c>
      <c r="W14" s="20">
        <f t="shared" si="5"/>
        <v>268.18</v>
      </c>
      <c r="X14" s="20">
        <f t="shared" si="1"/>
        <v>53.636000000000003</v>
      </c>
      <c r="Y14" s="46"/>
      <c r="Z14" s="47"/>
      <c r="AA14" s="21"/>
      <c r="AB14" s="48"/>
    </row>
    <row r="15" spans="2:28" x14ac:dyDescent="0.35">
      <c r="B15" s="35">
        <v>5</v>
      </c>
      <c r="C15" s="49" t="s">
        <v>41</v>
      </c>
      <c r="D15" s="20">
        <f>600+270+980</f>
        <v>1850</v>
      </c>
      <c r="E15" s="20">
        <f>5.95+3.31+15.71</f>
        <v>24.97</v>
      </c>
      <c r="F15" s="20">
        <f>500+150+1300</f>
        <v>1950</v>
      </c>
      <c r="G15" s="20">
        <f>6.13+1.84+16.93</f>
        <v>24.9</v>
      </c>
      <c r="H15" s="20">
        <f>600+150+1520</f>
        <v>2270</v>
      </c>
      <c r="I15" s="20">
        <f>6.25+1.84+18.63</f>
        <v>26.72</v>
      </c>
      <c r="J15" s="20">
        <f>2100+150+1520</f>
        <v>3770</v>
      </c>
      <c r="K15" s="20">
        <f>21.88+1.84+18.63</f>
        <v>42.349999999999994</v>
      </c>
      <c r="L15" s="20">
        <f>180+360+180</f>
        <v>720</v>
      </c>
      <c r="M15" s="50">
        <f>2.5+5.56+6.25</f>
        <v>14.309999999999999</v>
      </c>
      <c r="N15" s="20">
        <f>2280+2040+2010</f>
        <v>6330</v>
      </c>
      <c r="O15" s="20">
        <f>22.62+22.39+23.26</f>
        <v>68.27000000000001</v>
      </c>
      <c r="P15" s="20">
        <v>0</v>
      </c>
      <c r="Q15" s="20">
        <v>0</v>
      </c>
      <c r="R15" s="44">
        <f t="shared" si="2"/>
        <v>16890</v>
      </c>
      <c r="S15" s="20">
        <f t="shared" si="2"/>
        <v>201.52</v>
      </c>
      <c r="T15" s="45">
        <f t="shared" si="0"/>
        <v>28.78857142857143</v>
      </c>
      <c r="U15" s="20">
        <f t="shared" si="3"/>
        <v>201.52</v>
      </c>
      <c r="V15" s="45">
        <f t="shared" si="4"/>
        <v>33.586666666666666</v>
      </c>
      <c r="W15" s="20">
        <f t="shared" si="5"/>
        <v>133.25</v>
      </c>
      <c r="X15" s="20">
        <f t="shared" si="1"/>
        <v>26.65</v>
      </c>
      <c r="Y15" s="46"/>
      <c r="Z15" s="47"/>
      <c r="AA15" s="21"/>
      <c r="AB15" s="48"/>
    </row>
    <row r="16" spans="2:28" x14ac:dyDescent="0.35">
      <c r="B16" s="35">
        <v>6</v>
      </c>
      <c r="C16" s="38" t="s">
        <v>42</v>
      </c>
      <c r="D16" s="20">
        <v>6540</v>
      </c>
      <c r="E16" s="20">
        <f>4.18+2.21+3.85</f>
        <v>10.24</v>
      </c>
      <c r="F16" s="20">
        <f>240+180</f>
        <v>420</v>
      </c>
      <c r="G16" s="20">
        <f>2.94+2.34</f>
        <v>5.2799999999999994</v>
      </c>
      <c r="H16" s="20">
        <f>240+150</f>
        <v>390</v>
      </c>
      <c r="I16" s="20">
        <f>2.94+1.84</f>
        <v>4.78</v>
      </c>
      <c r="J16" s="20">
        <f>180+240+150</f>
        <v>570</v>
      </c>
      <c r="K16" s="20">
        <f>1.87+2.94+1.84</f>
        <v>6.65</v>
      </c>
      <c r="L16" s="20">
        <f>60+60</f>
        <v>120</v>
      </c>
      <c r="M16" s="20">
        <f>0.93+2.08</f>
        <v>3.0100000000000002</v>
      </c>
      <c r="N16" s="20">
        <f>300+150</f>
        <v>450</v>
      </c>
      <c r="O16" s="20">
        <f>3.29+1.74</f>
        <v>5.03</v>
      </c>
      <c r="P16" s="20">
        <v>0</v>
      </c>
      <c r="Q16" s="20">
        <v>0</v>
      </c>
      <c r="R16" s="44">
        <f t="shared" si="2"/>
        <v>8490</v>
      </c>
      <c r="S16" s="20">
        <f t="shared" si="2"/>
        <v>34.99</v>
      </c>
      <c r="T16" s="45">
        <f t="shared" si="0"/>
        <v>4.9985714285714291</v>
      </c>
      <c r="U16" s="20">
        <f t="shared" si="3"/>
        <v>34.99</v>
      </c>
      <c r="V16" s="45">
        <f t="shared" si="4"/>
        <v>5.831666666666667</v>
      </c>
      <c r="W16" s="20">
        <f t="shared" si="5"/>
        <v>29.960000000000004</v>
      </c>
      <c r="X16" s="20">
        <f t="shared" si="1"/>
        <v>5.9920000000000009</v>
      </c>
      <c r="Y16" s="46"/>
      <c r="Z16" s="47"/>
      <c r="AA16" s="21"/>
      <c r="AB16" s="48"/>
    </row>
    <row r="17" spans="2:28" ht="18.600000000000001" thickBot="1" x14ac:dyDescent="0.4">
      <c r="B17" s="51" t="s">
        <v>18</v>
      </c>
      <c r="C17" s="52" t="s">
        <v>43</v>
      </c>
      <c r="D17" s="53">
        <f t="shared" ref="D17:Q17" si="6">D11+D12+D13+D14+D15+D16</f>
        <v>23570</v>
      </c>
      <c r="E17" s="53">
        <f t="shared" si="6"/>
        <v>219.48</v>
      </c>
      <c r="F17" s="53">
        <f t="shared" si="6"/>
        <v>17060</v>
      </c>
      <c r="G17" s="53">
        <f t="shared" si="6"/>
        <v>213.40000000000003</v>
      </c>
      <c r="H17" s="53">
        <f t="shared" si="6"/>
        <v>18650</v>
      </c>
      <c r="I17" s="54">
        <f t="shared" si="6"/>
        <v>216.21</v>
      </c>
      <c r="J17" s="53">
        <f t="shared" si="6"/>
        <v>18830</v>
      </c>
      <c r="K17" s="53">
        <f t="shared" si="6"/>
        <v>218.09</v>
      </c>
      <c r="L17" s="53">
        <f t="shared" si="6"/>
        <v>11940</v>
      </c>
      <c r="M17" s="53">
        <f t="shared" si="6"/>
        <v>215.45</v>
      </c>
      <c r="N17" s="53">
        <f t="shared" si="6"/>
        <v>7600</v>
      </c>
      <c r="O17" s="53">
        <f t="shared" si="6"/>
        <v>143.67000000000002</v>
      </c>
      <c r="P17" s="53">
        <f t="shared" si="6"/>
        <v>0</v>
      </c>
      <c r="Q17" s="53">
        <f t="shared" si="6"/>
        <v>0</v>
      </c>
      <c r="R17" s="55">
        <f t="shared" si="2"/>
        <v>97650</v>
      </c>
      <c r="S17" s="53">
        <f t="shared" ref="S17:X17" si="7">S11+S12+S13+S14+S15+S16</f>
        <v>1226.3</v>
      </c>
      <c r="T17" s="56">
        <f t="shared" si="7"/>
        <v>175.18571428571428</v>
      </c>
      <c r="U17" s="56">
        <f t="shared" si="7"/>
        <v>1226.3</v>
      </c>
      <c r="V17" s="56">
        <f t="shared" si="7"/>
        <v>204.38333333333335</v>
      </c>
      <c r="W17" s="56">
        <f t="shared" si="7"/>
        <v>1082.6300000000001</v>
      </c>
      <c r="X17" s="56">
        <f t="shared" si="7"/>
        <v>216.52599999999998</v>
      </c>
      <c r="Y17" s="56"/>
      <c r="Z17" s="56"/>
      <c r="AA17" s="25"/>
      <c r="AB17" s="57">
        <f>R17/R40%</f>
        <v>65.997566909975674</v>
      </c>
    </row>
    <row r="18" spans="2:28" x14ac:dyDescent="0.35">
      <c r="B18" s="58"/>
      <c r="C18" s="58"/>
    </row>
    <row r="19" spans="2:28" x14ac:dyDescent="0.35">
      <c r="B19" s="58"/>
      <c r="C19" s="58"/>
    </row>
    <row r="20" spans="2:28" x14ac:dyDescent="0.35">
      <c r="B20" s="58"/>
      <c r="C20" s="58"/>
    </row>
    <row r="21" spans="2:28" ht="18.600000000000001" thickBot="1" x14ac:dyDescent="0.4">
      <c r="B21" s="59" t="s">
        <v>44</v>
      </c>
      <c r="C21" s="17" t="s">
        <v>45</v>
      </c>
    </row>
    <row r="22" spans="2:28" ht="64.2" customHeight="1" x14ac:dyDescent="0.35">
      <c r="B22" s="60" t="s">
        <v>20</v>
      </c>
      <c r="C22" s="61" t="s">
        <v>21</v>
      </c>
      <c r="D22" s="62" t="s">
        <v>29</v>
      </c>
      <c r="E22" s="62" t="s">
        <v>30</v>
      </c>
      <c r="F22" s="62" t="s">
        <v>29</v>
      </c>
      <c r="G22" s="62" t="s">
        <v>30</v>
      </c>
      <c r="H22" s="62" t="s">
        <v>29</v>
      </c>
      <c r="I22" s="62" t="s">
        <v>30</v>
      </c>
      <c r="J22" s="62" t="s">
        <v>29</v>
      </c>
      <c r="K22" s="62" t="s">
        <v>30</v>
      </c>
      <c r="L22" s="62" t="s">
        <v>29</v>
      </c>
      <c r="M22" s="62" t="s">
        <v>30</v>
      </c>
      <c r="N22" s="62" t="s">
        <v>29</v>
      </c>
      <c r="O22" s="62" t="s">
        <v>30</v>
      </c>
      <c r="P22" s="62" t="s">
        <v>29</v>
      </c>
      <c r="Q22" s="20" t="s">
        <v>30</v>
      </c>
      <c r="R22" s="63" t="s">
        <v>22</v>
      </c>
      <c r="S22" s="61" t="s">
        <v>46</v>
      </c>
      <c r="T22" s="61" t="s">
        <v>32</v>
      </c>
      <c r="U22" s="64" t="s">
        <v>33</v>
      </c>
      <c r="V22" s="64" t="s">
        <v>34</v>
      </c>
      <c r="W22" s="64" t="s">
        <v>35</v>
      </c>
      <c r="X22" s="64" t="s">
        <v>36</v>
      </c>
      <c r="AB22" s="65" t="s">
        <v>23</v>
      </c>
    </row>
    <row r="23" spans="2:28" ht="17.25" customHeight="1" x14ac:dyDescent="0.35">
      <c r="B23" s="60">
        <v>1</v>
      </c>
      <c r="C23" s="61" t="s">
        <v>47</v>
      </c>
      <c r="D23" s="20">
        <f>210+210</f>
        <v>420</v>
      </c>
      <c r="E23" s="20">
        <f>2.08+2.57</f>
        <v>4.6500000000000004</v>
      </c>
      <c r="F23" s="20">
        <f>150+240</f>
        <v>390</v>
      </c>
      <c r="G23" s="20">
        <f>1.84+2.94</f>
        <v>4.78</v>
      </c>
      <c r="H23" s="20">
        <f>180+240</f>
        <v>420</v>
      </c>
      <c r="I23" s="20">
        <f>1.88+2.94</f>
        <v>4.82</v>
      </c>
      <c r="J23" s="20">
        <f>2130+240</f>
        <v>2370</v>
      </c>
      <c r="K23" s="20">
        <f>22.19+2.94</f>
        <v>25.130000000000003</v>
      </c>
      <c r="L23" s="20">
        <f>260+150</f>
        <v>410</v>
      </c>
      <c r="M23" s="20">
        <f>3.62+2.31</f>
        <v>5.93</v>
      </c>
      <c r="N23" s="20">
        <v>0</v>
      </c>
      <c r="O23" s="20">
        <v>0</v>
      </c>
      <c r="P23" s="20">
        <v>0</v>
      </c>
      <c r="Q23" s="20">
        <v>0</v>
      </c>
      <c r="R23" s="44">
        <f t="shared" ref="R23:S30" si="8">D23+F23+H23+J23+L23+N23+P23</f>
        <v>4010</v>
      </c>
      <c r="S23" s="20">
        <f>E23+G23+I23+K23+M23+O23+Q23</f>
        <v>45.31</v>
      </c>
      <c r="T23" s="50">
        <f>S23/7</f>
        <v>6.4728571428571433</v>
      </c>
      <c r="U23" s="20">
        <f>E23+G23+I23+K23+M23+O23</f>
        <v>45.31</v>
      </c>
      <c r="V23" s="45">
        <f t="shared" ref="V23:V30" si="9">U23/6</f>
        <v>7.5516666666666667</v>
      </c>
      <c r="W23" s="20">
        <f>E23+G23+I23+K23+M23</f>
        <v>45.31</v>
      </c>
      <c r="X23" s="20">
        <f>W23/5</f>
        <v>9.0620000000000012</v>
      </c>
      <c r="AB23" s="66"/>
    </row>
    <row r="24" spans="2:28" x14ac:dyDescent="0.35">
      <c r="B24" s="67">
        <v>2</v>
      </c>
      <c r="C24" s="61" t="s">
        <v>48</v>
      </c>
      <c r="D24" s="20">
        <f>1820+1450+720</f>
        <v>3990</v>
      </c>
      <c r="E24" s="20">
        <f>18.06+17.77+11.54</f>
        <v>47.37</v>
      </c>
      <c r="F24" s="20">
        <f>1820+1640+1820</f>
        <v>5280</v>
      </c>
      <c r="G24" s="20">
        <f>22.3+20.1+23.7</f>
        <v>66.100000000000009</v>
      </c>
      <c r="H24" s="20">
        <f>2130+1640+1630</f>
        <v>5400</v>
      </c>
      <c r="I24" s="20">
        <f>22.19+20.1+19.98</f>
        <v>62.27000000000001</v>
      </c>
      <c r="J24" s="20">
        <f>490+1640+1630</f>
        <v>3760</v>
      </c>
      <c r="K24" s="20">
        <f>5.1+20.1+19.98</f>
        <v>45.180000000000007</v>
      </c>
      <c r="L24" s="20">
        <f>1450+1430+760</f>
        <v>3640</v>
      </c>
      <c r="M24" s="20">
        <f>20.14+22.07+26.39</f>
        <v>68.599999999999994</v>
      </c>
      <c r="N24" s="20">
        <v>0</v>
      </c>
      <c r="O24" s="20">
        <v>0</v>
      </c>
      <c r="P24" s="20">
        <v>0</v>
      </c>
      <c r="Q24" s="20">
        <v>0</v>
      </c>
      <c r="R24" s="44">
        <f t="shared" si="8"/>
        <v>22070</v>
      </c>
      <c r="S24" s="20">
        <f>E24+G24+I24+K24+M24+O24+Q24</f>
        <v>289.52</v>
      </c>
      <c r="T24" s="50">
        <f>S24/7</f>
        <v>41.36</v>
      </c>
      <c r="U24" s="20">
        <f>E24+G24+I24+K24+M24+O24</f>
        <v>289.52</v>
      </c>
      <c r="V24" s="45">
        <f t="shared" si="9"/>
        <v>48.25333333333333</v>
      </c>
      <c r="W24" s="20">
        <f>E24+G24+I24+K24+M24</f>
        <v>289.52</v>
      </c>
      <c r="X24" s="20">
        <f>W24/5</f>
        <v>57.903999999999996</v>
      </c>
      <c r="AB24" s="66"/>
    </row>
    <row r="25" spans="2:28" x14ac:dyDescent="0.35">
      <c r="B25" s="60">
        <v>3</v>
      </c>
      <c r="C25" s="61" t="s">
        <v>49</v>
      </c>
      <c r="D25" s="20">
        <f>240+120+120</f>
        <v>480</v>
      </c>
      <c r="E25" s="20">
        <f>2.38+1.47+1.92</f>
        <v>5.77</v>
      </c>
      <c r="F25" s="20">
        <f>440+450+120</f>
        <v>1010</v>
      </c>
      <c r="G25" s="50">
        <f>5.39+5.51+1.56</f>
        <v>12.459999999999999</v>
      </c>
      <c r="H25" s="20">
        <f>490+450+250</f>
        <v>1190</v>
      </c>
      <c r="I25" s="20">
        <f>5.1+5.51+3.06</f>
        <v>13.67</v>
      </c>
      <c r="J25" s="20">
        <f>80+450+250</f>
        <v>780</v>
      </c>
      <c r="K25" s="20">
        <f>0.83+5.51+3.06</f>
        <v>9.4</v>
      </c>
      <c r="L25" s="20">
        <f>240+60+90</f>
        <v>390</v>
      </c>
      <c r="M25" s="20">
        <f>3.33+0.93+3.13</f>
        <v>7.39</v>
      </c>
      <c r="N25" s="20">
        <v>0</v>
      </c>
      <c r="O25" s="20">
        <v>0</v>
      </c>
      <c r="P25" s="20">
        <v>0</v>
      </c>
      <c r="Q25" s="20">
        <v>0</v>
      </c>
      <c r="R25" s="44">
        <f t="shared" si="8"/>
        <v>3850</v>
      </c>
      <c r="S25" s="20">
        <f>E25+G25+I25+K25+M25+O25+Q25</f>
        <v>48.69</v>
      </c>
      <c r="T25" s="50">
        <f>S25/7</f>
        <v>6.9557142857142855</v>
      </c>
      <c r="U25" s="20">
        <f t="shared" ref="U25:U30" si="10">E25+G25+I25+K25+M25+O25</f>
        <v>48.69</v>
      </c>
      <c r="V25" s="45">
        <f t="shared" si="9"/>
        <v>8.1150000000000002</v>
      </c>
      <c r="W25" s="20">
        <f>E25+G25+I25+K25+M25</f>
        <v>48.69</v>
      </c>
      <c r="X25" s="20">
        <f>W25/5</f>
        <v>9.7379999999999995</v>
      </c>
      <c r="AB25" s="20"/>
    </row>
    <row r="26" spans="2:28" x14ac:dyDescent="0.35">
      <c r="B26" s="67">
        <v>4</v>
      </c>
      <c r="C26" s="61" t="s">
        <v>50</v>
      </c>
      <c r="D26" s="20">
        <f>120+90+60</f>
        <v>270</v>
      </c>
      <c r="E26" s="20">
        <f>1.19+1.1+0.96</f>
        <v>3.25</v>
      </c>
      <c r="F26" s="20">
        <f>80+90+90</f>
        <v>260</v>
      </c>
      <c r="G26" s="20">
        <f>0.98+1.1+1.17</f>
        <v>3.25</v>
      </c>
      <c r="H26" s="20">
        <f>80+90+90</f>
        <v>260</v>
      </c>
      <c r="I26" s="50">
        <f>0.83+1.1+1.1</f>
        <v>3.0300000000000002</v>
      </c>
      <c r="J26" s="20">
        <f>90+90</f>
        <v>180</v>
      </c>
      <c r="K26" s="50">
        <f>1.1+1.1</f>
        <v>2.2000000000000002</v>
      </c>
      <c r="L26" s="20">
        <f>90+90+0</f>
        <v>180</v>
      </c>
      <c r="M26" s="20">
        <f>1.25+1.39+0</f>
        <v>2.6399999999999997</v>
      </c>
      <c r="N26" s="20">
        <v>0</v>
      </c>
      <c r="O26" s="20">
        <v>0</v>
      </c>
      <c r="P26" s="20">
        <v>0</v>
      </c>
      <c r="Q26" s="20">
        <v>0</v>
      </c>
      <c r="R26" s="44">
        <f t="shared" si="8"/>
        <v>1150</v>
      </c>
      <c r="S26" s="20">
        <f>E26+G26+I26+K26+M26+O26+Q26</f>
        <v>14.370000000000001</v>
      </c>
      <c r="T26" s="50">
        <f>S26/7</f>
        <v>2.0528571428571429</v>
      </c>
      <c r="U26" s="20">
        <f t="shared" si="10"/>
        <v>14.370000000000001</v>
      </c>
      <c r="V26" s="45">
        <f t="shared" si="9"/>
        <v>2.395</v>
      </c>
      <c r="W26" s="20">
        <f>E26+G26+I26+K26+M26</f>
        <v>14.370000000000001</v>
      </c>
      <c r="X26" s="20">
        <f>W26/5</f>
        <v>2.8740000000000001</v>
      </c>
      <c r="AB26" s="20"/>
    </row>
    <row r="27" spans="2:28" x14ac:dyDescent="0.35">
      <c r="B27" s="60">
        <v>5</v>
      </c>
      <c r="C27" s="61" t="s">
        <v>51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>980+690+780</f>
        <v>2450</v>
      </c>
      <c r="O27" s="20">
        <f>9.72+7.57+9.03</f>
        <v>26.32</v>
      </c>
      <c r="P27" s="20">
        <v>0</v>
      </c>
      <c r="Q27" s="20">
        <v>0</v>
      </c>
      <c r="R27" s="44">
        <f t="shared" si="8"/>
        <v>2450</v>
      </c>
      <c r="S27" s="20">
        <f>E27+G27+I27+K27+M27+O27+Q27</f>
        <v>26.32</v>
      </c>
      <c r="T27" s="50">
        <f>S27/7</f>
        <v>3.7600000000000002</v>
      </c>
      <c r="U27" s="20">
        <f t="shared" si="10"/>
        <v>26.32</v>
      </c>
      <c r="V27" s="45">
        <f t="shared" si="9"/>
        <v>4.3866666666666667</v>
      </c>
      <c r="W27" s="20">
        <f>E27+G27+I27+K27+M27</f>
        <v>0</v>
      </c>
      <c r="X27" s="20">
        <f>W27/5</f>
        <v>0</v>
      </c>
      <c r="AB27" s="20"/>
    </row>
    <row r="28" spans="2:28" x14ac:dyDescent="0.35">
      <c r="B28" s="67">
        <v>6</v>
      </c>
      <c r="C28" s="61" t="s">
        <v>52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>510+360+360</f>
        <v>1230</v>
      </c>
      <c r="O28" s="20">
        <f>5.06+3.95+4.17</f>
        <v>13.18</v>
      </c>
      <c r="P28" s="20">
        <v>0</v>
      </c>
      <c r="Q28" s="20">
        <v>0</v>
      </c>
      <c r="R28" s="44">
        <f t="shared" si="8"/>
        <v>1230</v>
      </c>
      <c r="S28" s="20">
        <f t="shared" si="8"/>
        <v>13.18</v>
      </c>
      <c r="T28" s="50">
        <f t="shared" ref="T28:T30" si="11">S28/7</f>
        <v>1.8828571428571428</v>
      </c>
      <c r="U28" s="20">
        <f t="shared" si="10"/>
        <v>13.18</v>
      </c>
      <c r="V28" s="45">
        <f t="shared" si="9"/>
        <v>2.1966666666666668</v>
      </c>
      <c r="W28" s="20">
        <f t="shared" ref="W28:W30" si="12">E28+G28+I28+K28+M28</f>
        <v>0</v>
      </c>
      <c r="X28" s="20">
        <f t="shared" ref="X28:X30" si="13">W28/5</f>
        <v>0</v>
      </c>
      <c r="AB28" s="20"/>
    </row>
    <row r="29" spans="2:28" x14ac:dyDescent="0.35">
      <c r="B29" s="60">
        <v>7</v>
      </c>
      <c r="C29" s="61" t="s">
        <v>53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f>1980+210+1740</f>
        <v>3930</v>
      </c>
      <c r="O29" s="20">
        <f>19.64+23.36+20.14</f>
        <v>63.14</v>
      </c>
      <c r="P29" s="20">
        <v>0</v>
      </c>
      <c r="Q29" s="20">
        <v>0</v>
      </c>
      <c r="R29" s="44">
        <f t="shared" si="8"/>
        <v>3930</v>
      </c>
      <c r="S29" s="20">
        <f t="shared" si="8"/>
        <v>63.14</v>
      </c>
      <c r="T29" s="50">
        <f t="shared" si="11"/>
        <v>9.02</v>
      </c>
      <c r="U29" s="20">
        <f t="shared" si="10"/>
        <v>63.14</v>
      </c>
      <c r="V29" s="45">
        <f t="shared" si="9"/>
        <v>10.523333333333333</v>
      </c>
      <c r="W29" s="20">
        <f t="shared" si="12"/>
        <v>0</v>
      </c>
      <c r="X29" s="20">
        <f t="shared" si="13"/>
        <v>0</v>
      </c>
      <c r="AB29" s="20"/>
    </row>
    <row r="30" spans="2:28" x14ac:dyDescent="0.35">
      <c r="B30" s="67">
        <v>8</v>
      </c>
      <c r="C30" s="36" t="s">
        <v>54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f>930+750+750</f>
        <v>2430</v>
      </c>
      <c r="O30" s="20">
        <f>9.23+8.22+8.68</f>
        <v>26.130000000000003</v>
      </c>
      <c r="P30" s="20">
        <v>0</v>
      </c>
      <c r="Q30" s="20">
        <v>0</v>
      </c>
      <c r="R30" s="44">
        <f t="shared" si="8"/>
        <v>2430</v>
      </c>
      <c r="S30" s="20">
        <f t="shared" si="8"/>
        <v>26.130000000000003</v>
      </c>
      <c r="T30" s="50">
        <f t="shared" si="11"/>
        <v>3.7328571428571431</v>
      </c>
      <c r="U30" s="20">
        <f t="shared" si="10"/>
        <v>26.130000000000003</v>
      </c>
      <c r="V30" s="45">
        <f t="shared" si="9"/>
        <v>4.3550000000000004</v>
      </c>
      <c r="W30" s="20">
        <f t="shared" si="12"/>
        <v>0</v>
      </c>
      <c r="X30" s="20">
        <f t="shared" si="13"/>
        <v>0</v>
      </c>
      <c r="AB30" s="20"/>
    </row>
    <row r="31" spans="2:28" x14ac:dyDescent="0.35">
      <c r="B31" s="68" t="s">
        <v>44</v>
      </c>
      <c r="C31" s="69" t="s">
        <v>55</v>
      </c>
      <c r="D31" s="70">
        <f>D23+D24+D25+D26+D27+D28+D29+D30</f>
        <v>5160</v>
      </c>
      <c r="E31" s="70">
        <f t="shared" ref="E31:X31" si="14">E23+E24+E25+E26+E27+E28+E29+E30</f>
        <v>61.039999999999992</v>
      </c>
      <c r="F31" s="70">
        <f t="shared" si="14"/>
        <v>6940</v>
      </c>
      <c r="G31" s="70">
        <f t="shared" si="14"/>
        <v>86.59</v>
      </c>
      <c r="H31" s="70">
        <f t="shared" si="14"/>
        <v>7270</v>
      </c>
      <c r="I31" s="70">
        <f t="shared" si="14"/>
        <v>83.79</v>
      </c>
      <c r="J31" s="70">
        <f t="shared" si="14"/>
        <v>7090</v>
      </c>
      <c r="K31" s="70">
        <f t="shared" si="14"/>
        <v>81.910000000000011</v>
      </c>
      <c r="L31" s="70">
        <f t="shared" si="14"/>
        <v>4620</v>
      </c>
      <c r="M31" s="70">
        <f t="shared" si="14"/>
        <v>84.56</v>
      </c>
      <c r="N31" s="70">
        <f t="shared" si="14"/>
        <v>10040</v>
      </c>
      <c r="O31" s="70">
        <f t="shared" si="14"/>
        <v>128.77000000000001</v>
      </c>
      <c r="P31" s="70">
        <f t="shared" si="14"/>
        <v>0</v>
      </c>
      <c r="Q31" s="70">
        <f t="shared" si="14"/>
        <v>0</v>
      </c>
      <c r="R31" s="70">
        <f t="shared" si="14"/>
        <v>41120</v>
      </c>
      <c r="S31" s="70">
        <f t="shared" si="14"/>
        <v>526.66</v>
      </c>
      <c r="T31" s="70">
        <f t="shared" si="14"/>
        <v>75.237142857142857</v>
      </c>
      <c r="U31" s="70">
        <f t="shared" si="14"/>
        <v>526.66</v>
      </c>
      <c r="V31" s="70">
        <f t="shared" si="14"/>
        <v>87.776666666666685</v>
      </c>
      <c r="W31" s="70">
        <f t="shared" si="14"/>
        <v>397.89</v>
      </c>
      <c r="X31" s="70">
        <f t="shared" si="14"/>
        <v>79.577999999999989</v>
      </c>
      <c r="AB31" s="50">
        <f>R31/R40%</f>
        <v>27.791294944579619</v>
      </c>
    </row>
    <row r="32" spans="2:28" x14ac:dyDescent="0.35">
      <c r="B32" s="17"/>
      <c r="C32" s="17"/>
    </row>
    <row r="33" spans="2:28" ht="18.600000000000001" thickBot="1" x14ac:dyDescent="0.4">
      <c r="B33" s="71" t="s">
        <v>56</v>
      </c>
      <c r="C33" s="17" t="s">
        <v>57</v>
      </c>
    </row>
    <row r="34" spans="2:28" ht="72" x14ac:dyDescent="0.35">
      <c r="B34" s="60" t="s">
        <v>20</v>
      </c>
      <c r="C34" s="61" t="s">
        <v>21</v>
      </c>
      <c r="D34" s="62" t="s">
        <v>29</v>
      </c>
      <c r="E34" s="62" t="s">
        <v>30</v>
      </c>
      <c r="F34" s="62" t="s">
        <v>29</v>
      </c>
      <c r="G34" s="62" t="s">
        <v>30</v>
      </c>
      <c r="H34" s="62" t="s">
        <v>29</v>
      </c>
      <c r="I34" s="62" t="s">
        <v>30</v>
      </c>
      <c r="J34" s="62" t="s">
        <v>29</v>
      </c>
      <c r="K34" s="62" t="s">
        <v>30</v>
      </c>
      <c r="L34" s="62" t="s">
        <v>29</v>
      </c>
      <c r="M34" s="62" t="s">
        <v>30</v>
      </c>
      <c r="N34" s="62" t="s">
        <v>29</v>
      </c>
      <c r="O34" s="62" t="s">
        <v>30</v>
      </c>
      <c r="P34" s="62" t="s">
        <v>29</v>
      </c>
      <c r="Q34" s="20" t="s">
        <v>30</v>
      </c>
      <c r="R34" s="63" t="s">
        <v>22</v>
      </c>
      <c r="S34" s="61" t="s">
        <v>46</v>
      </c>
      <c r="T34" s="61" t="s">
        <v>32</v>
      </c>
      <c r="U34" s="64" t="s">
        <v>33</v>
      </c>
      <c r="V34" s="64" t="s">
        <v>34</v>
      </c>
      <c r="W34" s="64" t="s">
        <v>35</v>
      </c>
      <c r="X34" s="64" t="s">
        <v>36</v>
      </c>
      <c r="AB34" s="65" t="s">
        <v>23</v>
      </c>
    </row>
    <row r="35" spans="2:28" x14ac:dyDescent="0.35">
      <c r="B35" s="67">
        <v>1</v>
      </c>
      <c r="C35" s="61" t="s">
        <v>58</v>
      </c>
      <c r="D35" s="20">
        <f>360+410+680</f>
        <v>1450</v>
      </c>
      <c r="E35" s="20">
        <f>3.57+5.02+10.9</f>
        <v>19.490000000000002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f>1050+870+600</f>
        <v>2520</v>
      </c>
      <c r="O35" s="20">
        <f>10.42+9.54+7.64</f>
        <v>27.6</v>
      </c>
      <c r="P35" s="20">
        <f>1800+1710+1710</f>
        <v>5220</v>
      </c>
      <c r="Q35" s="20">
        <f>100+100+100</f>
        <v>300</v>
      </c>
      <c r="R35" s="44">
        <f t="shared" ref="R35" si="15">D35+F35+H35+J35+L35+N35+P35</f>
        <v>9190</v>
      </c>
      <c r="S35" s="20">
        <f>E35+G35+I35+K35+M35+O35+Q35</f>
        <v>347.09000000000003</v>
      </c>
      <c r="T35" s="50">
        <f>S35/7</f>
        <v>49.58428571428572</v>
      </c>
      <c r="U35" s="20">
        <f t="shared" ref="U35" si="16">E35+G35+I35+K35+M35+O35</f>
        <v>47.09</v>
      </c>
      <c r="V35" s="45">
        <f t="shared" ref="V35" si="17">U35/6</f>
        <v>7.8483333333333336</v>
      </c>
      <c r="W35" s="20">
        <f>E35+G35+I35+K35+M35</f>
        <v>19.490000000000002</v>
      </c>
      <c r="X35" s="20">
        <f>W35/5</f>
        <v>3.8980000000000006</v>
      </c>
      <c r="AB35" s="20"/>
    </row>
    <row r="36" spans="2:28" x14ac:dyDescent="0.35">
      <c r="B36" s="68" t="s">
        <v>56</v>
      </c>
      <c r="C36" s="69" t="s">
        <v>55</v>
      </c>
      <c r="D36" s="70">
        <f>D35</f>
        <v>1450</v>
      </c>
      <c r="E36" s="70">
        <f t="shared" ref="E36:X36" si="18">E35</f>
        <v>19.490000000000002</v>
      </c>
      <c r="F36" s="70">
        <f t="shared" si="18"/>
        <v>0</v>
      </c>
      <c r="G36" s="70">
        <f t="shared" si="18"/>
        <v>0</v>
      </c>
      <c r="H36" s="70">
        <f t="shared" si="18"/>
        <v>0</v>
      </c>
      <c r="I36" s="70">
        <f t="shared" si="18"/>
        <v>0</v>
      </c>
      <c r="J36" s="70">
        <f t="shared" si="18"/>
        <v>0</v>
      </c>
      <c r="K36" s="70">
        <f t="shared" si="18"/>
        <v>0</v>
      </c>
      <c r="L36" s="70">
        <f t="shared" si="18"/>
        <v>0</v>
      </c>
      <c r="M36" s="70">
        <f t="shared" si="18"/>
        <v>0</v>
      </c>
      <c r="N36" s="70">
        <f t="shared" si="18"/>
        <v>2520</v>
      </c>
      <c r="O36" s="70">
        <f t="shared" si="18"/>
        <v>27.6</v>
      </c>
      <c r="P36" s="70">
        <f t="shared" si="18"/>
        <v>5220</v>
      </c>
      <c r="Q36" s="70">
        <f t="shared" si="18"/>
        <v>300</v>
      </c>
      <c r="R36" s="70">
        <f t="shared" si="18"/>
        <v>9190</v>
      </c>
      <c r="S36" s="70">
        <f t="shared" si="18"/>
        <v>347.09000000000003</v>
      </c>
      <c r="T36" s="70">
        <f t="shared" si="18"/>
        <v>49.58428571428572</v>
      </c>
      <c r="U36" s="70">
        <f t="shared" si="18"/>
        <v>47.09</v>
      </c>
      <c r="V36" s="70">
        <f t="shared" si="18"/>
        <v>7.8483333333333336</v>
      </c>
      <c r="W36" s="70">
        <f t="shared" si="18"/>
        <v>19.490000000000002</v>
      </c>
      <c r="X36" s="70">
        <f t="shared" si="18"/>
        <v>3.8980000000000006</v>
      </c>
      <c r="AB36" s="50">
        <f>R36/R40%</f>
        <v>6.211138145444715</v>
      </c>
    </row>
    <row r="37" spans="2:28" ht="15" hidden="1" customHeight="1" x14ac:dyDescent="0.35">
      <c r="B37" s="68" t="s">
        <v>59</v>
      </c>
      <c r="C37" s="69" t="s">
        <v>60</v>
      </c>
      <c r="D37" s="70">
        <f>D23+D24+D25+D26+D27+D35+D28+D29+D30</f>
        <v>6610</v>
      </c>
      <c r="E37" s="70">
        <f t="shared" ref="E37:R37" si="19">E23+E24+E25+E26+E27+E35+E28+E29+E30</f>
        <v>80.53</v>
      </c>
      <c r="F37" s="70">
        <f t="shared" si="19"/>
        <v>6940</v>
      </c>
      <c r="G37" s="70">
        <f t="shared" si="19"/>
        <v>86.59</v>
      </c>
      <c r="H37" s="70">
        <f t="shared" si="19"/>
        <v>7270</v>
      </c>
      <c r="I37" s="70">
        <f t="shared" si="19"/>
        <v>83.79</v>
      </c>
      <c r="J37" s="70">
        <f t="shared" si="19"/>
        <v>7090</v>
      </c>
      <c r="K37" s="70">
        <f t="shared" si="19"/>
        <v>81.910000000000011</v>
      </c>
      <c r="L37" s="70">
        <f t="shared" si="19"/>
        <v>4620</v>
      </c>
      <c r="M37" s="70">
        <f t="shared" si="19"/>
        <v>84.56</v>
      </c>
      <c r="N37" s="70">
        <f t="shared" si="19"/>
        <v>12560</v>
      </c>
      <c r="O37" s="70">
        <f t="shared" si="19"/>
        <v>156.37</v>
      </c>
      <c r="P37" s="70">
        <f t="shared" si="19"/>
        <v>5220</v>
      </c>
      <c r="Q37" s="70">
        <f t="shared" si="19"/>
        <v>300</v>
      </c>
      <c r="R37" s="70">
        <f t="shared" si="19"/>
        <v>50310</v>
      </c>
      <c r="S37" s="70">
        <f t="shared" ref="S37:X37" si="20">S24+S25+S26+S27+S35+S28+S29+S30</f>
        <v>828.43999999999994</v>
      </c>
      <c r="T37" s="72">
        <f t="shared" si="20"/>
        <v>118.34857142857143</v>
      </c>
      <c r="U37" s="72">
        <f t="shared" si="20"/>
        <v>528.44000000000005</v>
      </c>
      <c r="V37" s="72">
        <f t="shared" si="20"/>
        <v>88.073333333333338</v>
      </c>
      <c r="W37" s="70">
        <f t="shared" si="20"/>
        <v>372.07</v>
      </c>
      <c r="X37" s="70">
        <f t="shared" si="20"/>
        <v>74.413999999999987</v>
      </c>
    </row>
    <row r="38" spans="2:28" x14ac:dyDescent="0.35">
      <c r="B38" s="73"/>
    </row>
    <row r="39" spans="2:28" x14ac:dyDescent="0.35">
      <c r="B39" s="73"/>
    </row>
    <row r="40" spans="2:28" x14ac:dyDescent="0.35">
      <c r="B40" s="68" t="s">
        <v>61</v>
      </c>
      <c r="C40" s="69" t="s">
        <v>62</v>
      </c>
      <c r="D40" s="70">
        <f>D37+D17</f>
        <v>30180</v>
      </c>
      <c r="E40" s="70">
        <f t="shared" ref="E40:X40" si="21">E37+E17</f>
        <v>300.01</v>
      </c>
      <c r="F40" s="70">
        <f t="shared" si="21"/>
        <v>24000</v>
      </c>
      <c r="G40" s="70">
        <f t="shared" si="21"/>
        <v>299.99</v>
      </c>
      <c r="H40" s="70">
        <f t="shared" si="21"/>
        <v>25920</v>
      </c>
      <c r="I40" s="70">
        <f t="shared" si="21"/>
        <v>300</v>
      </c>
      <c r="J40" s="70">
        <f t="shared" si="21"/>
        <v>25920</v>
      </c>
      <c r="K40" s="70">
        <f t="shared" si="21"/>
        <v>300</v>
      </c>
      <c r="L40" s="70">
        <f t="shared" si="21"/>
        <v>16560</v>
      </c>
      <c r="M40" s="70">
        <f t="shared" si="21"/>
        <v>300.01</v>
      </c>
      <c r="N40" s="70">
        <f t="shared" si="21"/>
        <v>20160</v>
      </c>
      <c r="O40" s="70">
        <f t="shared" si="21"/>
        <v>300.04000000000002</v>
      </c>
      <c r="P40" s="70">
        <f t="shared" si="21"/>
        <v>5220</v>
      </c>
      <c r="Q40" s="70">
        <f t="shared" si="21"/>
        <v>300</v>
      </c>
      <c r="R40" s="70">
        <f t="shared" si="21"/>
        <v>147960</v>
      </c>
      <c r="S40" s="70">
        <f t="shared" si="21"/>
        <v>2054.7399999999998</v>
      </c>
      <c r="T40" s="70">
        <f t="shared" si="21"/>
        <v>293.53428571428572</v>
      </c>
      <c r="U40" s="70">
        <f t="shared" si="21"/>
        <v>1754.74</v>
      </c>
      <c r="V40" s="70">
        <f t="shared" si="21"/>
        <v>292.45666666666671</v>
      </c>
      <c r="W40" s="70">
        <f t="shared" si="21"/>
        <v>1454.7</v>
      </c>
      <c r="X40" s="70">
        <f t="shared" si="21"/>
        <v>290.93999999999994</v>
      </c>
      <c r="AB40" s="50">
        <f>AB17+AB31+AB36</f>
        <v>100.00000000000001</v>
      </c>
    </row>
  </sheetData>
  <mergeCells count="18">
    <mergeCell ref="B8:B10"/>
    <mergeCell ref="C8:C10"/>
    <mergeCell ref="D8:E8"/>
    <mergeCell ref="F8:G8"/>
    <mergeCell ref="H8:I8"/>
    <mergeCell ref="R8:R10"/>
    <mergeCell ref="AB8:AB10"/>
    <mergeCell ref="D9:E9"/>
    <mergeCell ref="F9:G9"/>
    <mergeCell ref="H9:I9"/>
    <mergeCell ref="J9:K9"/>
    <mergeCell ref="L9:M9"/>
    <mergeCell ref="J8:K8"/>
    <mergeCell ref="N9:O9"/>
    <mergeCell ref="P9:Q9"/>
    <mergeCell ref="L8:M8"/>
    <mergeCell ref="N8:O8"/>
    <mergeCell ref="P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7" workbookViewId="0">
      <selection activeCell="M15" sqref="M15"/>
    </sheetView>
  </sheetViews>
  <sheetFormatPr defaultRowHeight="15.6" x14ac:dyDescent="0.3"/>
  <cols>
    <col min="1" max="1" width="4.77734375" style="74" customWidth="1"/>
    <col min="2" max="2" width="44.21875" style="74" customWidth="1"/>
    <col min="3" max="3" width="15.21875" style="74" customWidth="1"/>
    <col min="4" max="4" width="15.6640625" style="74" customWidth="1"/>
    <col min="5" max="5" width="17.44140625" style="74" customWidth="1"/>
    <col min="6" max="6" width="9" style="74" bestFit="1" customWidth="1"/>
    <col min="7" max="7" width="9.88671875" style="74" bestFit="1" customWidth="1"/>
    <col min="8" max="8" width="9" style="74" bestFit="1" customWidth="1"/>
    <col min="9" max="11" width="9.88671875" style="74" bestFit="1" customWidth="1"/>
    <col min="12" max="12" width="9" style="74" bestFit="1" customWidth="1"/>
    <col min="13" max="13" width="11.6640625" style="74" bestFit="1" customWidth="1"/>
    <col min="14" max="16384" width="8.88671875" style="74"/>
  </cols>
  <sheetData>
    <row r="1" spans="1:13" x14ac:dyDescent="0.3">
      <c r="L1" s="216" t="s">
        <v>63</v>
      </c>
      <c r="M1" s="216"/>
    </row>
    <row r="2" spans="1:13" x14ac:dyDescent="0.3">
      <c r="B2" s="217" t="s">
        <v>64</v>
      </c>
      <c r="C2" s="217"/>
      <c r="D2" s="217"/>
      <c r="E2" s="217"/>
    </row>
    <row r="3" spans="1:13" x14ac:dyDescent="0.3">
      <c r="B3" s="218"/>
      <c r="C3" s="218"/>
      <c r="D3" s="218"/>
      <c r="E3" s="218"/>
    </row>
    <row r="4" spans="1:13" x14ac:dyDescent="0.3">
      <c r="B4" s="218"/>
      <c r="C4" s="218"/>
      <c r="D4" s="218"/>
      <c r="E4" s="218"/>
    </row>
    <row r="5" spans="1:13" ht="16.2" thickBot="1" x14ac:dyDescent="0.35">
      <c r="B5" s="217"/>
      <c r="C5" s="217"/>
      <c r="D5" s="217"/>
      <c r="E5" s="217"/>
    </row>
    <row r="6" spans="1:13" ht="216" x14ac:dyDescent="0.35">
      <c r="A6" s="219" t="s">
        <v>20</v>
      </c>
      <c r="B6" s="221" t="s">
        <v>2</v>
      </c>
      <c r="C6" s="224" t="s">
        <v>65</v>
      </c>
      <c r="D6" s="215" t="s">
        <v>4</v>
      </c>
      <c r="E6" s="215" t="s">
        <v>5</v>
      </c>
      <c r="F6" s="215" t="s">
        <v>6</v>
      </c>
      <c r="G6" s="75" t="s">
        <v>37</v>
      </c>
      <c r="H6" s="76" t="s">
        <v>38</v>
      </c>
      <c r="I6" s="77" t="s">
        <v>39</v>
      </c>
      <c r="J6" s="77" t="s">
        <v>40</v>
      </c>
      <c r="K6" s="78" t="s">
        <v>41</v>
      </c>
      <c r="L6" s="78" t="s">
        <v>42</v>
      </c>
      <c r="M6" s="65"/>
    </row>
    <row r="7" spans="1:13" x14ac:dyDescent="0.3">
      <c r="A7" s="220"/>
      <c r="B7" s="222"/>
      <c r="C7" s="224"/>
      <c r="D7" s="215"/>
      <c r="E7" s="215"/>
      <c r="F7" s="215"/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80"/>
    </row>
    <row r="8" spans="1:13" ht="46.8" x14ac:dyDescent="0.3">
      <c r="A8" s="220"/>
      <c r="B8" s="223"/>
      <c r="C8" s="81" t="s">
        <v>66</v>
      </c>
      <c r="D8" s="82">
        <v>0.66</v>
      </c>
      <c r="E8" s="82">
        <v>0.27789999999999998</v>
      </c>
      <c r="F8" s="82">
        <v>6.2100000000000002E-2</v>
      </c>
      <c r="G8" s="83">
        <v>20.68</v>
      </c>
      <c r="H8" s="83"/>
      <c r="I8" s="83">
        <v>32.11</v>
      </c>
      <c r="J8" s="83">
        <v>21.22</v>
      </c>
      <c r="K8" s="83">
        <v>17.3</v>
      </c>
      <c r="L8" s="83">
        <v>8.69</v>
      </c>
      <c r="M8" s="84">
        <f>SUM(G8:L8)</f>
        <v>99.999999999999986</v>
      </c>
    </row>
    <row r="9" spans="1:13" x14ac:dyDescent="0.3">
      <c r="A9" s="85">
        <v>1</v>
      </c>
      <c r="B9" s="86" t="s">
        <v>8</v>
      </c>
      <c r="C9" s="87">
        <v>19446.59</v>
      </c>
      <c r="D9" s="87">
        <f>C9*D8</f>
        <v>12834.749400000001</v>
      </c>
      <c r="E9" s="87">
        <f>C9*E8</f>
        <v>5404.2073609999998</v>
      </c>
      <c r="F9" s="88">
        <f>C9*F8</f>
        <v>1207.633239</v>
      </c>
      <c r="G9" s="89">
        <f>D9*G8%</f>
        <v>2654.2261759200001</v>
      </c>
      <c r="H9" s="89">
        <f>D9*H8%</f>
        <v>0</v>
      </c>
      <c r="I9" s="89">
        <f>D9*I8%</f>
        <v>4121.2380323400002</v>
      </c>
      <c r="J9" s="89">
        <f>D9*J8%</f>
        <v>2723.53382268</v>
      </c>
      <c r="K9" s="89">
        <f>D9*K8%</f>
        <v>2220.4116462000002</v>
      </c>
      <c r="L9" s="89">
        <f>D9*L8%</f>
        <v>1115.3397228599999</v>
      </c>
      <c r="M9" s="90">
        <f t="shared" ref="M9:M17" si="0">SUM(G9:L9)</f>
        <v>12834.749400000001</v>
      </c>
    </row>
    <row r="10" spans="1:13" x14ac:dyDescent="0.3">
      <c r="A10" s="85">
        <v>2</v>
      </c>
      <c r="B10" s="86" t="s">
        <v>9</v>
      </c>
      <c r="C10" s="87">
        <v>9296.08</v>
      </c>
      <c r="D10" s="87">
        <f>C10*D8</f>
        <v>6135.4128000000001</v>
      </c>
      <c r="E10" s="87">
        <f>C10*E8</f>
        <v>2583.3806319999999</v>
      </c>
      <c r="F10" s="88">
        <f>C10*F8</f>
        <v>577.28656799999999</v>
      </c>
      <c r="G10" s="89">
        <f>D10*G8%</f>
        <v>1268.80336704</v>
      </c>
      <c r="H10" s="89">
        <f>D10*H8%</f>
        <v>0</v>
      </c>
      <c r="I10" s="89">
        <f>D10*I8%</f>
        <v>1970.0810500800001</v>
      </c>
      <c r="J10" s="89">
        <f>D10*J8%</f>
        <v>1301.93459616</v>
      </c>
      <c r="K10" s="89">
        <f>D10*K8%</f>
        <v>1061.4264144000001</v>
      </c>
      <c r="L10" s="89">
        <f>D10*L8%</f>
        <v>533.16737231999991</v>
      </c>
      <c r="M10" s="90">
        <f t="shared" si="0"/>
        <v>6135.4128000000001</v>
      </c>
    </row>
    <row r="11" spans="1:13" x14ac:dyDescent="0.3">
      <c r="A11" s="85">
        <v>3</v>
      </c>
      <c r="B11" s="86" t="s">
        <v>10</v>
      </c>
      <c r="C11" s="87">
        <v>3816.24</v>
      </c>
      <c r="D11" s="87">
        <f>C11*D8</f>
        <v>2518.7184000000002</v>
      </c>
      <c r="E11" s="87">
        <f>C11*E8</f>
        <v>1060.5330959999999</v>
      </c>
      <c r="F11" s="88">
        <f>C11*F8</f>
        <v>236.98850400000001</v>
      </c>
      <c r="G11" s="89">
        <f>D11*G8%</f>
        <v>520.87096512000005</v>
      </c>
      <c r="H11" s="89">
        <f>D11*H8%</f>
        <v>0</v>
      </c>
      <c r="I11" s="89">
        <f>D11*I8%</f>
        <v>808.76047824000011</v>
      </c>
      <c r="J11" s="89">
        <f>D11*J8%</f>
        <v>534.47204448000002</v>
      </c>
      <c r="K11" s="89">
        <f>D11*K8%</f>
        <v>435.73828320000007</v>
      </c>
      <c r="L11" s="89">
        <f>D11*L8%</f>
        <v>218.87662896000001</v>
      </c>
      <c r="M11" s="90">
        <f t="shared" si="0"/>
        <v>2518.7183999999997</v>
      </c>
    </row>
    <row r="12" spans="1:13" ht="31.2" x14ac:dyDescent="0.3">
      <c r="A12" s="85">
        <v>4</v>
      </c>
      <c r="B12" s="86" t="s">
        <v>11</v>
      </c>
      <c r="C12" s="87">
        <v>110647.65</v>
      </c>
      <c r="D12" s="87">
        <f>C12*D8</f>
        <v>73027.448999999993</v>
      </c>
      <c r="E12" s="87">
        <f>C12*E8</f>
        <v>30748.981934999996</v>
      </c>
      <c r="F12" s="91">
        <f>C12*F8</f>
        <v>6871.2190650000002</v>
      </c>
      <c r="G12" s="89">
        <f>D12*G8%</f>
        <v>15102.076453199998</v>
      </c>
      <c r="H12" s="89">
        <f>D12*H8%</f>
        <v>0</v>
      </c>
      <c r="I12" s="89">
        <f>D12*I8%</f>
        <v>23449.113873899998</v>
      </c>
      <c r="J12" s="89">
        <f>D12*J8%</f>
        <v>15496.424677799998</v>
      </c>
      <c r="K12" s="89">
        <f>D12*K8%</f>
        <v>12633.748677</v>
      </c>
      <c r="L12" s="89">
        <f>D12*L8%</f>
        <v>6346.0853180999984</v>
      </c>
      <c r="M12" s="90">
        <f t="shared" si="0"/>
        <v>73027.448999999993</v>
      </c>
    </row>
    <row r="13" spans="1:13" ht="31.2" x14ac:dyDescent="0.3">
      <c r="A13" s="85">
        <v>5</v>
      </c>
      <c r="B13" s="86" t="s">
        <v>12</v>
      </c>
      <c r="C13" s="87">
        <v>16261.76</v>
      </c>
      <c r="D13" s="87">
        <f>C13*D8</f>
        <v>10732.7616</v>
      </c>
      <c r="E13" s="87">
        <f>C13*E8</f>
        <v>4519.1431039999998</v>
      </c>
      <c r="F13" s="88">
        <f>C13*F8</f>
        <v>1009.8552960000001</v>
      </c>
      <c r="G13" s="89">
        <f>D13*G8%</f>
        <v>2219.5350988799996</v>
      </c>
      <c r="H13" s="89">
        <f>D13*H8%</f>
        <v>0</v>
      </c>
      <c r="I13" s="89">
        <f>D13*I8%</f>
        <v>3446.2897497599997</v>
      </c>
      <c r="J13" s="89">
        <f>D13*J8%</f>
        <v>2277.4920115199998</v>
      </c>
      <c r="K13" s="89">
        <f>D13*K8%</f>
        <v>1856.7677568000001</v>
      </c>
      <c r="L13" s="89">
        <f>D13*L8%</f>
        <v>932.67698303999987</v>
      </c>
      <c r="M13" s="90">
        <f t="shared" si="0"/>
        <v>10732.761599999998</v>
      </c>
    </row>
    <row r="14" spans="1:13" x14ac:dyDescent="0.3">
      <c r="A14" s="85">
        <v>6</v>
      </c>
      <c r="B14" s="86" t="s">
        <v>13</v>
      </c>
      <c r="C14" s="87">
        <v>284.74</v>
      </c>
      <c r="D14" s="87">
        <f>C14*D8</f>
        <v>187.92840000000001</v>
      </c>
      <c r="E14" s="87">
        <f>C14*E8</f>
        <v>79.129245999999995</v>
      </c>
      <c r="F14" s="88">
        <f>C14*F8</f>
        <v>17.682354</v>
      </c>
      <c r="G14" s="89">
        <f>D14*G8%</f>
        <v>38.863593119999997</v>
      </c>
      <c r="H14" s="89">
        <f>D14*H8%</f>
        <v>0</v>
      </c>
      <c r="I14" s="89">
        <f>D14*I8%</f>
        <v>60.343809240000006</v>
      </c>
      <c r="J14" s="89">
        <f>D14*J8%</f>
        <v>39.878406480000002</v>
      </c>
      <c r="K14" s="89">
        <f>D14*K8%</f>
        <v>32.511613200000006</v>
      </c>
      <c r="L14" s="89">
        <f>D14*L8%</f>
        <v>16.330977959999998</v>
      </c>
      <c r="M14" s="90">
        <f t="shared" si="0"/>
        <v>187.92840000000001</v>
      </c>
    </row>
    <row r="15" spans="1:13" x14ac:dyDescent="0.3">
      <c r="A15" s="85">
        <v>7</v>
      </c>
      <c r="B15" s="92" t="s">
        <v>14</v>
      </c>
      <c r="C15" s="93">
        <v>717.59</v>
      </c>
      <c r="D15" s="93">
        <f>C15*D8</f>
        <v>473.60940000000005</v>
      </c>
      <c r="E15" s="93">
        <f>C15*E8</f>
        <v>199.418261</v>
      </c>
      <c r="F15" s="93">
        <f>C15*F8</f>
        <v>44.562339000000001</v>
      </c>
      <c r="G15" s="89">
        <f>D15*G8%</f>
        <v>97.942423919999996</v>
      </c>
      <c r="H15" s="89">
        <f>D15*H8%</f>
        <v>0</v>
      </c>
      <c r="I15" s="89">
        <f>D15*I8%</f>
        <v>152.07597834000001</v>
      </c>
      <c r="J15" s="89">
        <f>D15*J8%</f>
        <v>100.49991468000002</v>
      </c>
      <c r="K15" s="89">
        <f>D15*K8%</f>
        <v>81.934426200000019</v>
      </c>
      <c r="L15" s="89">
        <f>D15*L8%</f>
        <v>41.156656859999998</v>
      </c>
      <c r="M15" s="90">
        <f t="shared" si="0"/>
        <v>473.60940000000005</v>
      </c>
    </row>
    <row r="16" spans="1:13" hidden="1" x14ac:dyDescent="0.3">
      <c r="A16" s="85"/>
      <c r="B16" s="92"/>
      <c r="C16" s="93"/>
      <c r="D16" s="93"/>
      <c r="E16" s="93"/>
      <c r="F16" s="93"/>
      <c r="G16" s="89">
        <f t="shared" ref="G16" si="1">D16*G15%</f>
        <v>0</v>
      </c>
      <c r="H16" s="89"/>
      <c r="I16" s="89"/>
      <c r="J16" s="89"/>
      <c r="K16" s="89"/>
      <c r="L16" s="89"/>
      <c r="M16" s="90">
        <f t="shared" si="0"/>
        <v>0</v>
      </c>
    </row>
    <row r="17" spans="1:13" ht="16.2" thickBot="1" x14ac:dyDescent="0.35">
      <c r="A17" s="85"/>
      <c r="B17" s="94" t="s">
        <v>15</v>
      </c>
      <c r="C17" s="95">
        <f>C9+C10+C11+C12+C13+C14+C15</f>
        <v>160470.65</v>
      </c>
      <c r="D17" s="95">
        <f>SUM(D9:D16)</f>
        <v>105910.629</v>
      </c>
      <c r="E17" s="95">
        <f t="shared" ref="E17" si="2">SUM(E9:E16)</f>
        <v>44594.793634999995</v>
      </c>
      <c r="F17" s="95">
        <f>SUM(F9:F15)</f>
        <v>9965.2273650000006</v>
      </c>
      <c r="G17" s="96">
        <f>SUM(G9:G15)</f>
        <v>21902.318077199998</v>
      </c>
      <c r="H17" s="96">
        <f t="shared" ref="H17:L17" si="3">SUM(H9:H15)</f>
        <v>0</v>
      </c>
      <c r="I17" s="96">
        <f t="shared" si="3"/>
        <v>34007.902971900003</v>
      </c>
      <c r="J17" s="96">
        <f t="shared" si="3"/>
        <v>22474.235473799996</v>
      </c>
      <c r="K17" s="96">
        <f t="shared" si="3"/>
        <v>18322.538817000001</v>
      </c>
      <c r="L17" s="96">
        <f t="shared" si="3"/>
        <v>9203.6336600999985</v>
      </c>
      <c r="M17" s="97">
        <f t="shared" si="0"/>
        <v>105910.62899999999</v>
      </c>
    </row>
    <row r="18" spans="1:13" ht="16.2" thickBot="1" x14ac:dyDescent="0.35">
      <c r="A18" s="85"/>
      <c r="B18" s="98" t="s">
        <v>67</v>
      </c>
      <c r="C18" s="99"/>
      <c r="D18" s="99"/>
      <c r="E18" s="99"/>
      <c r="F18" s="99"/>
      <c r="G18" s="100">
        <v>122</v>
      </c>
      <c r="H18" s="101">
        <v>0</v>
      </c>
      <c r="I18" s="101">
        <v>3787.35</v>
      </c>
      <c r="J18" s="101">
        <v>3787.35</v>
      </c>
      <c r="K18" s="100">
        <v>636</v>
      </c>
      <c r="L18" s="100">
        <v>636</v>
      </c>
      <c r="M18" s="102"/>
    </row>
    <row r="19" spans="1:13" ht="16.2" thickBot="1" x14ac:dyDescent="0.35">
      <c r="A19" s="85"/>
      <c r="B19" s="103" t="s">
        <v>68</v>
      </c>
      <c r="C19" s="104"/>
      <c r="D19" s="104"/>
      <c r="E19" s="104"/>
      <c r="F19" s="104"/>
      <c r="G19" s="105">
        <f>G17/G18</f>
        <v>179.52719735409835</v>
      </c>
      <c r="H19" s="105">
        <v>0</v>
      </c>
      <c r="I19" s="105">
        <f t="shared" ref="I19:L19" si="4">I17/I18</f>
        <v>8.979339900431702</v>
      </c>
      <c r="J19" s="105">
        <f t="shared" si="4"/>
        <v>5.9340265551903038</v>
      </c>
      <c r="K19" s="105">
        <f t="shared" si="4"/>
        <v>28.809023297169812</v>
      </c>
      <c r="L19" s="105">
        <f t="shared" si="4"/>
        <v>14.47112210707547</v>
      </c>
      <c r="M19" s="106"/>
    </row>
    <row r="20" spans="1:13" ht="16.2" thickBot="1" x14ac:dyDescent="0.35">
      <c r="A20" s="107"/>
      <c r="B20" s="98" t="s">
        <v>69</v>
      </c>
      <c r="C20" s="99"/>
      <c r="D20" s="99"/>
      <c r="E20" s="99"/>
      <c r="F20" s="99"/>
      <c r="G20" s="101">
        <v>50</v>
      </c>
      <c r="H20" s="101">
        <v>0</v>
      </c>
      <c r="I20" s="101">
        <v>2</v>
      </c>
      <c r="J20" s="101">
        <v>2</v>
      </c>
      <c r="K20" s="101">
        <v>10</v>
      </c>
      <c r="L20" s="101">
        <v>15</v>
      </c>
      <c r="M20" s="102"/>
    </row>
    <row r="21" spans="1:13" x14ac:dyDescent="0.3">
      <c r="G21" s="108"/>
      <c r="H21" s="108"/>
      <c r="I21" s="108"/>
      <c r="J21" s="108"/>
      <c r="K21" s="108"/>
      <c r="L21" s="108"/>
      <c r="M21" s="108"/>
    </row>
    <row r="22" spans="1:13" x14ac:dyDescent="0.3">
      <c r="G22" s="108"/>
      <c r="H22" s="108"/>
      <c r="I22" s="108"/>
      <c r="J22" s="108"/>
      <c r="K22" s="108"/>
      <c r="L22" s="108"/>
      <c r="M22" s="108"/>
    </row>
  </sheetData>
  <mergeCells count="11">
    <mergeCell ref="A6:A8"/>
    <mergeCell ref="B6:B8"/>
    <mergeCell ref="C6:C7"/>
    <mergeCell ref="D6:D7"/>
    <mergeCell ref="E6:E7"/>
    <mergeCell ref="F6:F7"/>
    <mergeCell ref="L1:M1"/>
    <mergeCell ref="B2:E2"/>
    <mergeCell ref="B3:E3"/>
    <mergeCell ref="B4:E4"/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workbookViewId="0">
      <selection activeCell="N15" sqref="N15"/>
    </sheetView>
  </sheetViews>
  <sheetFormatPr defaultRowHeight="14.4" x14ac:dyDescent="0.3"/>
  <cols>
    <col min="2" max="2" width="8.88671875" customWidth="1"/>
    <col min="3" max="3" width="40.5546875" customWidth="1"/>
    <col min="4" max="4" width="11.44140625" customWidth="1"/>
    <col min="5" max="5" width="0" hidden="1" customWidth="1"/>
    <col min="6" max="6" width="11.44140625" customWidth="1"/>
    <col min="7" max="7" width="0" hidden="1" customWidth="1"/>
    <col min="8" max="8" width="11.44140625" customWidth="1"/>
    <col min="9" max="9" width="0" hidden="1" customWidth="1"/>
    <col min="10" max="10" width="11.44140625" customWidth="1"/>
    <col min="11" max="11" width="0" hidden="1" customWidth="1"/>
    <col min="12" max="12" width="11.44140625" customWidth="1"/>
    <col min="13" max="13" width="0" hidden="1" customWidth="1"/>
    <col min="14" max="14" width="11.44140625" customWidth="1"/>
    <col min="15" max="15" width="0" hidden="1" customWidth="1"/>
    <col min="16" max="16" width="11.44140625" customWidth="1"/>
    <col min="17" max="17" width="0.109375" customWidth="1"/>
    <col min="18" max="18" width="8.88671875" style="109"/>
    <col min="19" max="19" width="10.6640625" hidden="1" customWidth="1"/>
    <col min="20" max="22" width="10.5546875" hidden="1" customWidth="1"/>
    <col min="23" max="27" width="0" hidden="1" customWidth="1"/>
  </cols>
  <sheetData>
    <row r="1" spans="2:28" x14ac:dyDescent="0.3">
      <c r="Q1" t="s">
        <v>70</v>
      </c>
      <c r="R1"/>
      <c r="U1" s="109"/>
    </row>
    <row r="4" spans="2:28" x14ac:dyDescent="0.3">
      <c r="C4" t="s">
        <v>17</v>
      </c>
    </row>
    <row r="7" spans="2:28" ht="15" thickBot="1" x14ac:dyDescent="0.35">
      <c r="B7" s="110" t="s">
        <v>18</v>
      </c>
      <c r="C7" s="111" t="s">
        <v>19</v>
      </c>
    </row>
    <row r="8" spans="2:28" x14ac:dyDescent="0.3">
      <c r="B8" s="233" t="s">
        <v>20</v>
      </c>
      <c r="C8" s="236" t="s">
        <v>21</v>
      </c>
      <c r="D8" s="226">
        <v>1</v>
      </c>
      <c r="E8" s="226"/>
      <c r="F8" s="226">
        <v>2</v>
      </c>
      <c r="G8" s="226"/>
      <c r="H8" s="226">
        <v>3</v>
      </c>
      <c r="I8" s="226"/>
      <c r="J8" s="226">
        <v>4</v>
      </c>
      <c r="K8" s="226"/>
      <c r="L8" s="226">
        <v>5</v>
      </c>
      <c r="M8" s="226"/>
      <c r="N8" s="226">
        <v>6</v>
      </c>
      <c r="O8" s="226"/>
      <c r="P8" s="226">
        <v>7</v>
      </c>
      <c r="Q8" s="226"/>
      <c r="R8" s="227" t="s">
        <v>22</v>
      </c>
      <c r="S8" s="112"/>
      <c r="T8" s="112"/>
      <c r="U8" s="112"/>
      <c r="V8" s="112"/>
      <c r="W8" s="112"/>
      <c r="X8" s="112"/>
      <c r="Y8" s="112"/>
      <c r="Z8" s="112"/>
      <c r="AA8" s="112"/>
      <c r="AB8" s="230" t="s">
        <v>71</v>
      </c>
    </row>
    <row r="9" spans="2:28" x14ac:dyDescent="0.3">
      <c r="B9" s="234"/>
      <c r="C9" s="237"/>
      <c r="D9" s="225" t="s">
        <v>24</v>
      </c>
      <c r="E9" s="225"/>
      <c r="F9" s="225" t="s">
        <v>25</v>
      </c>
      <c r="G9" s="225"/>
      <c r="H9" s="225" t="s">
        <v>25</v>
      </c>
      <c r="I9" s="225"/>
      <c r="J9" s="225" t="s">
        <v>25</v>
      </c>
      <c r="K9" s="225"/>
      <c r="L9" s="225" t="s">
        <v>26</v>
      </c>
      <c r="M9" s="225"/>
      <c r="N9" s="225" t="s">
        <v>27</v>
      </c>
      <c r="O9" s="225"/>
      <c r="P9" s="225" t="s">
        <v>28</v>
      </c>
      <c r="Q9" s="225"/>
      <c r="R9" s="228"/>
      <c r="S9" s="113"/>
      <c r="T9" s="113"/>
      <c r="U9" s="113"/>
      <c r="V9" s="113"/>
      <c r="W9" s="113"/>
      <c r="X9" s="113"/>
      <c r="Y9" s="113"/>
      <c r="Z9" s="113"/>
      <c r="AA9" s="113"/>
      <c r="AB9" s="231"/>
    </row>
    <row r="10" spans="2:28" ht="29.4" thickBot="1" x14ac:dyDescent="0.35">
      <c r="B10" s="235"/>
      <c r="C10" s="238"/>
      <c r="D10" s="114" t="s">
        <v>29</v>
      </c>
      <c r="E10" s="114" t="s">
        <v>30</v>
      </c>
      <c r="F10" s="114" t="s">
        <v>29</v>
      </c>
      <c r="G10" s="114" t="s">
        <v>30</v>
      </c>
      <c r="H10" s="114" t="s">
        <v>29</v>
      </c>
      <c r="I10" s="114" t="s">
        <v>30</v>
      </c>
      <c r="J10" s="114" t="s">
        <v>29</v>
      </c>
      <c r="K10" s="114" t="s">
        <v>30</v>
      </c>
      <c r="L10" s="114" t="s">
        <v>29</v>
      </c>
      <c r="M10" s="114" t="s">
        <v>30</v>
      </c>
      <c r="N10" s="114" t="s">
        <v>29</v>
      </c>
      <c r="O10" s="114" t="s">
        <v>30</v>
      </c>
      <c r="P10" s="114" t="s">
        <v>29</v>
      </c>
      <c r="Q10" s="115" t="s">
        <v>30</v>
      </c>
      <c r="R10" s="229"/>
      <c r="S10" s="116" t="s">
        <v>31</v>
      </c>
      <c r="T10" s="116" t="s">
        <v>32</v>
      </c>
      <c r="U10" s="116" t="s">
        <v>33</v>
      </c>
      <c r="V10" s="116" t="s">
        <v>34</v>
      </c>
      <c r="W10" s="116" t="s">
        <v>35</v>
      </c>
      <c r="X10" s="116" t="s">
        <v>36</v>
      </c>
      <c r="Y10" s="115"/>
      <c r="Z10" s="115"/>
      <c r="AA10" s="115"/>
      <c r="AB10" s="232"/>
    </row>
    <row r="11" spans="2:28" x14ac:dyDescent="0.3">
      <c r="B11" s="117">
        <v>1</v>
      </c>
      <c r="C11" s="118" t="s">
        <v>37</v>
      </c>
      <c r="D11" s="119">
        <f>2080+1580+1110</f>
        <v>4770</v>
      </c>
      <c r="E11" s="119">
        <f>20.63+19.36+17.79</f>
        <v>57.779999999999994</v>
      </c>
      <c r="F11" s="119">
        <f>1850+1590+1110</f>
        <v>4550</v>
      </c>
      <c r="G11" s="119">
        <f>22.68+19.49+14.45</f>
        <v>56.620000000000005</v>
      </c>
      <c r="H11" s="119">
        <f>2100+1590+1010</f>
        <v>4700</v>
      </c>
      <c r="I11" s="119">
        <f>21.87+19.49+12.38</f>
        <v>53.74</v>
      </c>
      <c r="J11" s="119">
        <f>600+1590+1010</f>
        <v>3200</v>
      </c>
      <c r="K11" s="119">
        <f>6.25+19.49+12.38</f>
        <v>38.119999999999997</v>
      </c>
      <c r="L11" s="119">
        <f>680+900+570</f>
        <v>2150</v>
      </c>
      <c r="M11" s="119">
        <f>9.44+13.89+19.79</f>
        <v>43.12</v>
      </c>
      <c r="N11" s="119">
        <v>820</v>
      </c>
      <c r="O11" s="119">
        <f>23.31+21.71+25.35</f>
        <v>70.37</v>
      </c>
      <c r="P11" s="119">
        <v>0</v>
      </c>
      <c r="Q11" s="119">
        <v>0</v>
      </c>
      <c r="R11" s="120">
        <f>D11+F11+H11+J11+L11+N11+P11</f>
        <v>20190</v>
      </c>
      <c r="S11" s="119">
        <f>E11+G11+I11+K11+M11+O11+Q11</f>
        <v>319.75</v>
      </c>
      <c r="T11" s="121">
        <f t="shared" ref="T11:T16" si="0">S11/7</f>
        <v>45.678571428571431</v>
      </c>
      <c r="U11" s="119">
        <f>E11+G11+I11+K11+M11+O11</f>
        <v>319.75</v>
      </c>
      <c r="V11" s="121">
        <f>U11/6</f>
        <v>53.291666666666664</v>
      </c>
      <c r="W11" s="119">
        <f>E11+G11+I11+K11+M11</f>
        <v>249.38000000000002</v>
      </c>
      <c r="X11" s="119">
        <f t="shared" ref="X11:X16" si="1">W11/5</f>
        <v>49.876000000000005</v>
      </c>
      <c r="Y11" s="122"/>
      <c r="Z11" s="123"/>
      <c r="AA11" s="119"/>
      <c r="AB11" s="124">
        <f>R11/R17%</f>
        <v>20.675883256528419</v>
      </c>
    </row>
    <row r="12" spans="2:28" ht="28.8" x14ac:dyDescent="0.3">
      <c r="B12" s="125">
        <v>2</v>
      </c>
      <c r="C12" s="126" t="s">
        <v>38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27">
        <f t="shared" ref="R12:S17" si="2">D12+F12+H12+J12+L12+N12+P12</f>
        <v>0</v>
      </c>
      <c r="S12" s="128">
        <f t="shared" si="2"/>
        <v>0</v>
      </c>
      <c r="T12" s="129">
        <f t="shared" si="0"/>
        <v>0</v>
      </c>
      <c r="U12" s="128">
        <f t="shared" ref="U12:U16" si="3">E12+G12+I12+K12+M12+O12+Q12</f>
        <v>0</v>
      </c>
      <c r="V12" s="129">
        <f t="shared" ref="V12:V16" si="4">U12/6</f>
        <v>0</v>
      </c>
      <c r="W12" s="128">
        <f t="shared" ref="W12:W16" si="5">E12+G12+I12+K12+M12</f>
        <v>0</v>
      </c>
      <c r="X12" s="128">
        <f t="shared" si="1"/>
        <v>0</v>
      </c>
      <c r="Y12" s="130"/>
      <c r="Z12" s="131"/>
      <c r="AA12" s="128"/>
      <c r="AB12" s="132">
        <f>R12/R17%</f>
        <v>0</v>
      </c>
    </row>
    <row r="13" spans="2:28" ht="28.8" x14ac:dyDescent="0.3">
      <c r="B13" s="125">
        <v>3</v>
      </c>
      <c r="C13" s="126" t="s">
        <v>39</v>
      </c>
      <c r="D13" s="113">
        <f>2115+2760+1165</f>
        <v>6040</v>
      </c>
      <c r="E13" s="113">
        <f>20.98+33.83+18.67</f>
        <v>73.48</v>
      </c>
      <c r="F13" s="113">
        <f>1660+3170+1530</f>
        <v>6360</v>
      </c>
      <c r="G13" s="113">
        <f>20.34+38.85+19.92</f>
        <v>79.11</v>
      </c>
      <c r="H13" s="113">
        <f>2010+3170+1805</f>
        <v>6985</v>
      </c>
      <c r="I13" s="113">
        <f>20.94+38.85+22.12</f>
        <v>81.910000000000011</v>
      </c>
      <c r="J13" s="113">
        <f>2010+3170+1805</f>
        <v>6985</v>
      </c>
      <c r="K13" s="113">
        <f>20.94+38.85+22.12</f>
        <v>81.910000000000011</v>
      </c>
      <c r="L13" s="113">
        <f>2150+2230+610</f>
        <v>4990</v>
      </c>
      <c r="M13" s="113">
        <f>29.86+34.41+21.18</f>
        <v>85.449999999999989</v>
      </c>
      <c r="N13" s="113">
        <v>0</v>
      </c>
      <c r="O13" s="113">
        <v>0</v>
      </c>
      <c r="P13" s="113">
        <v>0</v>
      </c>
      <c r="Q13" s="113">
        <v>0</v>
      </c>
      <c r="R13" s="133">
        <f t="shared" si="2"/>
        <v>31360</v>
      </c>
      <c r="S13" s="113">
        <f t="shared" si="2"/>
        <v>401.86</v>
      </c>
      <c r="T13" s="134">
        <f t="shared" si="0"/>
        <v>57.408571428571427</v>
      </c>
      <c r="U13" s="113">
        <f t="shared" si="3"/>
        <v>401.86</v>
      </c>
      <c r="V13" s="134">
        <f t="shared" si="4"/>
        <v>66.976666666666674</v>
      </c>
      <c r="W13" s="113">
        <f t="shared" si="5"/>
        <v>401.86</v>
      </c>
      <c r="X13" s="113">
        <f t="shared" si="1"/>
        <v>80.372</v>
      </c>
      <c r="Y13" s="135"/>
      <c r="Z13" s="136"/>
      <c r="AA13" s="113"/>
      <c r="AB13" s="137">
        <f>R13/R17%</f>
        <v>32.11469534050179</v>
      </c>
    </row>
    <row r="14" spans="2:28" ht="28.8" x14ac:dyDescent="0.3">
      <c r="B14" s="125">
        <v>4</v>
      </c>
      <c r="C14" s="126" t="s">
        <v>40</v>
      </c>
      <c r="D14" s="113">
        <f>2115+1090+1165</f>
        <v>4370</v>
      </c>
      <c r="E14" s="113">
        <f>20.98+13.36+18.67</f>
        <v>53.010000000000005</v>
      </c>
      <c r="F14" s="113">
        <f>1660+590+1530</f>
        <v>3780</v>
      </c>
      <c r="G14" s="113">
        <f>20.34+7.23+19.92</f>
        <v>47.49</v>
      </c>
      <c r="H14" s="113">
        <f>2010+590+1705</f>
        <v>4305</v>
      </c>
      <c r="I14" s="113">
        <f>20.94+7.23+20.89</f>
        <v>49.06</v>
      </c>
      <c r="J14" s="113">
        <f>2010+590+1705</f>
        <v>4305</v>
      </c>
      <c r="K14" s="113">
        <f>20.94+7.23+20.89</f>
        <v>49.06</v>
      </c>
      <c r="L14" s="113">
        <f>2150+1200+610</f>
        <v>3960</v>
      </c>
      <c r="M14" s="113">
        <f>29.86+18.52+21.18</f>
        <v>69.56</v>
      </c>
      <c r="N14" s="113">
        <v>0</v>
      </c>
      <c r="O14" s="113">
        <v>0</v>
      </c>
      <c r="P14" s="113">
        <v>0</v>
      </c>
      <c r="Q14" s="113">
        <v>0</v>
      </c>
      <c r="R14" s="133">
        <f t="shared" si="2"/>
        <v>20720</v>
      </c>
      <c r="S14" s="113">
        <f t="shared" si="2"/>
        <v>268.18</v>
      </c>
      <c r="T14" s="134">
        <f t="shared" si="0"/>
        <v>38.311428571428571</v>
      </c>
      <c r="U14" s="113">
        <f t="shared" si="3"/>
        <v>268.18</v>
      </c>
      <c r="V14" s="134">
        <f t="shared" si="4"/>
        <v>44.696666666666665</v>
      </c>
      <c r="W14" s="113">
        <f t="shared" si="5"/>
        <v>268.18</v>
      </c>
      <c r="X14" s="113">
        <f t="shared" si="1"/>
        <v>53.636000000000003</v>
      </c>
      <c r="Y14" s="135"/>
      <c r="Z14" s="136"/>
      <c r="AA14" s="113"/>
      <c r="AB14" s="137">
        <f>R14/R17%</f>
        <v>21.218637992831543</v>
      </c>
    </row>
    <row r="15" spans="2:28" x14ac:dyDescent="0.3">
      <c r="B15" s="125">
        <v>5</v>
      </c>
      <c r="C15" s="138" t="s">
        <v>41</v>
      </c>
      <c r="D15" s="113">
        <f>600+270+980</f>
        <v>1850</v>
      </c>
      <c r="E15" s="113">
        <f>5.95+3.31+15.71</f>
        <v>24.97</v>
      </c>
      <c r="F15" s="113">
        <f>500+150+1300</f>
        <v>1950</v>
      </c>
      <c r="G15" s="113">
        <f>6.13+1.84+16.93</f>
        <v>24.9</v>
      </c>
      <c r="H15" s="113">
        <f>600+150+1520</f>
        <v>2270</v>
      </c>
      <c r="I15" s="113">
        <f>6.25+1.84+18.63</f>
        <v>26.72</v>
      </c>
      <c r="J15" s="113">
        <f>2100+150+1520</f>
        <v>3770</v>
      </c>
      <c r="K15" s="113">
        <f>21.88+1.84+18.63</f>
        <v>42.349999999999994</v>
      </c>
      <c r="L15" s="113">
        <f>180+360+180</f>
        <v>720</v>
      </c>
      <c r="M15" s="139">
        <f>2.5+5.56+6.25</f>
        <v>14.309999999999999</v>
      </c>
      <c r="N15" s="113">
        <f>2280+2040+2010</f>
        <v>6330</v>
      </c>
      <c r="O15" s="113">
        <f>22.62+22.39+23.26</f>
        <v>68.27000000000001</v>
      </c>
      <c r="P15" s="113">
        <v>0</v>
      </c>
      <c r="Q15" s="113">
        <v>0</v>
      </c>
      <c r="R15" s="133">
        <f t="shared" si="2"/>
        <v>16890</v>
      </c>
      <c r="S15" s="113">
        <f t="shared" si="2"/>
        <v>201.52</v>
      </c>
      <c r="T15" s="134">
        <f t="shared" si="0"/>
        <v>28.78857142857143</v>
      </c>
      <c r="U15" s="113">
        <f t="shared" si="3"/>
        <v>201.52</v>
      </c>
      <c r="V15" s="134">
        <f t="shared" si="4"/>
        <v>33.586666666666666</v>
      </c>
      <c r="W15" s="113">
        <f t="shared" si="5"/>
        <v>133.25</v>
      </c>
      <c r="X15" s="113">
        <f t="shared" si="1"/>
        <v>26.65</v>
      </c>
      <c r="Y15" s="135"/>
      <c r="Z15" s="136"/>
      <c r="AA15" s="113"/>
      <c r="AB15" s="137">
        <f>R15/R17%</f>
        <v>17.296466973886329</v>
      </c>
    </row>
    <row r="16" spans="2:28" x14ac:dyDescent="0.3">
      <c r="B16" s="125">
        <v>6</v>
      </c>
      <c r="C16" s="128" t="s">
        <v>42</v>
      </c>
      <c r="D16" s="113">
        <v>6540</v>
      </c>
      <c r="E16" s="113">
        <f>4.18+2.21+3.85</f>
        <v>10.24</v>
      </c>
      <c r="F16" s="113">
        <f>240+180</f>
        <v>420</v>
      </c>
      <c r="G16" s="113">
        <f>2.94+2.34</f>
        <v>5.2799999999999994</v>
      </c>
      <c r="H16" s="113">
        <f>240+150</f>
        <v>390</v>
      </c>
      <c r="I16" s="113">
        <f>2.94+1.84</f>
        <v>4.78</v>
      </c>
      <c r="J16" s="113">
        <f>180+240+150</f>
        <v>570</v>
      </c>
      <c r="K16" s="113">
        <f>1.87+2.94+1.84</f>
        <v>6.65</v>
      </c>
      <c r="L16" s="113">
        <f>60+60</f>
        <v>120</v>
      </c>
      <c r="M16" s="113">
        <f>0.93+2.08</f>
        <v>3.0100000000000002</v>
      </c>
      <c r="N16" s="113">
        <f>300+150</f>
        <v>450</v>
      </c>
      <c r="O16" s="113">
        <f>3.29+1.74</f>
        <v>5.03</v>
      </c>
      <c r="P16" s="113">
        <v>0</v>
      </c>
      <c r="Q16" s="113">
        <v>0</v>
      </c>
      <c r="R16" s="133">
        <f t="shared" si="2"/>
        <v>8490</v>
      </c>
      <c r="S16" s="113">
        <f t="shared" si="2"/>
        <v>34.99</v>
      </c>
      <c r="T16" s="134">
        <f t="shared" si="0"/>
        <v>4.9985714285714291</v>
      </c>
      <c r="U16" s="113">
        <f t="shared" si="3"/>
        <v>34.99</v>
      </c>
      <c r="V16" s="134">
        <f t="shared" si="4"/>
        <v>5.831666666666667</v>
      </c>
      <c r="W16" s="113">
        <f t="shared" si="5"/>
        <v>29.960000000000004</v>
      </c>
      <c r="X16" s="113">
        <f t="shared" si="1"/>
        <v>5.9920000000000009</v>
      </c>
      <c r="Y16" s="135"/>
      <c r="Z16" s="136"/>
      <c r="AA16" s="113"/>
      <c r="AB16" s="137">
        <f>R16/R17%</f>
        <v>8.6943164362519205</v>
      </c>
    </row>
    <row r="17" spans="2:28" ht="15" thickBot="1" x14ac:dyDescent="0.35">
      <c r="B17" s="140" t="s">
        <v>18</v>
      </c>
      <c r="C17" s="141" t="s">
        <v>43</v>
      </c>
      <c r="D17" s="142">
        <f t="shared" ref="D17:Q17" si="6">D11+D12+D13+D14+D15+D16</f>
        <v>23570</v>
      </c>
      <c r="E17" s="142">
        <f t="shared" si="6"/>
        <v>219.48</v>
      </c>
      <c r="F17" s="142">
        <f t="shared" si="6"/>
        <v>17060</v>
      </c>
      <c r="G17" s="142">
        <f t="shared" si="6"/>
        <v>213.40000000000003</v>
      </c>
      <c r="H17" s="142">
        <f t="shared" si="6"/>
        <v>18650</v>
      </c>
      <c r="I17" s="143">
        <f t="shared" si="6"/>
        <v>216.21</v>
      </c>
      <c r="J17" s="142">
        <f t="shared" si="6"/>
        <v>18830</v>
      </c>
      <c r="K17" s="142">
        <f t="shared" si="6"/>
        <v>218.09</v>
      </c>
      <c r="L17" s="142">
        <f t="shared" si="6"/>
        <v>11940</v>
      </c>
      <c r="M17" s="142">
        <f t="shared" si="6"/>
        <v>215.45</v>
      </c>
      <c r="N17" s="142">
        <f t="shared" si="6"/>
        <v>7600</v>
      </c>
      <c r="O17" s="142">
        <f t="shared" si="6"/>
        <v>143.67000000000002</v>
      </c>
      <c r="P17" s="142">
        <f t="shared" si="6"/>
        <v>0</v>
      </c>
      <c r="Q17" s="142">
        <f t="shared" si="6"/>
        <v>0</v>
      </c>
      <c r="R17" s="144">
        <f t="shared" si="2"/>
        <v>97650</v>
      </c>
      <c r="S17" s="142">
        <f t="shared" ref="S17:X17" si="7">S11+S12+S13+S14+S15+S16</f>
        <v>1226.3</v>
      </c>
      <c r="T17" s="145">
        <f t="shared" si="7"/>
        <v>175.18571428571428</v>
      </c>
      <c r="U17" s="145">
        <f t="shared" si="7"/>
        <v>1226.3</v>
      </c>
      <c r="V17" s="145">
        <f t="shared" si="7"/>
        <v>204.38333333333335</v>
      </c>
      <c r="W17" s="145">
        <f t="shared" si="7"/>
        <v>1082.6300000000001</v>
      </c>
      <c r="X17" s="145">
        <f t="shared" si="7"/>
        <v>216.52599999999998</v>
      </c>
      <c r="Y17" s="145"/>
      <c r="Z17" s="145"/>
      <c r="AA17" s="115"/>
      <c r="AB17" s="146">
        <f>SUM(AB11:AB16)</f>
        <v>100</v>
      </c>
    </row>
    <row r="18" spans="2:28" x14ac:dyDescent="0.3">
      <c r="B18" s="147"/>
      <c r="C18" s="147"/>
    </row>
  </sheetData>
  <mergeCells count="18">
    <mergeCell ref="B8:B10"/>
    <mergeCell ref="C8:C10"/>
    <mergeCell ref="D8:E8"/>
    <mergeCell ref="F8:G8"/>
    <mergeCell ref="H8:I8"/>
    <mergeCell ref="R8:R10"/>
    <mergeCell ref="AB8:AB10"/>
    <mergeCell ref="D9:E9"/>
    <mergeCell ref="F9:G9"/>
    <mergeCell ref="H9:I9"/>
    <mergeCell ref="J9:K9"/>
    <mergeCell ref="L9:M9"/>
    <mergeCell ref="J8:K8"/>
    <mergeCell ref="N9:O9"/>
    <mergeCell ref="P9:Q9"/>
    <mergeCell ref="L8:M8"/>
    <mergeCell ref="N8:O8"/>
    <mergeCell ref="P8:Q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58" workbookViewId="0">
      <selection sqref="A1:XFD1048576"/>
    </sheetView>
  </sheetViews>
  <sheetFormatPr defaultColWidth="9.109375" defaultRowHeight="13.8" x14ac:dyDescent="0.25"/>
  <cols>
    <col min="1" max="1" width="5.6640625" style="148" customWidth="1"/>
    <col min="2" max="2" width="81.109375" style="148" customWidth="1"/>
    <col min="3" max="3" width="12.6640625" style="148" customWidth="1"/>
    <col min="4" max="4" width="15" style="148" customWidth="1"/>
    <col min="5" max="5" width="16.6640625" style="148" customWidth="1"/>
    <col min="6" max="6" width="15.44140625" style="148" customWidth="1"/>
    <col min="7" max="7" width="17.6640625" style="148" customWidth="1"/>
    <col min="8" max="8" width="9.109375" style="148" customWidth="1"/>
    <col min="9" max="16384" width="9.109375" style="148"/>
  </cols>
  <sheetData>
    <row r="1" spans="1:7" ht="18" x14ac:dyDescent="0.25">
      <c r="F1" s="239" t="s">
        <v>72</v>
      </c>
      <c r="G1" s="239"/>
    </row>
    <row r="2" spans="1:7" ht="15.6" x14ac:dyDescent="0.25">
      <c r="A2" s="240" t="s">
        <v>73</v>
      </c>
      <c r="B2" s="240"/>
      <c r="C2" s="240"/>
      <c r="D2" s="240"/>
      <c r="E2" s="240"/>
      <c r="F2" s="240"/>
      <c r="G2" s="240"/>
    </row>
    <row r="3" spans="1:7" x14ac:dyDescent="0.25">
      <c r="E3" s="149"/>
    </row>
    <row r="4" spans="1:7" x14ac:dyDescent="0.25">
      <c r="A4" s="241" t="s">
        <v>74</v>
      </c>
      <c r="B4" s="241"/>
      <c r="C4" s="241"/>
      <c r="D4" s="241"/>
      <c r="E4" s="241"/>
      <c r="F4" s="241"/>
      <c r="G4" s="241"/>
    </row>
    <row r="5" spans="1:7" ht="17.399999999999999" x14ac:dyDescent="0.3">
      <c r="A5" s="150"/>
      <c r="B5" s="150"/>
      <c r="C5" s="150"/>
      <c r="D5" s="150"/>
      <c r="E5" s="150"/>
    </row>
    <row r="6" spans="1:7" x14ac:dyDescent="0.25">
      <c r="A6" s="151" t="s">
        <v>75</v>
      </c>
    </row>
    <row r="7" spans="1:7" ht="72" x14ac:dyDescent="0.3">
      <c r="A7" s="152" t="s">
        <v>76</v>
      </c>
      <c r="B7" s="153" t="s">
        <v>77</v>
      </c>
      <c r="C7" s="154" t="s">
        <v>78</v>
      </c>
      <c r="D7" s="154" t="s">
        <v>79</v>
      </c>
      <c r="E7" s="155" t="s">
        <v>80</v>
      </c>
      <c r="F7" s="156" t="s">
        <v>81</v>
      </c>
      <c r="G7" s="156" t="s">
        <v>82</v>
      </c>
    </row>
    <row r="8" spans="1:7" x14ac:dyDescent="0.25">
      <c r="A8" s="157">
        <v>1</v>
      </c>
      <c r="B8" s="158" t="s">
        <v>83</v>
      </c>
      <c r="C8" s="159" t="s">
        <v>84</v>
      </c>
      <c r="D8" s="159">
        <v>15</v>
      </c>
      <c r="E8" s="160" t="s">
        <v>25</v>
      </c>
      <c r="F8" s="161"/>
      <c r="G8" s="162"/>
    </row>
    <row r="9" spans="1:7" x14ac:dyDescent="0.25">
      <c r="A9" s="157">
        <v>2</v>
      </c>
      <c r="B9" s="163" t="s">
        <v>85</v>
      </c>
      <c r="C9" s="159" t="s">
        <v>84</v>
      </c>
      <c r="D9" s="159">
        <v>25</v>
      </c>
      <c r="E9" s="160" t="s">
        <v>25</v>
      </c>
      <c r="F9" s="164"/>
      <c r="G9" s="165"/>
    </row>
    <row r="10" spans="1:7" x14ac:dyDescent="0.25">
      <c r="A10" s="157">
        <v>3</v>
      </c>
      <c r="B10" s="160" t="s">
        <v>86</v>
      </c>
      <c r="C10" s="159" t="s">
        <v>84</v>
      </c>
      <c r="D10" s="159">
        <v>15</v>
      </c>
      <c r="E10" s="160" t="s">
        <v>25</v>
      </c>
      <c r="F10" s="164"/>
      <c r="G10" s="165"/>
    </row>
    <row r="11" spans="1:7" ht="55.2" x14ac:dyDescent="0.25">
      <c r="A11" s="157">
        <v>4</v>
      </c>
      <c r="B11" s="166" t="s">
        <v>87</v>
      </c>
      <c r="C11" s="159" t="s">
        <v>84</v>
      </c>
      <c r="D11" s="152">
        <v>15</v>
      </c>
      <c r="E11" s="160" t="s">
        <v>25</v>
      </c>
      <c r="F11" s="164"/>
      <c r="G11" s="165"/>
    </row>
    <row r="12" spans="1:7" x14ac:dyDescent="0.25">
      <c r="A12" s="157">
        <v>5</v>
      </c>
      <c r="B12" s="163" t="s">
        <v>88</v>
      </c>
      <c r="C12" s="159" t="s">
        <v>84</v>
      </c>
      <c r="D12" s="159">
        <v>25</v>
      </c>
      <c r="E12" s="160" t="s">
        <v>25</v>
      </c>
      <c r="F12" s="164"/>
      <c r="G12" s="165"/>
    </row>
    <row r="13" spans="1:7" ht="27.6" x14ac:dyDescent="0.25">
      <c r="A13" s="157">
        <v>6</v>
      </c>
      <c r="B13" s="158" t="s">
        <v>89</v>
      </c>
      <c r="C13" s="159" t="s">
        <v>84</v>
      </c>
      <c r="D13" s="159">
        <v>10</v>
      </c>
      <c r="E13" s="160" t="s">
        <v>25</v>
      </c>
      <c r="F13" s="164"/>
      <c r="G13" s="165"/>
    </row>
    <row r="14" spans="1:7" x14ac:dyDescent="0.25">
      <c r="A14" s="167">
        <v>7</v>
      </c>
      <c r="B14" s="160" t="s">
        <v>86</v>
      </c>
      <c r="C14" s="159" t="s">
        <v>84</v>
      </c>
      <c r="D14" s="159">
        <v>15</v>
      </c>
      <c r="E14" s="160" t="s">
        <v>25</v>
      </c>
      <c r="F14" s="164"/>
      <c r="G14" s="165"/>
    </row>
    <row r="15" spans="1:7" x14ac:dyDescent="0.25">
      <c r="A15" s="167">
        <v>8</v>
      </c>
      <c r="B15" s="160" t="s">
        <v>90</v>
      </c>
      <c r="C15" s="159" t="s">
        <v>84</v>
      </c>
      <c r="D15" s="168">
        <v>10</v>
      </c>
      <c r="E15" s="160" t="s">
        <v>91</v>
      </c>
      <c r="F15" s="164"/>
      <c r="G15" s="165"/>
    </row>
    <row r="16" spans="1:7" x14ac:dyDescent="0.25">
      <c r="A16" s="154"/>
      <c r="B16" s="169" t="s">
        <v>92</v>
      </c>
      <c r="C16" s="159"/>
      <c r="D16" s="170">
        <f>SUM(D8:D15)</f>
        <v>130</v>
      </c>
      <c r="E16" s="160"/>
      <c r="F16" s="171">
        <v>0.5</v>
      </c>
      <c r="G16" s="172">
        <v>2.5</v>
      </c>
    </row>
    <row r="17" spans="1:7" x14ac:dyDescent="0.25">
      <c r="A17" s="173"/>
      <c r="B17" s="174"/>
      <c r="C17" s="175"/>
      <c r="D17" s="175"/>
      <c r="E17" s="174"/>
      <c r="F17" s="164"/>
      <c r="G17" s="165"/>
    </row>
    <row r="18" spans="1:7" x14ac:dyDescent="0.25">
      <c r="A18" s="163"/>
      <c r="B18" s="163"/>
      <c r="C18" s="159" t="s">
        <v>93</v>
      </c>
      <c r="D18" s="176"/>
      <c r="E18" s="177"/>
      <c r="F18" s="164"/>
      <c r="G18" s="165"/>
    </row>
    <row r="19" spans="1:7" x14ac:dyDescent="0.25">
      <c r="A19" s="178">
        <v>1</v>
      </c>
      <c r="B19" s="158" t="s">
        <v>25</v>
      </c>
      <c r="C19" s="179">
        <f>D8+D9+D10+D11+D12+D13+D14</f>
        <v>120</v>
      </c>
      <c r="D19" s="163"/>
      <c r="E19" s="180"/>
      <c r="F19" s="164"/>
      <c r="G19" s="165"/>
    </row>
    <row r="20" spans="1:7" x14ac:dyDescent="0.25">
      <c r="A20" s="178">
        <v>2</v>
      </c>
      <c r="B20" s="158" t="s">
        <v>94</v>
      </c>
      <c r="C20" s="163">
        <f>D15</f>
        <v>10</v>
      </c>
      <c r="D20" s="163"/>
      <c r="E20" s="180"/>
      <c r="F20" s="164"/>
      <c r="G20" s="165"/>
    </row>
    <row r="21" spans="1:7" ht="15.6" x14ac:dyDescent="0.3">
      <c r="A21" s="181"/>
      <c r="B21" s="169" t="s">
        <v>92</v>
      </c>
      <c r="C21" s="182">
        <f>SUM(C19:C20)</f>
        <v>130</v>
      </c>
      <c r="D21" s="163"/>
      <c r="E21" s="183"/>
      <c r="F21" s="184"/>
      <c r="G21" s="185"/>
    </row>
    <row r="22" spans="1:7" x14ac:dyDescent="0.25">
      <c r="A22" s="173"/>
      <c r="B22" s="174"/>
      <c r="C22" s="175"/>
      <c r="D22" s="175"/>
      <c r="E22" s="174"/>
    </row>
    <row r="23" spans="1:7" x14ac:dyDescent="0.25">
      <c r="A23" s="173"/>
      <c r="B23" s="174"/>
      <c r="C23" s="175"/>
      <c r="D23" s="175"/>
      <c r="E23" s="174"/>
    </row>
    <row r="24" spans="1:7" x14ac:dyDescent="0.25">
      <c r="A24" s="151" t="s">
        <v>95</v>
      </c>
    </row>
    <row r="25" spans="1:7" ht="72" x14ac:dyDescent="0.3">
      <c r="A25" s="152" t="s">
        <v>76</v>
      </c>
      <c r="B25" s="153" t="s">
        <v>77</v>
      </c>
      <c r="C25" s="154" t="s">
        <v>78</v>
      </c>
      <c r="D25" s="154" t="s">
        <v>79</v>
      </c>
      <c r="E25" s="155" t="s">
        <v>80</v>
      </c>
      <c r="F25" s="156" t="s">
        <v>81</v>
      </c>
      <c r="G25" s="156" t="s">
        <v>82</v>
      </c>
    </row>
    <row r="26" spans="1:7" x14ac:dyDescent="0.25">
      <c r="A26" s="157">
        <v>1</v>
      </c>
      <c r="B26" s="158" t="s">
        <v>83</v>
      </c>
      <c r="C26" s="159" t="s">
        <v>84</v>
      </c>
      <c r="D26" s="159">
        <v>15</v>
      </c>
      <c r="E26" s="158" t="s">
        <v>25</v>
      </c>
      <c r="F26" s="161"/>
      <c r="G26" s="162"/>
    </row>
    <row r="27" spans="1:7" s="186" customFormat="1" x14ac:dyDescent="0.25">
      <c r="A27" s="157">
        <v>2</v>
      </c>
      <c r="B27" s="163" t="s">
        <v>85</v>
      </c>
      <c r="C27" s="159" t="s">
        <v>84</v>
      </c>
      <c r="D27" s="159">
        <v>28</v>
      </c>
      <c r="E27" s="158" t="s">
        <v>25</v>
      </c>
      <c r="F27" s="164"/>
      <c r="G27" s="165"/>
    </row>
    <row r="28" spans="1:7" s="186" customFormat="1" x14ac:dyDescent="0.25">
      <c r="A28" s="157">
        <v>3</v>
      </c>
      <c r="B28" s="160" t="s">
        <v>86</v>
      </c>
      <c r="C28" s="159" t="s">
        <v>84</v>
      </c>
      <c r="D28" s="159">
        <v>15</v>
      </c>
      <c r="E28" s="158" t="s">
        <v>25</v>
      </c>
      <c r="F28" s="164"/>
      <c r="G28" s="165"/>
    </row>
    <row r="29" spans="1:7" ht="55.2" x14ac:dyDescent="0.25">
      <c r="A29" s="157">
        <v>4</v>
      </c>
      <c r="B29" s="166" t="s">
        <v>96</v>
      </c>
      <c r="C29" s="159" t="s">
        <v>84</v>
      </c>
      <c r="D29" s="152">
        <v>15</v>
      </c>
      <c r="E29" s="158" t="s">
        <v>25</v>
      </c>
      <c r="F29" s="164"/>
      <c r="G29" s="165"/>
    </row>
    <row r="30" spans="1:7" x14ac:dyDescent="0.25">
      <c r="A30" s="157">
        <v>5</v>
      </c>
      <c r="B30" s="163" t="s">
        <v>88</v>
      </c>
      <c r="C30" s="159" t="s">
        <v>84</v>
      </c>
      <c r="D30" s="159">
        <v>28</v>
      </c>
      <c r="E30" s="158" t="s">
        <v>25</v>
      </c>
      <c r="F30" s="164"/>
      <c r="G30" s="165"/>
    </row>
    <row r="31" spans="1:7" ht="27.6" x14ac:dyDescent="0.25">
      <c r="A31" s="157">
        <v>6</v>
      </c>
      <c r="B31" s="158" t="s">
        <v>89</v>
      </c>
      <c r="C31" s="159" t="s">
        <v>84</v>
      </c>
      <c r="D31" s="159">
        <v>10</v>
      </c>
      <c r="E31" s="158" t="s">
        <v>25</v>
      </c>
      <c r="F31" s="164"/>
      <c r="G31" s="165"/>
    </row>
    <row r="32" spans="1:7" x14ac:dyDescent="0.25">
      <c r="A32" s="167">
        <v>7</v>
      </c>
      <c r="B32" s="160" t="s">
        <v>86</v>
      </c>
      <c r="C32" s="159" t="s">
        <v>84</v>
      </c>
      <c r="D32" s="159">
        <v>15</v>
      </c>
      <c r="E32" s="158" t="s">
        <v>25</v>
      </c>
      <c r="F32" s="164"/>
      <c r="G32" s="165"/>
    </row>
    <row r="33" spans="1:7" x14ac:dyDescent="0.25">
      <c r="A33" s="167">
        <v>8</v>
      </c>
      <c r="B33" s="160" t="s">
        <v>90</v>
      </c>
      <c r="C33" s="159" t="s">
        <v>84</v>
      </c>
      <c r="D33" s="168">
        <v>10</v>
      </c>
      <c r="E33" s="158" t="s">
        <v>91</v>
      </c>
      <c r="F33" s="164"/>
      <c r="G33" s="165"/>
    </row>
    <row r="34" spans="1:7" x14ac:dyDescent="0.25">
      <c r="A34" s="154"/>
      <c r="B34" s="169" t="s">
        <v>92</v>
      </c>
      <c r="C34" s="159"/>
      <c r="D34" s="170">
        <f>SUM(D26:D33)</f>
        <v>136</v>
      </c>
      <c r="E34" s="158"/>
      <c r="F34" s="171">
        <v>0.52</v>
      </c>
      <c r="G34" s="172">
        <v>2.6</v>
      </c>
    </row>
    <row r="35" spans="1:7" x14ac:dyDescent="0.25">
      <c r="A35" s="173"/>
      <c r="B35" s="174"/>
      <c r="C35" s="175"/>
      <c r="D35" s="175"/>
      <c r="E35" s="174"/>
      <c r="F35" s="164"/>
      <c r="G35" s="165"/>
    </row>
    <row r="36" spans="1:7" x14ac:dyDescent="0.25">
      <c r="A36" s="163"/>
      <c r="B36" s="163"/>
      <c r="C36" s="159" t="s">
        <v>93</v>
      </c>
      <c r="D36" s="176"/>
      <c r="E36" s="168"/>
      <c r="F36" s="164"/>
      <c r="G36" s="165"/>
    </row>
    <row r="37" spans="1:7" x14ac:dyDescent="0.25">
      <c r="A37" s="178">
        <v>1</v>
      </c>
      <c r="B37" s="158" t="s">
        <v>25</v>
      </c>
      <c r="C37" s="179">
        <f>D26+D27+D28+D29+D30+D31+D32</f>
        <v>126</v>
      </c>
      <c r="D37" s="163"/>
      <c r="E37" s="163"/>
      <c r="F37" s="164"/>
      <c r="G37" s="165"/>
    </row>
    <row r="38" spans="1:7" x14ac:dyDescent="0.25">
      <c r="A38" s="178">
        <v>2</v>
      </c>
      <c r="B38" s="158" t="s">
        <v>94</v>
      </c>
      <c r="C38" s="163">
        <f>D33</f>
        <v>10</v>
      </c>
      <c r="D38" s="163"/>
      <c r="E38" s="163"/>
      <c r="F38" s="164"/>
      <c r="G38" s="165"/>
    </row>
    <row r="39" spans="1:7" ht="15.6" x14ac:dyDescent="0.3">
      <c r="A39" s="181"/>
      <c r="B39" s="169" t="s">
        <v>92</v>
      </c>
      <c r="C39" s="182">
        <f>SUM(C37:C38)</f>
        <v>136</v>
      </c>
      <c r="D39" s="163"/>
      <c r="E39" s="182"/>
      <c r="F39" s="184"/>
      <c r="G39" s="185"/>
    </row>
    <row r="42" spans="1:7" x14ac:dyDescent="0.25">
      <c r="A42" s="151" t="s">
        <v>97</v>
      </c>
    </row>
    <row r="43" spans="1:7" ht="72" x14ac:dyDescent="0.3">
      <c r="A43" s="152" t="s">
        <v>76</v>
      </c>
      <c r="B43" s="153" t="s">
        <v>77</v>
      </c>
      <c r="C43" s="154" t="s">
        <v>78</v>
      </c>
      <c r="D43" s="154" t="s">
        <v>79</v>
      </c>
      <c r="E43" s="155" t="s">
        <v>80</v>
      </c>
      <c r="F43" s="156" t="s">
        <v>81</v>
      </c>
      <c r="G43" s="156" t="s">
        <v>82</v>
      </c>
    </row>
    <row r="44" spans="1:7" x14ac:dyDescent="0.25">
      <c r="A44" s="157">
        <v>1</v>
      </c>
      <c r="B44" s="158" t="s">
        <v>83</v>
      </c>
      <c r="C44" s="159" t="s">
        <v>84</v>
      </c>
      <c r="D44" s="159">
        <v>15</v>
      </c>
      <c r="E44" s="158" t="s">
        <v>25</v>
      </c>
      <c r="F44" s="161"/>
      <c r="G44" s="162"/>
    </row>
    <row r="45" spans="1:7" s="186" customFormat="1" x14ac:dyDescent="0.25">
      <c r="A45" s="157">
        <v>2</v>
      </c>
      <c r="B45" s="163" t="s">
        <v>85</v>
      </c>
      <c r="C45" s="159" t="s">
        <v>84</v>
      </c>
      <c r="D45" s="159">
        <v>30</v>
      </c>
      <c r="E45" s="158" t="s">
        <v>25</v>
      </c>
      <c r="F45" s="164"/>
      <c r="G45" s="165"/>
    </row>
    <row r="46" spans="1:7" s="186" customFormat="1" x14ac:dyDescent="0.25">
      <c r="A46" s="157">
        <v>3</v>
      </c>
      <c r="B46" s="160" t="s">
        <v>86</v>
      </c>
      <c r="C46" s="159" t="s">
        <v>84</v>
      </c>
      <c r="D46" s="159">
        <v>15</v>
      </c>
      <c r="E46" s="158" t="s">
        <v>25</v>
      </c>
      <c r="F46" s="164"/>
      <c r="G46" s="165"/>
    </row>
    <row r="47" spans="1:7" ht="55.2" x14ac:dyDescent="0.25">
      <c r="A47" s="157">
        <v>4</v>
      </c>
      <c r="B47" s="166" t="s">
        <v>96</v>
      </c>
      <c r="C47" s="159" t="s">
        <v>84</v>
      </c>
      <c r="D47" s="152">
        <v>15</v>
      </c>
      <c r="E47" s="158" t="s">
        <v>25</v>
      </c>
      <c r="F47" s="164"/>
      <c r="G47" s="165"/>
    </row>
    <row r="48" spans="1:7" x14ac:dyDescent="0.25">
      <c r="A48" s="157">
        <v>5</v>
      </c>
      <c r="B48" s="163" t="s">
        <v>88</v>
      </c>
      <c r="C48" s="159" t="s">
        <v>84</v>
      </c>
      <c r="D48" s="159">
        <v>30</v>
      </c>
      <c r="E48" s="158" t="s">
        <v>25</v>
      </c>
      <c r="F48" s="164"/>
      <c r="G48" s="165"/>
    </row>
    <row r="49" spans="1:7" ht="27.6" x14ac:dyDescent="0.25">
      <c r="A49" s="157">
        <v>6</v>
      </c>
      <c r="B49" s="158" t="s">
        <v>89</v>
      </c>
      <c r="C49" s="159" t="s">
        <v>84</v>
      </c>
      <c r="D49" s="159">
        <v>10</v>
      </c>
      <c r="E49" s="158" t="s">
        <v>25</v>
      </c>
      <c r="F49" s="164"/>
      <c r="G49" s="165"/>
    </row>
    <row r="50" spans="1:7" x14ac:dyDescent="0.25">
      <c r="A50" s="167">
        <v>7</v>
      </c>
      <c r="B50" s="160" t="s">
        <v>86</v>
      </c>
      <c r="C50" s="159" t="s">
        <v>84</v>
      </c>
      <c r="D50" s="159">
        <v>15</v>
      </c>
      <c r="E50" s="158" t="s">
        <v>25</v>
      </c>
      <c r="F50" s="164"/>
      <c r="G50" s="165"/>
    </row>
    <row r="51" spans="1:7" x14ac:dyDescent="0.25">
      <c r="A51" s="167">
        <v>8</v>
      </c>
      <c r="B51" s="160" t="s">
        <v>90</v>
      </c>
      <c r="C51" s="159" t="s">
        <v>84</v>
      </c>
      <c r="D51" s="168">
        <v>10</v>
      </c>
      <c r="E51" s="158" t="s">
        <v>91</v>
      </c>
      <c r="F51" s="164"/>
      <c r="G51" s="165"/>
    </row>
    <row r="52" spans="1:7" x14ac:dyDescent="0.25">
      <c r="A52" s="154"/>
      <c r="B52" s="169" t="s">
        <v>92</v>
      </c>
      <c r="C52" s="159"/>
      <c r="D52" s="170">
        <f>SUM(D44:D51)</f>
        <v>140</v>
      </c>
      <c r="E52" s="158"/>
      <c r="F52" s="171">
        <v>0.54</v>
      </c>
      <c r="G52" s="172">
        <v>2.7</v>
      </c>
    </row>
    <row r="53" spans="1:7" x14ac:dyDescent="0.25">
      <c r="A53" s="173"/>
      <c r="B53" s="174"/>
      <c r="C53" s="175"/>
      <c r="D53" s="175"/>
      <c r="E53" s="174"/>
      <c r="F53" s="164"/>
      <c r="G53" s="165"/>
    </row>
    <row r="54" spans="1:7" x14ac:dyDescent="0.25">
      <c r="A54" s="163"/>
      <c r="B54" s="163"/>
      <c r="C54" s="159" t="s">
        <v>93</v>
      </c>
      <c r="D54" s="176"/>
      <c r="E54" s="168"/>
      <c r="F54" s="164"/>
      <c r="G54" s="165"/>
    </row>
    <row r="55" spans="1:7" x14ac:dyDescent="0.25">
      <c r="A55" s="178">
        <v>1</v>
      </c>
      <c r="B55" s="158" t="s">
        <v>25</v>
      </c>
      <c r="C55" s="179">
        <f>D44+D45+D46+D47+D48+D49+D50</f>
        <v>130</v>
      </c>
      <c r="D55" s="163"/>
      <c r="E55" s="163"/>
      <c r="F55" s="164"/>
      <c r="G55" s="165"/>
    </row>
    <row r="56" spans="1:7" x14ac:dyDescent="0.25">
      <c r="A56" s="178">
        <v>2</v>
      </c>
      <c r="B56" s="158" t="s">
        <v>94</v>
      </c>
      <c r="C56" s="163">
        <f>D51</f>
        <v>10</v>
      </c>
      <c r="D56" s="163"/>
      <c r="E56" s="163"/>
      <c r="F56" s="164"/>
      <c r="G56" s="165"/>
    </row>
    <row r="57" spans="1:7" ht="15.6" x14ac:dyDescent="0.3">
      <c r="A57" s="181"/>
      <c r="B57" s="169" t="s">
        <v>92</v>
      </c>
      <c r="C57" s="182">
        <f>SUM(C55:C56)</f>
        <v>140</v>
      </c>
      <c r="D57" s="163"/>
      <c r="E57" s="182"/>
      <c r="F57" s="184"/>
      <c r="G57" s="185"/>
    </row>
    <row r="60" spans="1:7" x14ac:dyDescent="0.25">
      <c r="A60" s="151" t="s">
        <v>98</v>
      </c>
    </row>
    <row r="61" spans="1:7" ht="72" x14ac:dyDescent="0.3">
      <c r="A61" s="152" t="s">
        <v>76</v>
      </c>
      <c r="B61" s="153" t="s">
        <v>77</v>
      </c>
      <c r="C61" s="154" t="s">
        <v>78</v>
      </c>
      <c r="D61" s="154" t="s">
        <v>79</v>
      </c>
      <c r="E61" s="155" t="s">
        <v>80</v>
      </c>
      <c r="F61" s="156" t="s">
        <v>81</v>
      </c>
      <c r="G61" s="156" t="s">
        <v>82</v>
      </c>
    </row>
    <row r="62" spans="1:7" x14ac:dyDescent="0.25">
      <c r="A62" s="157">
        <v>1</v>
      </c>
      <c r="B62" s="158" t="s">
        <v>83</v>
      </c>
      <c r="C62" s="159" t="s">
        <v>84</v>
      </c>
      <c r="D62" s="159">
        <v>15</v>
      </c>
      <c r="E62" s="158" t="s">
        <v>25</v>
      </c>
      <c r="F62" s="161"/>
      <c r="G62" s="162"/>
    </row>
    <row r="63" spans="1:7" s="186" customFormat="1" x14ac:dyDescent="0.25">
      <c r="A63" s="157">
        <v>2</v>
      </c>
      <c r="B63" s="163" t="s">
        <v>85</v>
      </c>
      <c r="C63" s="159" t="s">
        <v>84</v>
      </c>
      <c r="D63" s="159">
        <v>90</v>
      </c>
      <c r="E63" s="158" t="s">
        <v>25</v>
      </c>
      <c r="F63" s="164"/>
      <c r="G63" s="165"/>
    </row>
    <row r="64" spans="1:7" s="186" customFormat="1" x14ac:dyDescent="0.25">
      <c r="A64" s="157">
        <v>3</v>
      </c>
      <c r="B64" s="160" t="s">
        <v>86</v>
      </c>
      <c r="C64" s="159" t="s">
        <v>84</v>
      </c>
      <c r="D64" s="159">
        <v>15</v>
      </c>
      <c r="E64" s="158" t="s">
        <v>25</v>
      </c>
      <c r="F64" s="164"/>
      <c r="G64" s="165"/>
    </row>
    <row r="65" spans="1:7" ht="55.2" x14ac:dyDescent="0.25">
      <c r="A65" s="157">
        <v>4</v>
      </c>
      <c r="B65" s="166" t="s">
        <v>96</v>
      </c>
      <c r="C65" s="159" t="s">
        <v>84</v>
      </c>
      <c r="D65" s="152">
        <v>15</v>
      </c>
      <c r="E65" s="158" t="s">
        <v>25</v>
      </c>
      <c r="F65" s="164"/>
      <c r="G65" s="165"/>
    </row>
    <row r="66" spans="1:7" x14ac:dyDescent="0.25">
      <c r="A66" s="157">
        <v>5</v>
      </c>
      <c r="B66" s="163" t="s">
        <v>88</v>
      </c>
      <c r="C66" s="159" t="s">
        <v>84</v>
      </c>
      <c r="D66" s="159">
        <v>90</v>
      </c>
      <c r="E66" s="158" t="s">
        <v>25</v>
      </c>
      <c r="F66" s="164"/>
      <c r="G66" s="165"/>
    </row>
    <row r="67" spans="1:7" ht="27.6" x14ac:dyDescent="0.25">
      <c r="A67" s="157">
        <v>6</v>
      </c>
      <c r="B67" s="158" t="s">
        <v>89</v>
      </c>
      <c r="C67" s="159" t="s">
        <v>84</v>
      </c>
      <c r="D67" s="159">
        <v>10</v>
      </c>
      <c r="E67" s="158" t="s">
        <v>25</v>
      </c>
      <c r="F67" s="164"/>
      <c r="G67" s="165"/>
    </row>
    <row r="68" spans="1:7" x14ac:dyDescent="0.25">
      <c r="A68" s="167">
        <v>7</v>
      </c>
      <c r="B68" s="160" t="s">
        <v>86</v>
      </c>
      <c r="C68" s="159" t="s">
        <v>84</v>
      </c>
      <c r="D68" s="159">
        <v>15</v>
      </c>
      <c r="E68" s="158" t="s">
        <v>25</v>
      </c>
      <c r="F68" s="164"/>
      <c r="G68" s="165"/>
    </row>
    <row r="69" spans="1:7" x14ac:dyDescent="0.25">
      <c r="A69" s="167">
        <v>8</v>
      </c>
      <c r="B69" s="160" t="s">
        <v>90</v>
      </c>
      <c r="C69" s="159" t="s">
        <v>84</v>
      </c>
      <c r="D69" s="168">
        <v>10</v>
      </c>
      <c r="E69" s="158" t="s">
        <v>91</v>
      </c>
      <c r="F69" s="164"/>
      <c r="G69" s="165"/>
    </row>
    <row r="70" spans="1:7" x14ac:dyDescent="0.25">
      <c r="A70" s="154"/>
      <c r="B70" s="169" t="s">
        <v>92</v>
      </c>
      <c r="C70" s="159"/>
      <c r="D70" s="170">
        <f>SUM(D62:D69)</f>
        <v>260</v>
      </c>
      <c r="E70" s="158"/>
      <c r="F70" s="171">
        <v>1</v>
      </c>
      <c r="G70" s="172">
        <v>5</v>
      </c>
    </row>
    <row r="71" spans="1:7" x14ac:dyDescent="0.25">
      <c r="A71" s="173"/>
      <c r="B71" s="174"/>
      <c r="C71" s="175"/>
      <c r="D71" s="175"/>
      <c r="E71" s="174"/>
      <c r="F71" s="164"/>
      <c r="G71" s="165"/>
    </row>
    <row r="72" spans="1:7" x14ac:dyDescent="0.25">
      <c r="A72" s="163"/>
      <c r="B72" s="163"/>
      <c r="C72" s="159" t="s">
        <v>93</v>
      </c>
      <c r="D72" s="176"/>
      <c r="E72" s="168"/>
      <c r="F72" s="164"/>
      <c r="G72" s="165"/>
    </row>
    <row r="73" spans="1:7" x14ac:dyDescent="0.25">
      <c r="A73" s="178">
        <v>1</v>
      </c>
      <c r="B73" s="158" t="s">
        <v>25</v>
      </c>
      <c r="C73" s="179">
        <f>D62+D63+D64+D65+D66+D67+D68</f>
        <v>250</v>
      </c>
      <c r="D73" s="163"/>
      <c r="E73" s="163"/>
      <c r="F73" s="164"/>
      <c r="G73" s="165"/>
    </row>
    <row r="74" spans="1:7" x14ac:dyDescent="0.25">
      <c r="A74" s="178">
        <v>2</v>
      </c>
      <c r="B74" s="158" t="s">
        <v>94</v>
      </c>
      <c r="C74" s="163">
        <f>D69</f>
        <v>10</v>
      </c>
      <c r="D74" s="163"/>
      <c r="E74" s="163"/>
      <c r="F74" s="164"/>
      <c r="G74" s="165"/>
    </row>
    <row r="75" spans="1:7" ht="15.6" x14ac:dyDescent="0.3">
      <c r="A75" s="181"/>
      <c r="B75" s="169" t="s">
        <v>92</v>
      </c>
      <c r="C75" s="182">
        <f>SUM(C73:C74)</f>
        <v>260</v>
      </c>
      <c r="D75" s="163"/>
      <c r="E75" s="182"/>
      <c r="F75" s="184"/>
      <c r="G75" s="185"/>
    </row>
    <row r="76" spans="1:7" ht="15.6" x14ac:dyDescent="0.3">
      <c r="A76" s="187"/>
      <c r="B76" s="188"/>
      <c r="C76" s="189"/>
      <c r="D76" s="186"/>
      <c r="E76" s="189"/>
    </row>
    <row r="77" spans="1:7" x14ac:dyDescent="0.25">
      <c r="B77" s="148" t="s">
        <v>99</v>
      </c>
    </row>
  </sheetData>
  <mergeCells count="3">
    <mergeCell ref="F1:G1"/>
    <mergeCell ref="A2:G2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B8" sqref="B8"/>
    </sheetView>
  </sheetViews>
  <sheetFormatPr defaultColWidth="9.109375" defaultRowHeight="13.8" x14ac:dyDescent="0.25"/>
  <cols>
    <col min="1" max="1" width="5.6640625" style="148" customWidth="1"/>
    <col min="2" max="2" width="78.5546875" style="148" customWidth="1"/>
    <col min="3" max="4" width="8.6640625" style="148" customWidth="1"/>
    <col min="5" max="5" width="12.6640625" style="148" customWidth="1"/>
    <col min="6" max="6" width="21.44140625" style="148" customWidth="1"/>
    <col min="7" max="7" width="17.44140625" style="148" customWidth="1"/>
    <col min="8" max="8" width="16.88671875" style="148" customWidth="1"/>
    <col min="9" max="16384" width="9.109375" style="148"/>
  </cols>
  <sheetData>
    <row r="1" spans="1:8" ht="15" customHeight="1" x14ac:dyDescent="0.25">
      <c r="G1" s="239" t="s">
        <v>100</v>
      </c>
      <c r="H1" s="239"/>
    </row>
    <row r="2" spans="1:8" ht="24" customHeight="1" x14ac:dyDescent="0.25">
      <c r="A2" s="242" t="s">
        <v>73</v>
      </c>
      <c r="B2" s="242"/>
      <c r="C2" s="242"/>
      <c r="D2" s="242"/>
      <c r="E2" s="242"/>
      <c r="F2" s="242"/>
      <c r="G2" s="242"/>
      <c r="H2" s="242"/>
    </row>
    <row r="3" spans="1:8" x14ac:dyDescent="0.25">
      <c r="E3" s="149"/>
    </row>
    <row r="4" spans="1:8" ht="18.75" customHeight="1" x14ac:dyDescent="0.25">
      <c r="A4" s="241" t="s">
        <v>101</v>
      </c>
      <c r="B4" s="241"/>
      <c r="C4" s="241"/>
      <c r="D4" s="241"/>
      <c r="E4" s="241"/>
      <c r="F4" s="241"/>
      <c r="G4" s="241"/>
      <c r="H4" s="241"/>
    </row>
    <row r="5" spans="1:8" ht="18.75" customHeight="1" x14ac:dyDescent="0.25">
      <c r="A5" s="243" t="s">
        <v>102</v>
      </c>
      <c r="B5" s="243"/>
      <c r="C5" s="243"/>
      <c r="D5" s="243"/>
      <c r="E5" s="243"/>
      <c r="F5" s="243"/>
      <c r="G5" s="243"/>
      <c r="H5" s="243"/>
    </row>
    <row r="6" spans="1:8" x14ac:dyDescent="0.25">
      <c r="A6" s="190"/>
      <c r="B6" s="190"/>
      <c r="C6" s="190"/>
      <c r="D6" s="190"/>
      <c r="E6" s="190"/>
    </row>
    <row r="7" spans="1:8" x14ac:dyDescent="0.25">
      <c r="A7" s="151" t="s">
        <v>75</v>
      </c>
    </row>
    <row r="8" spans="1:8" s="151" customFormat="1" ht="103.5" customHeight="1" x14ac:dyDescent="0.3">
      <c r="A8" s="154" t="s">
        <v>76</v>
      </c>
      <c r="B8" s="153" t="s">
        <v>77</v>
      </c>
      <c r="C8" s="182" t="s">
        <v>78</v>
      </c>
      <c r="D8" s="191" t="s">
        <v>103</v>
      </c>
      <c r="E8" s="155" t="s">
        <v>80</v>
      </c>
      <c r="F8" s="156" t="s">
        <v>104</v>
      </c>
      <c r="G8" s="156" t="s">
        <v>105</v>
      </c>
      <c r="H8" s="156" t="s">
        <v>106</v>
      </c>
    </row>
    <row r="9" spans="1:8" ht="62.25" customHeight="1" x14ac:dyDescent="0.25">
      <c r="A9" s="157">
        <v>1</v>
      </c>
      <c r="B9" s="166" t="s">
        <v>87</v>
      </c>
      <c r="C9" s="159" t="s">
        <v>84</v>
      </c>
      <c r="D9" s="152">
        <v>15</v>
      </c>
      <c r="E9" s="160" t="s">
        <v>25</v>
      </c>
      <c r="F9" s="162"/>
      <c r="G9" s="162"/>
      <c r="H9" s="162"/>
    </row>
    <row r="10" spans="1:8" ht="27.6" x14ac:dyDescent="0.25">
      <c r="A10" s="157">
        <v>2</v>
      </c>
      <c r="B10" s="163" t="s">
        <v>88</v>
      </c>
      <c r="C10" s="159" t="s">
        <v>84</v>
      </c>
      <c r="D10" s="159">
        <v>55</v>
      </c>
      <c r="E10" s="160" t="s">
        <v>25</v>
      </c>
      <c r="F10" s="165"/>
      <c r="G10" s="165"/>
      <c r="H10" s="165"/>
    </row>
    <row r="11" spans="1:8" ht="27.6" x14ac:dyDescent="0.25">
      <c r="A11" s="157">
        <v>3</v>
      </c>
      <c r="B11" s="158" t="s">
        <v>89</v>
      </c>
      <c r="C11" s="159" t="s">
        <v>84</v>
      </c>
      <c r="D11" s="159">
        <v>10</v>
      </c>
      <c r="E11" s="160" t="s">
        <v>25</v>
      </c>
      <c r="F11" s="165"/>
      <c r="G11" s="165"/>
      <c r="H11" s="165"/>
    </row>
    <row r="12" spans="1:8" ht="27.6" x14ac:dyDescent="0.25">
      <c r="A12" s="157">
        <v>4</v>
      </c>
      <c r="B12" s="160" t="s">
        <v>86</v>
      </c>
      <c r="C12" s="159" t="s">
        <v>84</v>
      </c>
      <c r="D12" s="159">
        <v>15</v>
      </c>
      <c r="E12" s="160" t="s">
        <v>25</v>
      </c>
      <c r="F12" s="165"/>
      <c r="G12" s="165"/>
      <c r="H12" s="165"/>
    </row>
    <row r="13" spans="1:8" x14ac:dyDescent="0.25">
      <c r="A13" s="157">
        <v>5</v>
      </c>
      <c r="B13" s="160" t="s">
        <v>90</v>
      </c>
      <c r="C13" s="159" t="s">
        <v>84</v>
      </c>
      <c r="D13" s="168">
        <v>10</v>
      </c>
      <c r="E13" s="160" t="s">
        <v>91</v>
      </c>
      <c r="F13" s="165"/>
      <c r="G13" s="165"/>
      <c r="H13" s="165"/>
    </row>
    <row r="14" spans="1:8" x14ac:dyDescent="0.25">
      <c r="A14" s="154"/>
      <c r="B14" s="169" t="s">
        <v>92</v>
      </c>
      <c r="C14" s="159"/>
      <c r="D14" s="170">
        <f>SUM(D9:D13)</f>
        <v>105</v>
      </c>
      <c r="E14" s="160"/>
      <c r="F14" s="192">
        <v>0.75</v>
      </c>
      <c r="G14" s="172">
        <v>1.5</v>
      </c>
      <c r="H14" s="172">
        <v>1.5</v>
      </c>
    </row>
    <row r="15" spans="1:8" x14ac:dyDescent="0.25">
      <c r="A15" s="173"/>
      <c r="B15" s="174"/>
      <c r="C15" s="175"/>
      <c r="D15" s="175"/>
      <c r="E15" s="174"/>
      <c r="F15" s="186"/>
      <c r="G15" s="186"/>
      <c r="H15" s="186"/>
    </row>
    <row r="16" spans="1:8" hidden="1" x14ac:dyDescent="0.25">
      <c r="A16" s="163"/>
      <c r="B16" s="163"/>
      <c r="C16" s="159" t="s">
        <v>93</v>
      </c>
      <c r="D16" s="176"/>
      <c r="E16" s="177"/>
      <c r="F16" s="165"/>
      <c r="G16" s="165"/>
      <c r="H16" s="165"/>
    </row>
    <row r="17" spans="1:8" hidden="1" x14ac:dyDescent="0.25">
      <c r="A17" s="178">
        <v>1</v>
      </c>
      <c r="B17" s="158" t="s">
        <v>25</v>
      </c>
      <c r="C17" s="179">
        <f>D9+D10+D11+D12</f>
        <v>95</v>
      </c>
      <c r="D17" s="163"/>
      <c r="E17" s="180"/>
      <c r="F17" s="165"/>
      <c r="G17" s="165"/>
      <c r="H17" s="165"/>
    </row>
    <row r="18" spans="1:8" hidden="1" x14ac:dyDescent="0.25">
      <c r="A18" s="178">
        <v>2</v>
      </c>
      <c r="B18" s="158" t="s">
        <v>94</v>
      </c>
      <c r="C18" s="163">
        <f>D13</f>
        <v>10</v>
      </c>
      <c r="D18" s="163"/>
      <c r="E18" s="180"/>
      <c r="F18" s="165"/>
      <c r="G18" s="165"/>
      <c r="H18" s="165"/>
    </row>
    <row r="19" spans="1:8" hidden="1" x14ac:dyDescent="0.25">
      <c r="A19" s="167"/>
      <c r="B19" s="169" t="s">
        <v>92</v>
      </c>
      <c r="C19" s="182">
        <f>SUM(C17:C18)</f>
        <v>105</v>
      </c>
      <c r="D19" s="163"/>
      <c r="E19" s="183"/>
      <c r="F19" s="185"/>
      <c r="G19" s="185"/>
      <c r="H19" s="185"/>
    </row>
    <row r="20" spans="1:8" hidden="1" x14ac:dyDescent="0.25">
      <c r="A20" s="173"/>
      <c r="B20" s="174"/>
      <c r="C20" s="175"/>
      <c r="D20" s="175"/>
      <c r="E20" s="174"/>
    </row>
    <row r="21" spans="1:8" hidden="1" x14ac:dyDescent="0.25">
      <c r="A21" s="173"/>
      <c r="B21" s="174"/>
      <c r="C21" s="175"/>
      <c r="D21" s="175"/>
      <c r="E21" s="174"/>
    </row>
    <row r="22" spans="1:8" x14ac:dyDescent="0.25">
      <c r="A22" s="151" t="s">
        <v>95</v>
      </c>
    </row>
    <row r="23" spans="1:8" s="151" customFormat="1" ht="103.5" customHeight="1" x14ac:dyDescent="0.3">
      <c r="A23" s="154" t="s">
        <v>76</v>
      </c>
      <c r="B23" s="153" t="s">
        <v>77</v>
      </c>
      <c r="C23" s="182" t="s">
        <v>78</v>
      </c>
      <c r="D23" s="191" t="s">
        <v>103</v>
      </c>
      <c r="E23" s="155" t="s">
        <v>80</v>
      </c>
      <c r="F23" s="156" t="s">
        <v>104</v>
      </c>
      <c r="G23" s="156" t="s">
        <v>105</v>
      </c>
      <c r="H23" s="156" t="s">
        <v>106</v>
      </c>
    </row>
    <row r="24" spans="1:8" ht="62.25" customHeight="1" x14ac:dyDescent="0.25">
      <c r="A24" s="157">
        <v>1</v>
      </c>
      <c r="B24" s="166" t="s">
        <v>107</v>
      </c>
      <c r="C24" s="159" t="s">
        <v>84</v>
      </c>
      <c r="D24" s="152">
        <v>15</v>
      </c>
      <c r="E24" s="158" t="s">
        <v>25</v>
      </c>
      <c r="F24" s="162"/>
      <c r="G24" s="162"/>
      <c r="H24" s="162"/>
    </row>
    <row r="25" spans="1:8" ht="27.6" x14ac:dyDescent="0.25">
      <c r="A25" s="157">
        <v>2</v>
      </c>
      <c r="B25" s="163" t="s">
        <v>88</v>
      </c>
      <c r="C25" s="159" t="s">
        <v>84</v>
      </c>
      <c r="D25" s="159">
        <v>62</v>
      </c>
      <c r="E25" s="158" t="s">
        <v>25</v>
      </c>
      <c r="F25" s="165"/>
      <c r="G25" s="165"/>
      <c r="H25" s="165"/>
    </row>
    <row r="26" spans="1:8" ht="27.6" x14ac:dyDescent="0.25">
      <c r="A26" s="157">
        <v>3</v>
      </c>
      <c r="B26" s="158" t="s">
        <v>89</v>
      </c>
      <c r="C26" s="159" t="s">
        <v>84</v>
      </c>
      <c r="D26" s="159">
        <v>10</v>
      </c>
      <c r="E26" s="158" t="s">
        <v>25</v>
      </c>
      <c r="F26" s="165"/>
      <c r="G26" s="165"/>
      <c r="H26" s="165"/>
    </row>
    <row r="27" spans="1:8" ht="27.6" x14ac:dyDescent="0.25">
      <c r="A27" s="157">
        <v>4</v>
      </c>
      <c r="B27" s="160" t="s">
        <v>86</v>
      </c>
      <c r="C27" s="159" t="s">
        <v>84</v>
      </c>
      <c r="D27" s="159">
        <v>15</v>
      </c>
      <c r="E27" s="158" t="s">
        <v>25</v>
      </c>
      <c r="F27" s="165"/>
      <c r="G27" s="165"/>
      <c r="H27" s="165"/>
    </row>
    <row r="28" spans="1:8" x14ac:dyDescent="0.25">
      <c r="A28" s="157">
        <v>5</v>
      </c>
      <c r="B28" s="160" t="s">
        <v>90</v>
      </c>
      <c r="C28" s="159" t="s">
        <v>84</v>
      </c>
      <c r="D28" s="168">
        <v>10</v>
      </c>
      <c r="E28" s="158" t="s">
        <v>91</v>
      </c>
      <c r="F28" s="165"/>
      <c r="G28" s="165"/>
      <c r="H28" s="165"/>
    </row>
    <row r="29" spans="1:8" x14ac:dyDescent="0.25">
      <c r="A29" s="154"/>
      <c r="B29" s="169" t="s">
        <v>92</v>
      </c>
      <c r="C29" s="159"/>
      <c r="D29" s="170">
        <f>SUM(D24:D28)</f>
        <v>112</v>
      </c>
      <c r="E29" s="158"/>
      <c r="F29" s="192">
        <v>0.8</v>
      </c>
      <c r="G29" s="172">
        <v>1.6</v>
      </c>
      <c r="H29" s="172">
        <v>1.6</v>
      </c>
    </row>
    <row r="30" spans="1:8" x14ac:dyDescent="0.25">
      <c r="A30" s="173"/>
      <c r="B30" s="174"/>
      <c r="C30" s="175"/>
      <c r="D30" s="175"/>
      <c r="E30" s="174"/>
      <c r="F30" s="186"/>
      <c r="G30" s="186"/>
      <c r="H30" s="186"/>
    </row>
    <row r="31" spans="1:8" hidden="1" x14ac:dyDescent="0.25">
      <c r="A31" s="163"/>
      <c r="B31" s="163"/>
      <c r="C31" s="159" t="s">
        <v>93</v>
      </c>
      <c r="D31" s="176"/>
      <c r="E31" s="168"/>
      <c r="F31" s="165"/>
      <c r="G31" s="165"/>
      <c r="H31" s="165"/>
    </row>
    <row r="32" spans="1:8" hidden="1" x14ac:dyDescent="0.25">
      <c r="A32" s="178">
        <v>1</v>
      </c>
      <c r="B32" s="158" t="s">
        <v>25</v>
      </c>
      <c r="C32" s="179">
        <f>D24+D25+D26+D27</f>
        <v>102</v>
      </c>
      <c r="D32" s="163"/>
      <c r="E32" s="163"/>
      <c r="F32" s="165"/>
      <c r="G32" s="165"/>
      <c r="H32" s="165"/>
    </row>
    <row r="33" spans="1:8" hidden="1" x14ac:dyDescent="0.25">
      <c r="A33" s="178">
        <v>2</v>
      </c>
      <c r="B33" s="158" t="s">
        <v>94</v>
      </c>
      <c r="C33" s="163">
        <f>D28</f>
        <v>10</v>
      </c>
      <c r="D33" s="163"/>
      <c r="E33" s="163"/>
      <c r="F33" s="165"/>
      <c r="G33" s="165"/>
      <c r="H33" s="165"/>
    </row>
    <row r="34" spans="1:8" hidden="1" x14ac:dyDescent="0.25">
      <c r="A34" s="167"/>
      <c r="B34" s="169" t="s">
        <v>92</v>
      </c>
      <c r="C34" s="182">
        <f>SUM(C32:C33)</f>
        <v>112</v>
      </c>
      <c r="D34" s="163"/>
      <c r="E34" s="182"/>
      <c r="F34" s="185"/>
      <c r="G34" s="185"/>
      <c r="H34" s="185"/>
    </row>
    <row r="35" spans="1:8" hidden="1" x14ac:dyDescent="0.25"/>
    <row r="36" spans="1:8" hidden="1" x14ac:dyDescent="0.25"/>
    <row r="37" spans="1:8" x14ac:dyDescent="0.25">
      <c r="A37" s="151" t="s">
        <v>97</v>
      </c>
    </row>
    <row r="38" spans="1:8" s="151" customFormat="1" ht="103.5" customHeight="1" x14ac:dyDescent="0.3">
      <c r="A38" s="154" t="s">
        <v>76</v>
      </c>
      <c r="B38" s="153" t="s">
        <v>77</v>
      </c>
      <c r="C38" s="182" t="s">
        <v>78</v>
      </c>
      <c r="D38" s="191" t="s">
        <v>103</v>
      </c>
      <c r="E38" s="155" t="s">
        <v>80</v>
      </c>
      <c r="F38" s="156" t="s">
        <v>104</v>
      </c>
      <c r="G38" s="156" t="s">
        <v>105</v>
      </c>
      <c r="H38" s="156" t="s">
        <v>106</v>
      </c>
    </row>
    <row r="39" spans="1:8" ht="62.25" customHeight="1" x14ac:dyDescent="0.25">
      <c r="A39" s="157">
        <v>1</v>
      </c>
      <c r="B39" s="166" t="s">
        <v>107</v>
      </c>
      <c r="C39" s="159" t="s">
        <v>84</v>
      </c>
      <c r="D39" s="152">
        <v>15</v>
      </c>
      <c r="E39" s="158" t="s">
        <v>25</v>
      </c>
      <c r="F39" s="162"/>
      <c r="G39" s="162"/>
      <c r="H39" s="162"/>
    </row>
    <row r="40" spans="1:8" ht="27.6" x14ac:dyDescent="0.25">
      <c r="A40" s="157">
        <v>2</v>
      </c>
      <c r="B40" s="163" t="s">
        <v>88</v>
      </c>
      <c r="C40" s="159" t="s">
        <v>84</v>
      </c>
      <c r="D40" s="159">
        <v>69</v>
      </c>
      <c r="E40" s="158" t="s">
        <v>25</v>
      </c>
      <c r="F40" s="165"/>
      <c r="G40" s="165"/>
      <c r="H40" s="165"/>
    </row>
    <row r="41" spans="1:8" ht="27.6" x14ac:dyDescent="0.25">
      <c r="A41" s="157">
        <v>3</v>
      </c>
      <c r="B41" s="158" t="s">
        <v>89</v>
      </c>
      <c r="C41" s="159" t="s">
        <v>84</v>
      </c>
      <c r="D41" s="159">
        <v>10</v>
      </c>
      <c r="E41" s="158" t="s">
        <v>25</v>
      </c>
      <c r="F41" s="165"/>
      <c r="G41" s="165"/>
      <c r="H41" s="165"/>
    </row>
    <row r="42" spans="1:8" ht="27.6" x14ac:dyDescent="0.25">
      <c r="A42" s="157">
        <v>4</v>
      </c>
      <c r="B42" s="160" t="s">
        <v>86</v>
      </c>
      <c r="C42" s="159" t="s">
        <v>84</v>
      </c>
      <c r="D42" s="159">
        <v>15</v>
      </c>
      <c r="E42" s="158" t="s">
        <v>25</v>
      </c>
      <c r="F42" s="165"/>
      <c r="G42" s="165"/>
      <c r="H42" s="165"/>
    </row>
    <row r="43" spans="1:8" x14ac:dyDescent="0.25">
      <c r="A43" s="157">
        <v>5</v>
      </c>
      <c r="B43" s="160" t="s">
        <v>90</v>
      </c>
      <c r="C43" s="159" t="s">
        <v>84</v>
      </c>
      <c r="D43" s="168">
        <v>10</v>
      </c>
      <c r="E43" s="158" t="s">
        <v>91</v>
      </c>
      <c r="F43" s="165"/>
      <c r="G43" s="165"/>
      <c r="H43" s="165"/>
    </row>
    <row r="44" spans="1:8" x14ac:dyDescent="0.25">
      <c r="A44" s="154"/>
      <c r="B44" s="169" t="s">
        <v>92</v>
      </c>
      <c r="C44" s="159"/>
      <c r="D44" s="170">
        <f>SUM(D39:D43)</f>
        <v>119</v>
      </c>
      <c r="E44" s="158"/>
      <c r="F44" s="192">
        <v>0.85</v>
      </c>
      <c r="G44" s="172">
        <v>1.7</v>
      </c>
      <c r="H44" s="172">
        <v>1.7</v>
      </c>
    </row>
    <row r="45" spans="1:8" x14ac:dyDescent="0.25">
      <c r="A45" s="173"/>
      <c r="B45" s="174"/>
      <c r="C45" s="175"/>
      <c r="D45" s="175"/>
      <c r="E45" s="174"/>
      <c r="F45" s="186"/>
      <c r="G45" s="186"/>
      <c r="H45" s="186"/>
    </row>
    <row r="46" spans="1:8" hidden="1" x14ac:dyDescent="0.25">
      <c r="A46" s="163"/>
      <c r="B46" s="163"/>
      <c r="C46" s="159" t="s">
        <v>93</v>
      </c>
      <c r="D46" s="176"/>
      <c r="E46" s="177"/>
      <c r="F46" s="186"/>
      <c r="G46" s="186"/>
      <c r="H46" s="186"/>
    </row>
    <row r="47" spans="1:8" hidden="1" x14ac:dyDescent="0.25">
      <c r="A47" s="178">
        <v>1</v>
      </c>
      <c r="B47" s="158" t="s">
        <v>25</v>
      </c>
      <c r="C47" s="179">
        <f>D39+D40+D41+D42</f>
        <v>109</v>
      </c>
      <c r="D47" s="163"/>
      <c r="E47" s="180"/>
      <c r="F47" s="186"/>
      <c r="G47" s="186"/>
      <c r="H47" s="186"/>
    </row>
    <row r="48" spans="1:8" hidden="1" x14ac:dyDescent="0.25">
      <c r="A48" s="178">
        <v>2</v>
      </c>
      <c r="B48" s="158" t="s">
        <v>94</v>
      </c>
      <c r="C48" s="163">
        <f>D43</f>
        <v>10</v>
      </c>
      <c r="D48" s="163"/>
      <c r="E48" s="180"/>
      <c r="F48" s="186"/>
      <c r="G48" s="186"/>
      <c r="H48" s="186"/>
    </row>
    <row r="49" spans="1:8" hidden="1" x14ac:dyDescent="0.25">
      <c r="A49" s="167"/>
      <c r="B49" s="169" t="s">
        <v>92</v>
      </c>
      <c r="C49" s="182">
        <f>SUM(C47:C48)</f>
        <v>119</v>
      </c>
      <c r="D49" s="163"/>
      <c r="E49" s="183"/>
      <c r="F49" s="186"/>
      <c r="G49" s="186"/>
      <c r="H49" s="186"/>
    </row>
    <row r="50" spans="1:8" hidden="1" x14ac:dyDescent="0.25">
      <c r="F50" s="186"/>
      <c r="G50" s="186"/>
      <c r="H50" s="186"/>
    </row>
    <row r="51" spans="1:8" x14ac:dyDescent="0.25">
      <c r="F51" s="186"/>
      <c r="G51" s="186"/>
      <c r="H51" s="186"/>
    </row>
    <row r="52" spans="1:8" x14ac:dyDescent="0.25">
      <c r="A52" s="151" t="s">
        <v>108</v>
      </c>
    </row>
    <row r="53" spans="1:8" s="151" customFormat="1" ht="103.5" customHeight="1" x14ac:dyDescent="0.3">
      <c r="A53" s="154" t="s">
        <v>76</v>
      </c>
      <c r="B53" s="153" t="s">
        <v>77</v>
      </c>
      <c r="C53" s="182" t="s">
        <v>78</v>
      </c>
      <c r="D53" s="191" t="s">
        <v>103</v>
      </c>
      <c r="E53" s="155" t="s">
        <v>80</v>
      </c>
      <c r="F53" s="156" t="s">
        <v>104</v>
      </c>
      <c r="G53" s="156" t="s">
        <v>105</v>
      </c>
      <c r="H53" s="156" t="s">
        <v>106</v>
      </c>
    </row>
    <row r="54" spans="1:8" ht="62.25" customHeight="1" x14ac:dyDescent="0.25">
      <c r="A54" s="157">
        <v>1</v>
      </c>
      <c r="B54" s="166" t="s">
        <v>107</v>
      </c>
      <c r="C54" s="159" t="s">
        <v>84</v>
      </c>
      <c r="D54" s="152">
        <v>15</v>
      </c>
      <c r="E54" s="158" t="s">
        <v>25</v>
      </c>
      <c r="F54" s="162"/>
      <c r="G54" s="162"/>
      <c r="H54" s="162"/>
    </row>
    <row r="55" spans="1:8" ht="27.6" x14ac:dyDescent="0.25">
      <c r="A55" s="157">
        <v>2</v>
      </c>
      <c r="B55" s="163" t="s">
        <v>88</v>
      </c>
      <c r="C55" s="159" t="s">
        <v>84</v>
      </c>
      <c r="D55" s="159">
        <v>90</v>
      </c>
      <c r="E55" s="158" t="s">
        <v>25</v>
      </c>
      <c r="F55" s="165"/>
      <c r="G55" s="165"/>
      <c r="H55" s="165"/>
    </row>
    <row r="56" spans="1:8" ht="27.6" x14ac:dyDescent="0.25">
      <c r="A56" s="157">
        <v>3</v>
      </c>
      <c r="B56" s="158" t="s">
        <v>89</v>
      </c>
      <c r="C56" s="159" t="s">
        <v>84</v>
      </c>
      <c r="D56" s="159">
        <v>10</v>
      </c>
      <c r="E56" s="158" t="s">
        <v>25</v>
      </c>
      <c r="F56" s="165"/>
      <c r="G56" s="165"/>
      <c r="H56" s="165"/>
    </row>
    <row r="57" spans="1:8" ht="27.6" x14ac:dyDescent="0.25">
      <c r="A57" s="157">
        <v>4</v>
      </c>
      <c r="B57" s="160" t="s">
        <v>86</v>
      </c>
      <c r="C57" s="159" t="s">
        <v>84</v>
      </c>
      <c r="D57" s="159">
        <v>15</v>
      </c>
      <c r="E57" s="158" t="s">
        <v>25</v>
      </c>
      <c r="F57" s="165"/>
      <c r="G57" s="165"/>
      <c r="H57" s="165"/>
    </row>
    <row r="58" spans="1:8" x14ac:dyDescent="0.25">
      <c r="A58" s="157">
        <v>5</v>
      </c>
      <c r="B58" s="160" t="s">
        <v>90</v>
      </c>
      <c r="C58" s="159" t="s">
        <v>84</v>
      </c>
      <c r="D58" s="168">
        <v>10</v>
      </c>
      <c r="E58" s="158" t="s">
        <v>91</v>
      </c>
      <c r="F58" s="165"/>
      <c r="G58" s="165"/>
      <c r="H58" s="165"/>
    </row>
    <row r="59" spans="1:8" x14ac:dyDescent="0.25">
      <c r="A59" s="154"/>
      <c r="B59" s="169" t="s">
        <v>92</v>
      </c>
      <c r="C59" s="159"/>
      <c r="D59" s="170">
        <f>SUM(D54:D58)</f>
        <v>140</v>
      </c>
      <c r="E59" s="158"/>
      <c r="F59" s="192">
        <v>1</v>
      </c>
      <c r="G59" s="172">
        <v>2</v>
      </c>
      <c r="H59" s="172">
        <v>2</v>
      </c>
    </row>
    <row r="60" spans="1:8" x14ac:dyDescent="0.25">
      <c r="A60" s="173"/>
      <c r="B60" s="174"/>
      <c r="C60" s="175"/>
      <c r="D60" s="175"/>
      <c r="E60" s="174"/>
      <c r="F60" s="186"/>
      <c r="G60" s="186"/>
      <c r="H60" s="186"/>
    </row>
    <row r="61" spans="1:8" hidden="1" x14ac:dyDescent="0.25">
      <c r="A61" s="163"/>
      <c r="B61" s="163"/>
      <c r="C61" s="159" t="s">
        <v>93</v>
      </c>
      <c r="D61" s="176"/>
      <c r="E61" s="168"/>
      <c r="F61" s="165"/>
      <c r="G61" s="165"/>
      <c r="H61" s="165"/>
    </row>
    <row r="62" spans="1:8" hidden="1" x14ac:dyDescent="0.25">
      <c r="A62" s="178">
        <v>1</v>
      </c>
      <c r="B62" s="158" t="s">
        <v>25</v>
      </c>
      <c r="C62" s="179">
        <f>D54+D55+D56+D57</f>
        <v>130</v>
      </c>
      <c r="D62" s="163"/>
      <c r="E62" s="163"/>
      <c r="F62" s="165"/>
      <c r="G62" s="165"/>
      <c r="H62" s="165"/>
    </row>
    <row r="63" spans="1:8" hidden="1" x14ac:dyDescent="0.25">
      <c r="A63" s="178">
        <v>2</v>
      </c>
      <c r="B63" s="158" t="s">
        <v>94</v>
      </c>
      <c r="C63" s="163">
        <f>D58</f>
        <v>10</v>
      </c>
      <c r="D63" s="163"/>
      <c r="E63" s="163"/>
      <c r="F63" s="165"/>
      <c r="G63" s="165"/>
      <c r="H63" s="165"/>
    </row>
    <row r="64" spans="1:8" hidden="1" x14ac:dyDescent="0.25">
      <c r="A64" s="167"/>
      <c r="B64" s="169" t="s">
        <v>92</v>
      </c>
      <c r="C64" s="182">
        <f>SUM(C62:C63)</f>
        <v>140</v>
      </c>
      <c r="D64" s="163"/>
      <c r="E64" s="182"/>
      <c r="F64" s="185"/>
      <c r="G64" s="185"/>
      <c r="H64" s="185"/>
    </row>
    <row r="66" spans="2:2" x14ac:dyDescent="0.25">
      <c r="B66" s="148" t="s">
        <v>99</v>
      </c>
    </row>
  </sheetData>
  <mergeCells count="4">
    <mergeCell ref="G1:H1"/>
    <mergeCell ref="A2:H2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2022-09-16T10:45:52Z</dcterms:modified>
</cp:coreProperties>
</file>