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43 заседание\"/>
    </mc:Choice>
  </mc:AlternateContent>
  <bookViews>
    <workbookView xWindow="0" yWindow="0" windowWidth="20490" windowHeight="7755"/>
  </bookViews>
  <sheets>
    <sheet name="ИП промяна юни 2022" sheetId="2" r:id="rId1"/>
    <sheet name="Pril2_30.06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юни 2022'!$A$1:$XBT$274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1">Pril2_30.06!$9:$10</definedName>
    <definedName name="_xlnm.Print_Titles" localSheetId="0">'ИП промяна юни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3" l="1"/>
  <c r="F67" i="3"/>
  <c r="D67" i="3"/>
  <c r="G65" i="3"/>
  <c r="F65" i="3"/>
  <c r="E65" i="3"/>
  <c r="D65" i="3"/>
  <c r="C65" i="3"/>
  <c r="G64" i="3"/>
  <c r="F64" i="3"/>
  <c r="D64" i="3"/>
  <c r="G63" i="3"/>
  <c r="F63" i="3"/>
  <c r="D63" i="3"/>
  <c r="F61" i="3"/>
  <c r="F57" i="3" s="1"/>
  <c r="F54" i="3" s="1"/>
  <c r="D61" i="3"/>
  <c r="G61" i="3" s="1"/>
  <c r="F60" i="3"/>
  <c r="D60" i="3"/>
  <c r="G60" i="3" s="1"/>
  <c r="F59" i="3"/>
  <c r="E59" i="3"/>
  <c r="D59" i="3"/>
  <c r="G59" i="3" s="1"/>
  <c r="C59" i="3"/>
  <c r="F58" i="3"/>
  <c r="D58" i="3"/>
  <c r="G58" i="3" s="1"/>
  <c r="E57" i="3"/>
  <c r="D57" i="3"/>
  <c r="G57" i="3" s="1"/>
  <c r="C57" i="3"/>
  <c r="F56" i="3"/>
  <c r="D56" i="3"/>
  <c r="G56" i="3" s="1"/>
  <c r="F55" i="3"/>
  <c r="E55" i="3"/>
  <c r="C55" i="3"/>
  <c r="C54" i="3" s="1"/>
  <c r="E54" i="3"/>
  <c r="F52" i="3"/>
  <c r="D52" i="3"/>
  <c r="G52" i="3" s="1"/>
  <c r="F51" i="3"/>
  <c r="D51" i="3"/>
  <c r="G50" i="3"/>
  <c r="F50" i="3"/>
  <c r="D50" i="3"/>
  <c r="G49" i="3"/>
  <c r="F49" i="3"/>
  <c r="D49" i="3"/>
  <c r="F48" i="3"/>
  <c r="E48" i="3"/>
  <c r="C48" i="3"/>
  <c r="G47" i="3"/>
  <c r="F47" i="3"/>
  <c r="D47" i="3"/>
  <c r="F46" i="3"/>
  <c r="F44" i="3" s="1"/>
  <c r="D46" i="3"/>
  <c r="G46" i="3" s="1"/>
  <c r="F45" i="3"/>
  <c r="D45" i="3"/>
  <c r="G45" i="3" s="1"/>
  <c r="E44" i="3"/>
  <c r="C44" i="3"/>
  <c r="C42" i="3" s="1"/>
  <c r="E42" i="3"/>
  <c r="F40" i="3"/>
  <c r="E40" i="3"/>
  <c r="D40" i="3"/>
  <c r="G40" i="3" s="1"/>
  <c r="C40" i="3"/>
  <c r="G38" i="3"/>
  <c r="F38" i="3"/>
  <c r="E38" i="3"/>
  <c r="D38" i="3"/>
  <c r="C38" i="3"/>
  <c r="F37" i="3"/>
  <c r="E37" i="3"/>
  <c r="D37" i="3"/>
  <c r="G37" i="3" s="1"/>
  <c r="C37" i="3"/>
  <c r="F36" i="3"/>
  <c r="D36" i="3"/>
  <c r="G36" i="3" s="1"/>
  <c r="F34" i="3"/>
  <c r="E34" i="3"/>
  <c r="D34" i="3"/>
  <c r="G34" i="3" s="1"/>
  <c r="C34" i="3"/>
  <c r="F30" i="3"/>
  <c r="E30" i="3"/>
  <c r="D30" i="3"/>
  <c r="G30" i="3" s="1"/>
  <c r="C30" i="3"/>
  <c r="F28" i="3"/>
  <c r="E28" i="3"/>
  <c r="D28" i="3"/>
  <c r="G28" i="3" s="1"/>
  <c r="C28" i="3"/>
  <c r="G26" i="3"/>
  <c r="F26" i="3"/>
  <c r="E26" i="3"/>
  <c r="D26" i="3"/>
  <c r="C26" i="3"/>
  <c r="G25" i="3"/>
  <c r="F25" i="3"/>
  <c r="D25" i="3"/>
  <c r="G24" i="3"/>
  <c r="F24" i="3"/>
  <c r="F22" i="3" s="1"/>
  <c r="E24" i="3"/>
  <c r="D24" i="3"/>
  <c r="C24" i="3"/>
  <c r="C22" i="3" s="1"/>
  <c r="E22" i="3"/>
  <c r="D22" i="3"/>
  <c r="G22" i="3" s="1"/>
  <c r="F20" i="3"/>
  <c r="D20" i="3"/>
  <c r="G20" i="3" s="1"/>
  <c r="F18" i="3"/>
  <c r="E18" i="3"/>
  <c r="D18" i="3"/>
  <c r="G18" i="3" s="1"/>
  <c r="C18" i="3"/>
  <c r="F16" i="3"/>
  <c r="E16" i="3"/>
  <c r="D16" i="3"/>
  <c r="G16" i="3" s="1"/>
  <c r="C16" i="3"/>
  <c r="F14" i="3"/>
  <c r="E14" i="3"/>
  <c r="D14" i="3"/>
  <c r="G14" i="3" s="1"/>
  <c r="C14" i="3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W260" i="2" s="1"/>
  <c r="U261" i="2"/>
  <c r="U260" i="2" s="1"/>
  <c r="T261" i="2"/>
  <c r="R261" i="2"/>
  <c r="Q261" i="2"/>
  <c r="Q260" i="2" s="1"/>
  <c r="O261" i="2"/>
  <c r="O260" i="2" s="1"/>
  <c r="N261" i="2"/>
  <c r="L261" i="2"/>
  <c r="K261" i="2"/>
  <c r="K260" i="2" s="1"/>
  <c r="I261" i="2"/>
  <c r="H261" i="2"/>
  <c r="H260" i="2" s="1"/>
  <c r="F261" i="2"/>
  <c r="E261" i="2"/>
  <c r="E260" i="2" s="1"/>
  <c r="AA260" i="2"/>
  <c r="AB259" i="2"/>
  <c r="Y259" i="2"/>
  <c r="V259" i="2"/>
  <c r="S259" i="2"/>
  <c r="P259" i="2"/>
  <c r="L259" i="2"/>
  <c r="L257" i="2" s="1"/>
  <c r="L256" i="2" s="1"/>
  <c r="J259" i="2"/>
  <c r="G259" i="2"/>
  <c r="B259" i="2"/>
  <c r="AB258" i="2"/>
  <c r="Y258" i="2"/>
  <c r="V258" i="2"/>
  <c r="S258" i="2"/>
  <c r="P258" i="2"/>
  <c r="M258" i="2"/>
  <c r="J258" i="2"/>
  <c r="G258" i="2"/>
  <c r="C258" i="2"/>
  <c r="B258" i="2"/>
  <c r="AA257" i="2"/>
  <c r="Z257" i="2"/>
  <c r="Z256" i="2" s="1"/>
  <c r="X257" i="2"/>
  <c r="X256" i="2" s="1"/>
  <c r="W257" i="2"/>
  <c r="U257" i="2"/>
  <c r="U256" i="2" s="1"/>
  <c r="T257" i="2"/>
  <c r="T256" i="2" s="1"/>
  <c r="R257" i="2"/>
  <c r="Q257" i="2"/>
  <c r="Q256" i="2" s="1"/>
  <c r="O257" i="2"/>
  <c r="N257" i="2"/>
  <c r="N256" i="2" s="1"/>
  <c r="K257" i="2"/>
  <c r="I257" i="2"/>
  <c r="H257" i="2"/>
  <c r="H256" i="2" s="1"/>
  <c r="F257" i="2"/>
  <c r="F256" i="2" s="1"/>
  <c r="E257" i="2"/>
  <c r="E256" i="2" s="1"/>
  <c r="I256" i="2"/>
  <c r="AB255" i="2"/>
  <c r="Y255" i="2"/>
  <c r="V255" i="2"/>
  <c r="S255" i="2"/>
  <c r="P255" i="2"/>
  <c r="M255" i="2"/>
  <c r="J255" i="2"/>
  <c r="G255" i="2"/>
  <c r="C255" i="2"/>
  <c r="B255" i="2"/>
  <c r="AA254" i="2"/>
  <c r="Z254" i="2"/>
  <c r="Z253" i="2" s="1"/>
  <c r="X254" i="2"/>
  <c r="W254" i="2"/>
  <c r="W253" i="2" s="1"/>
  <c r="U254" i="2"/>
  <c r="U253" i="2" s="1"/>
  <c r="T254" i="2"/>
  <c r="T253" i="2" s="1"/>
  <c r="R254" i="2"/>
  <c r="R253" i="2" s="1"/>
  <c r="Q254" i="2"/>
  <c r="Q253" i="2" s="1"/>
  <c r="O254" i="2"/>
  <c r="O253" i="2" s="1"/>
  <c r="N254" i="2"/>
  <c r="N253" i="2" s="1"/>
  <c r="L254" i="2"/>
  <c r="K254" i="2"/>
  <c r="K253" i="2" s="1"/>
  <c r="I254" i="2"/>
  <c r="I253" i="2" s="1"/>
  <c r="H254" i="2"/>
  <c r="H253" i="2" s="1"/>
  <c r="F254" i="2"/>
  <c r="E254" i="2"/>
  <c r="E253" i="2" s="1"/>
  <c r="AB252" i="2"/>
  <c r="Y252" i="2"/>
  <c r="V252" i="2"/>
  <c r="S252" i="2"/>
  <c r="P252" i="2"/>
  <c r="M252" i="2"/>
  <c r="J252" i="2"/>
  <c r="G252" i="2"/>
  <c r="C252" i="2"/>
  <c r="B252" i="2"/>
  <c r="AA251" i="2"/>
  <c r="Z251" i="2"/>
  <c r="X251" i="2"/>
  <c r="W251" i="2"/>
  <c r="W250" i="2" s="1"/>
  <c r="U251" i="2"/>
  <c r="T251" i="2"/>
  <c r="T250" i="2" s="1"/>
  <c r="R251" i="2"/>
  <c r="Q251" i="2"/>
  <c r="Q250" i="2" s="1"/>
  <c r="O251" i="2"/>
  <c r="O250" i="2" s="1"/>
  <c r="N251" i="2"/>
  <c r="N250" i="2" s="1"/>
  <c r="L251" i="2"/>
  <c r="K251" i="2"/>
  <c r="I251" i="2"/>
  <c r="H251" i="2"/>
  <c r="H250" i="2" s="1"/>
  <c r="F251" i="2"/>
  <c r="F250" i="2" s="1"/>
  <c r="E251" i="2"/>
  <c r="AA250" i="2"/>
  <c r="Z250" i="2"/>
  <c r="R250" i="2"/>
  <c r="M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Z246" i="2" s="1"/>
  <c r="X247" i="2"/>
  <c r="X246" i="2" s="1"/>
  <c r="W247" i="2"/>
  <c r="U247" i="2"/>
  <c r="T247" i="2"/>
  <c r="T246" i="2" s="1"/>
  <c r="R247" i="2"/>
  <c r="R246" i="2" s="1"/>
  <c r="Q247" i="2"/>
  <c r="Q246" i="2" s="1"/>
  <c r="O247" i="2"/>
  <c r="N247" i="2"/>
  <c r="N246" i="2" s="1"/>
  <c r="L247" i="2"/>
  <c r="L246" i="2" s="1"/>
  <c r="K247" i="2"/>
  <c r="I247" i="2"/>
  <c r="H247" i="2"/>
  <c r="H246" i="2" s="1"/>
  <c r="F247" i="2"/>
  <c r="E247" i="2"/>
  <c r="E246" i="2" s="1"/>
  <c r="I246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C243" i="2"/>
  <c r="B243" i="2"/>
  <c r="AA242" i="2"/>
  <c r="Z242" i="2"/>
  <c r="X242" i="2"/>
  <c r="W242" i="2"/>
  <c r="U242" i="2"/>
  <c r="T242" i="2"/>
  <c r="R242" i="2"/>
  <c r="Q242" i="2"/>
  <c r="O242" i="2"/>
  <c r="N242" i="2"/>
  <c r="L242" i="2"/>
  <c r="K242" i="2"/>
  <c r="I242" i="2"/>
  <c r="H242" i="2"/>
  <c r="F242" i="2"/>
  <c r="E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S240" i="2"/>
  <c r="P240" i="2"/>
  <c r="M240" i="2"/>
  <c r="J240" i="2"/>
  <c r="F240" i="2"/>
  <c r="E240" i="2"/>
  <c r="B240" i="2" s="1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W238" i="2"/>
  <c r="U238" i="2"/>
  <c r="T238" i="2"/>
  <c r="R238" i="2"/>
  <c r="Q238" i="2"/>
  <c r="O238" i="2"/>
  <c r="N238" i="2"/>
  <c r="L238" i="2"/>
  <c r="K238" i="2"/>
  <c r="I238" i="2"/>
  <c r="H238" i="2"/>
  <c r="AB237" i="2"/>
  <c r="Y237" i="2"/>
  <c r="V237" i="2"/>
  <c r="S237" i="2"/>
  <c r="P237" i="2"/>
  <c r="M237" i="2"/>
  <c r="J237" i="2"/>
  <c r="G237" i="2"/>
  <c r="C237" i="2"/>
  <c r="B237" i="2"/>
  <c r="AA236" i="2"/>
  <c r="Z236" i="2"/>
  <c r="X236" i="2"/>
  <c r="W236" i="2"/>
  <c r="U236" i="2"/>
  <c r="T236" i="2"/>
  <c r="R236" i="2"/>
  <c r="Q236" i="2"/>
  <c r="O236" i="2"/>
  <c r="N236" i="2"/>
  <c r="L236" i="2"/>
  <c r="K236" i="2"/>
  <c r="I236" i="2"/>
  <c r="H236" i="2"/>
  <c r="F236" i="2"/>
  <c r="E236" i="2"/>
  <c r="AB234" i="2"/>
  <c r="Y234" i="2"/>
  <c r="V234" i="2"/>
  <c r="S234" i="2"/>
  <c r="P234" i="2"/>
  <c r="M234" i="2"/>
  <c r="J234" i="2"/>
  <c r="G234" i="2"/>
  <c r="C234" i="2"/>
  <c r="B234" i="2"/>
  <c r="AA233" i="2"/>
  <c r="Z233" i="2"/>
  <c r="X233" i="2"/>
  <c r="W233" i="2"/>
  <c r="U233" i="2"/>
  <c r="T233" i="2"/>
  <c r="R233" i="2"/>
  <c r="Q233" i="2"/>
  <c r="O233" i="2"/>
  <c r="N233" i="2"/>
  <c r="L233" i="2"/>
  <c r="K233" i="2"/>
  <c r="I233" i="2"/>
  <c r="H233" i="2"/>
  <c r="F233" i="2"/>
  <c r="E233" i="2"/>
  <c r="AB232" i="2"/>
  <c r="Y232" i="2"/>
  <c r="U232" i="2"/>
  <c r="T232" i="2"/>
  <c r="T230" i="2" s="1"/>
  <c r="S232" i="2"/>
  <c r="P232" i="2"/>
  <c r="M232" i="2"/>
  <c r="J232" i="2"/>
  <c r="F232" i="2"/>
  <c r="F230" i="2" s="1"/>
  <c r="E232" i="2"/>
  <c r="AB231" i="2"/>
  <c r="Y231" i="2"/>
  <c r="V231" i="2"/>
  <c r="S231" i="2"/>
  <c r="P231" i="2"/>
  <c r="L231" i="2"/>
  <c r="M231" i="2" s="1"/>
  <c r="J231" i="2"/>
  <c r="G231" i="2"/>
  <c r="B231" i="2"/>
  <c r="AA230" i="2"/>
  <c r="Z230" i="2"/>
  <c r="X230" i="2"/>
  <c r="W230" i="2"/>
  <c r="R230" i="2"/>
  <c r="Q230" i="2"/>
  <c r="O230" i="2"/>
  <c r="N230" i="2"/>
  <c r="K230" i="2"/>
  <c r="I230" i="2"/>
  <c r="H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A227" i="2"/>
  <c r="Z227" i="2"/>
  <c r="X227" i="2"/>
  <c r="W227" i="2"/>
  <c r="U227" i="2"/>
  <c r="T227" i="2"/>
  <c r="R227" i="2"/>
  <c r="Q227" i="2"/>
  <c r="O227" i="2"/>
  <c r="N227" i="2"/>
  <c r="L227" i="2"/>
  <c r="K227" i="2"/>
  <c r="I227" i="2"/>
  <c r="H227" i="2"/>
  <c r="F227" i="2"/>
  <c r="E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A220" i="2"/>
  <c r="Z220" i="2"/>
  <c r="X220" i="2"/>
  <c r="W220" i="2"/>
  <c r="U220" i="2"/>
  <c r="T220" i="2"/>
  <c r="R220" i="2"/>
  <c r="Q220" i="2"/>
  <c r="O220" i="2"/>
  <c r="N220" i="2"/>
  <c r="L220" i="2"/>
  <c r="K220" i="2"/>
  <c r="I220" i="2"/>
  <c r="H220" i="2"/>
  <c r="F220" i="2"/>
  <c r="E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A216" i="2"/>
  <c r="Z216" i="2"/>
  <c r="X216" i="2"/>
  <c r="W216" i="2"/>
  <c r="U216" i="2"/>
  <c r="T216" i="2"/>
  <c r="R216" i="2"/>
  <c r="Q216" i="2"/>
  <c r="O216" i="2"/>
  <c r="N216" i="2"/>
  <c r="L216" i="2"/>
  <c r="K216" i="2"/>
  <c r="I216" i="2"/>
  <c r="H216" i="2"/>
  <c r="F216" i="2"/>
  <c r="E216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F213" i="2"/>
  <c r="C213" i="2" s="1"/>
  <c r="E213" i="2"/>
  <c r="B213" i="2" s="1"/>
  <c r="AA212" i="2"/>
  <c r="C212" i="2" s="1"/>
  <c r="Z212" i="2"/>
  <c r="Y212" i="2"/>
  <c r="V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U210" i="2"/>
  <c r="C210" i="2" s="1"/>
  <c r="T210" i="2"/>
  <c r="S210" i="2"/>
  <c r="P210" i="2"/>
  <c r="M210" i="2"/>
  <c r="J210" i="2"/>
  <c r="G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L208" i="2"/>
  <c r="K208" i="2"/>
  <c r="K201" i="2" s="1"/>
  <c r="I208" i="2"/>
  <c r="H208" i="2"/>
  <c r="H201" i="2" s="1"/>
  <c r="G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U206" i="2"/>
  <c r="T206" i="2"/>
  <c r="S206" i="2"/>
  <c r="P206" i="2"/>
  <c r="M206" i="2"/>
  <c r="J206" i="2"/>
  <c r="F206" i="2"/>
  <c r="E206" i="2"/>
  <c r="AB205" i="2"/>
  <c r="Y205" i="2"/>
  <c r="V205" i="2"/>
  <c r="S205" i="2"/>
  <c r="P205" i="2"/>
  <c r="M205" i="2"/>
  <c r="J205" i="2"/>
  <c r="G205" i="2"/>
  <c r="C205" i="2"/>
  <c r="B205" i="2"/>
  <c r="AB204" i="2"/>
  <c r="X204" i="2"/>
  <c r="W204" i="2"/>
  <c r="W201" i="2" s="1"/>
  <c r="U204" i="2"/>
  <c r="T204" i="2"/>
  <c r="S204" i="2"/>
  <c r="P204" i="2"/>
  <c r="M204" i="2"/>
  <c r="J204" i="2"/>
  <c r="G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R201" i="2"/>
  <c r="Q201" i="2"/>
  <c r="O201" i="2"/>
  <c r="N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A197" i="2"/>
  <c r="Z197" i="2"/>
  <c r="X197" i="2"/>
  <c r="W197" i="2"/>
  <c r="U197" i="2"/>
  <c r="T197" i="2"/>
  <c r="R197" i="2"/>
  <c r="Q197" i="2"/>
  <c r="O197" i="2"/>
  <c r="N197" i="2"/>
  <c r="L197" i="2"/>
  <c r="K197" i="2"/>
  <c r="I197" i="2"/>
  <c r="H197" i="2"/>
  <c r="F197" i="2"/>
  <c r="E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A193" i="2"/>
  <c r="Z193" i="2"/>
  <c r="X193" i="2"/>
  <c r="W193" i="2"/>
  <c r="U193" i="2"/>
  <c r="T193" i="2"/>
  <c r="R193" i="2"/>
  <c r="Q193" i="2"/>
  <c r="S193" i="2" s="1"/>
  <c r="O193" i="2"/>
  <c r="N193" i="2"/>
  <c r="L193" i="2"/>
  <c r="K193" i="2"/>
  <c r="I193" i="2"/>
  <c r="H193" i="2"/>
  <c r="F193" i="2"/>
  <c r="E193" i="2"/>
  <c r="G193" i="2" s="1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A190" i="2"/>
  <c r="Z190" i="2"/>
  <c r="X190" i="2"/>
  <c r="W190" i="2"/>
  <c r="U190" i="2"/>
  <c r="T190" i="2"/>
  <c r="R190" i="2"/>
  <c r="Q190" i="2"/>
  <c r="O190" i="2"/>
  <c r="N190" i="2"/>
  <c r="L190" i="2"/>
  <c r="K190" i="2"/>
  <c r="I190" i="2"/>
  <c r="H190" i="2"/>
  <c r="F190" i="2"/>
  <c r="E190" i="2"/>
  <c r="AB188" i="2"/>
  <c r="Y188" i="2"/>
  <c r="V188" i="2"/>
  <c r="S188" i="2"/>
  <c r="P188" i="2"/>
  <c r="M188" i="2"/>
  <c r="J188" i="2"/>
  <c r="G188" i="2"/>
  <c r="C188" i="2"/>
  <c r="B188" i="2"/>
  <c r="AA187" i="2"/>
  <c r="Z187" i="2"/>
  <c r="X187" i="2"/>
  <c r="W187" i="2"/>
  <c r="U187" i="2"/>
  <c r="T187" i="2"/>
  <c r="R187" i="2"/>
  <c r="Q187" i="2"/>
  <c r="O187" i="2"/>
  <c r="N187" i="2"/>
  <c r="L187" i="2"/>
  <c r="K187" i="2"/>
  <c r="I187" i="2"/>
  <c r="H187" i="2"/>
  <c r="F187" i="2"/>
  <c r="E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A180" i="2"/>
  <c r="Z180" i="2"/>
  <c r="X180" i="2"/>
  <c r="W180" i="2"/>
  <c r="U180" i="2"/>
  <c r="T180" i="2"/>
  <c r="R180" i="2"/>
  <c r="Q180" i="2"/>
  <c r="O180" i="2"/>
  <c r="N180" i="2"/>
  <c r="L180" i="2"/>
  <c r="K180" i="2"/>
  <c r="I180" i="2"/>
  <c r="H180" i="2"/>
  <c r="F180" i="2"/>
  <c r="E180" i="2"/>
  <c r="AB179" i="2"/>
  <c r="Y179" i="2"/>
  <c r="V179" i="2"/>
  <c r="S179" i="2"/>
  <c r="O179" i="2"/>
  <c r="N179" i="2"/>
  <c r="N176" i="2" s="1"/>
  <c r="M179" i="2"/>
  <c r="J179" i="2"/>
  <c r="G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A176" i="2"/>
  <c r="Z176" i="2"/>
  <c r="X176" i="2"/>
  <c r="W176" i="2"/>
  <c r="U176" i="2"/>
  <c r="T176" i="2"/>
  <c r="R176" i="2"/>
  <c r="Q176" i="2"/>
  <c r="L176" i="2"/>
  <c r="K176" i="2"/>
  <c r="I176" i="2"/>
  <c r="H176" i="2"/>
  <c r="F176" i="2"/>
  <c r="E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R172" i="2"/>
  <c r="S172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A162" i="2"/>
  <c r="Z162" i="2"/>
  <c r="X162" i="2"/>
  <c r="W162" i="2"/>
  <c r="U162" i="2"/>
  <c r="T162" i="2"/>
  <c r="Q162" i="2"/>
  <c r="O162" i="2"/>
  <c r="N162" i="2"/>
  <c r="L162" i="2"/>
  <c r="K162" i="2"/>
  <c r="I162" i="2"/>
  <c r="H162" i="2"/>
  <c r="F162" i="2"/>
  <c r="E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R156" i="2"/>
  <c r="R151" i="2" s="1"/>
  <c r="Q156" i="2"/>
  <c r="P156" i="2"/>
  <c r="M156" i="2"/>
  <c r="J156" i="2"/>
  <c r="G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A151" i="2"/>
  <c r="Z151" i="2"/>
  <c r="X151" i="2"/>
  <c r="W151" i="2"/>
  <c r="U151" i="2"/>
  <c r="T151" i="2"/>
  <c r="O151" i="2"/>
  <c r="N151" i="2"/>
  <c r="L151" i="2"/>
  <c r="K151" i="2"/>
  <c r="I151" i="2"/>
  <c r="H151" i="2"/>
  <c r="F151" i="2"/>
  <c r="E151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R144" i="2"/>
  <c r="Q144" i="2"/>
  <c r="B144" i="2" s="1"/>
  <c r="P144" i="2"/>
  <c r="M144" i="2"/>
  <c r="J144" i="2"/>
  <c r="G144" i="2"/>
  <c r="AA143" i="2"/>
  <c r="Z143" i="2"/>
  <c r="X143" i="2"/>
  <c r="W143" i="2"/>
  <c r="U143" i="2"/>
  <c r="T143" i="2"/>
  <c r="O143" i="2"/>
  <c r="N143" i="2"/>
  <c r="L143" i="2"/>
  <c r="K143" i="2"/>
  <c r="I143" i="2"/>
  <c r="H143" i="2"/>
  <c r="F143" i="2"/>
  <c r="E143" i="2"/>
  <c r="AB142" i="2"/>
  <c r="Y142" i="2"/>
  <c r="V142" i="2"/>
  <c r="R142" i="2"/>
  <c r="Q142" i="2"/>
  <c r="B142" i="2" s="1"/>
  <c r="P142" i="2"/>
  <c r="M142" i="2"/>
  <c r="J142" i="2"/>
  <c r="G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R140" i="2"/>
  <c r="Q140" i="2"/>
  <c r="B140" i="2" s="1"/>
  <c r="P140" i="2"/>
  <c r="M140" i="2"/>
  <c r="J140" i="2"/>
  <c r="G140" i="2"/>
  <c r="AA139" i="2"/>
  <c r="Z139" i="2"/>
  <c r="X139" i="2"/>
  <c r="W139" i="2"/>
  <c r="U139" i="2"/>
  <c r="T139" i="2"/>
  <c r="O139" i="2"/>
  <c r="N139" i="2"/>
  <c r="L139" i="2"/>
  <c r="K139" i="2"/>
  <c r="I139" i="2"/>
  <c r="H139" i="2"/>
  <c r="F139" i="2"/>
  <c r="E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A135" i="2"/>
  <c r="Z135" i="2"/>
  <c r="X135" i="2"/>
  <c r="W135" i="2"/>
  <c r="U135" i="2"/>
  <c r="T135" i="2"/>
  <c r="R135" i="2"/>
  <c r="Q135" i="2"/>
  <c r="O135" i="2"/>
  <c r="N135" i="2"/>
  <c r="L135" i="2"/>
  <c r="K135" i="2"/>
  <c r="I135" i="2"/>
  <c r="H135" i="2"/>
  <c r="F135" i="2"/>
  <c r="E135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I128" i="2"/>
  <c r="H128" i="2"/>
  <c r="F128" i="2"/>
  <c r="E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R124" i="2"/>
  <c r="C124" i="2" s="1"/>
  <c r="Q124" i="2"/>
  <c r="B124" i="2" s="1"/>
  <c r="P124" i="2"/>
  <c r="M124" i="2"/>
  <c r="J124" i="2"/>
  <c r="G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X119" i="2"/>
  <c r="W119" i="2"/>
  <c r="U119" i="2"/>
  <c r="T119" i="2"/>
  <c r="R119" i="2"/>
  <c r="O119" i="2"/>
  <c r="N119" i="2"/>
  <c r="L119" i="2"/>
  <c r="K119" i="2"/>
  <c r="I119" i="2"/>
  <c r="H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L113" i="2"/>
  <c r="L105" i="2" s="1"/>
  <c r="K113" i="2"/>
  <c r="B113" i="2" s="1"/>
  <c r="J113" i="2"/>
  <c r="G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I105" i="2"/>
  <c r="H105" i="2"/>
  <c r="F105" i="2"/>
  <c r="E105" i="2"/>
  <c r="AB103" i="2"/>
  <c r="Y103" i="2"/>
  <c r="U103" i="2"/>
  <c r="T103" i="2"/>
  <c r="T100" i="2" s="1"/>
  <c r="S103" i="2"/>
  <c r="P103" i="2"/>
  <c r="M103" i="2"/>
  <c r="J103" i="2"/>
  <c r="G103" i="2"/>
  <c r="C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A100" i="2"/>
  <c r="Z100" i="2"/>
  <c r="X100" i="2"/>
  <c r="W100" i="2"/>
  <c r="U100" i="2"/>
  <c r="R100" i="2"/>
  <c r="Q100" i="2"/>
  <c r="O100" i="2"/>
  <c r="N100" i="2"/>
  <c r="L100" i="2"/>
  <c r="K100" i="2"/>
  <c r="I100" i="2"/>
  <c r="H100" i="2"/>
  <c r="F100" i="2"/>
  <c r="E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R96" i="2"/>
  <c r="Q96" i="2"/>
  <c r="B96" i="2" s="1"/>
  <c r="P96" i="2"/>
  <c r="M96" i="2"/>
  <c r="J96" i="2"/>
  <c r="G96" i="2"/>
  <c r="AA95" i="2"/>
  <c r="Z95" i="2"/>
  <c r="X95" i="2"/>
  <c r="W95" i="2"/>
  <c r="U95" i="2"/>
  <c r="T95" i="2"/>
  <c r="Q95" i="2"/>
  <c r="O95" i="2"/>
  <c r="N95" i="2"/>
  <c r="I95" i="2"/>
  <c r="H95" i="2"/>
  <c r="F95" i="2"/>
  <c r="E95" i="2"/>
  <c r="AB94" i="2"/>
  <c r="Y94" i="2"/>
  <c r="V94" i="2"/>
  <c r="S94" i="2"/>
  <c r="P94" i="2"/>
  <c r="L94" i="2"/>
  <c r="L93" i="2" s="1"/>
  <c r="J94" i="2"/>
  <c r="G94" i="2"/>
  <c r="B94" i="2"/>
  <c r="AA93" i="2"/>
  <c r="Z93" i="2"/>
  <c r="X93" i="2"/>
  <c r="W93" i="2"/>
  <c r="U93" i="2"/>
  <c r="T93" i="2"/>
  <c r="R93" i="2"/>
  <c r="Q93" i="2"/>
  <c r="O93" i="2"/>
  <c r="N93" i="2"/>
  <c r="K93" i="2"/>
  <c r="I93" i="2"/>
  <c r="H93" i="2"/>
  <c r="F93" i="2"/>
  <c r="E93" i="2"/>
  <c r="AB91" i="2"/>
  <c r="Y91" i="2"/>
  <c r="V91" i="2"/>
  <c r="S91" i="2"/>
  <c r="P91" i="2"/>
  <c r="M91" i="2"/>
  <c r="J91" i="2"/>
  <c r="G91" i="2"/>
  <c r="C91" i="2"/>
  <c r="B91" i="2"/>
  <c r="I90" i="2"/>
  <c r="H90" i="2"/>
  <c r="AA90" i="2"/>
  <c r="Z90" i="2"/>
  <c r="X90" i="2"/>
  <c r="W90" i="2"/>
  <c r="U90" i="2"/>
  <c r="T90" i="2"/>
  <c r="R90" i="2"/>
  <c r="Q90" i="2"/>
  <c r="O90" i="2"/>
  <c r="N90" i="2"/>
  <c r="L90" i="2"/>
  <c r="K90" i="2"/>
  <c r="F90" i="2"/>
  <c r="E90" i="2"/>
  <c r="AB89" i="2"/>
  <c r="Y89" i="2"/>
  <c r="V89" i="2"/>
  <c r="S89" i="2"/>
  <c r="P89" i="2"/>
  <c r="M89" i="2"/>
  <c r="J89" i="2"/>
  <c r="G89" i="2"/>
  <c r="C89" i="2"/>
  <c r="B89" i="2"/>
  <c r="AA88" i="2"/>
  <c r="Z88" i="2"/>
  <c r="X88" i="2"/>
  <c r="W88" i="2"/>
  <c r="U88" i="2"/>
  <c r="T88" i="2"/>
  <c r="R88" i="2"/>
  <c r="Q88" i="2"/>
  <c r="O88" i="2"/>
  <c r="N88" i="2"/>
  <c r="L88" i="2"/>
  <c r="K88" i="2"/>
  <c r="I88" i="2"/>
  <c r="H88" i="2"/>
  <c r="F88" i="2"/>
  <c r="E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A84" i="2"/>
  <c r="Z84" i="2"/>
  <c r="X84" i="2"/>
  <c r="W84" i="2"/>
  <c r="U84" i="2"/>
  <c r="T84" i="2"/>
  <c r="R84" i="2"/>
  <c r="Q84" i="2"/>
  <c r="O84" i="2"/>
  <c r="N84" i="2"/>
  <c r="L84" i="2"/>
  <c r="K84" i="2"/>
  <c r="I84" i="2"/>
  <c r="H84" i="2"/>
  <c r="F84" i="2"/>
  <c r="E84" i="2"/>
  <c r="AB81" i="2"/>
  <c r="Y81" i="2"/>
  <c r="V81" i="2"/>
  <c r="S81" i="2"/>
  <c r="P81" i="2"/>
  <c r="M81" i="2"/>
  <c r="J81" i="2"/>
  <c r="G81" i="2"/>
  <c r="C81" i="2"/>
  <c r="B81" i="2"/>
  <c r="AA80" i="2"/>
  <c r="Z80" i="2"/>
  <c r="Z79" i="2" s="1"/>
  <c r="X80" i="2"/>
  <c r="W80" i="2"/>
  <c r="W79" i="2" s="1"/>
  <c r="U80" i="2"/>
  <c r="T80" i="2"/>
  <c r="T79" i="2" s="1"/>
  <c r="R80" i="2"/>
  <c r="Q80" i="2"/>
  <c r="Q79" i="2" s="1"/>
  <c r="O80" i="2"/>
  <c r="N80" i="2"/>
  <c r="N79" i="2" s="1"/>
  <c r="L80" i="2"/>
  <c r="L79" i="2" s="1"/>
  <c r="K80" i="2"/>
  <c r="K79" i="2" s="1"/>
  <c r="I80" i="2"/>
  <c r="H80" i="2"/>
  <c r="H79" i="2" s="1"/>
  <c r="F80" i="2"/>
  <c r="E80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H69" i="2"/>
  <c r="H68" i="2" s="1"/>
  <c r="AB71" i="2"/>
  <c r="Y71" i="2"/>
  <c r="V71" i="2"/>
  <c r="S71" i="2"/>
  <c r="P71" i="2"/>
  <c r="K71" i="2"/>
  <c r="M71" i="2" s="1"/>
  <c r="J71" i="2"/>
  <c r="G71" i="2"/>
  <c r="C71" i="2"/>
  <c r="B71" i="2"/>
  <c r="L69" i="2"/>
  <c r="AB70" i="2"/>
  <c r="Y70" i="2"/>
  <c r="V70" i="2"/>
  <c r="S70" i="2"/>
  <c r="P70" i="2"/>
  <c r="M70" i="2"/>
  <c r="J70" i="2"/>
  <c r="G70" i="2"/>
  <c r="C70" i="2"/>
  <c r="B70" i="2"/>
  <c r="AA69" i="2"/>
  <c r="Z69" i="2"/>
  <c r="Z68" i="2" s="1"/>
  <c r="X69" i="2"/>
  <c r="X68" i="2" s="1"/>
  <c r="W69" i="2"/>
  <c r="W68" i="2" s="1"/>
  <c r="U69" i="2"/>
  <c r="T69" i="2"/>
  <c r="T68" i="2" s="1"/>
  <c r="R69" i="2"/>
  <c r="Q69" i="2"/>
  <c r="Q68" i="2" s="1"/>
  <c r="O69" i="2"/>
  <c r="N69" i="2"/>
  <c r="N68" i="2" s="1"/>
  <c r="F69" i="2"/>
  <c r="E69" i="2"/>
  <c r="AB67" i="2"/>
  <c r="Y67" i="2"/>
  <c r="V67" i="2"/>
  <c r="S67" i="2"/>
  <c r="P67" i="2"/>
  <c r="L67" i="2"/>
  <c r="K67" i="2"/>
  <c r="J67" i="2"/>
  <c r="F67" i="2"/>
  <c r="E67" i="2"/>
  <c r="AB66" i="2"/>
  <c r="Y66" i="2"/>
  <c r="V66" i="2"/>
  <c r="S66" i="2"/>
  <c r="P66" i="2"/>
  <c r="L66" i="2"/>
  <c r="K66" i="2"/>
  <c r="I66" i="2"/>
  <c r="I56" i="2" s="1"/>
  <c r="H66" i="2"/>
  <c r="G66" i="2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F64" i="2"/>
  <c r="E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U61" i="2"/>
  <c r="T61" i="2"/>
  <c r="B61" i="2" s="1"/>
  <c r="S61" i="2"/>
  <c r="P61" i="2"/>
  <c r="M61" i="2"/>
  <c r="J61" i="2"/>
  <c r="G61" i="2"/>
  <c r="AB60" i="2"/>
  <c r="Y60" i="2"/>
  <c r="U60" i="2"/>
  <c r="T60" i="2"/>
  <c r="S60" i="2"/>
  <c r="P60" i="2"/>
  <c r="M60" i="2"/>
  <c r="J60" i="2"/>
  <c r="F60" i="2"/>
  <c r="E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L57" i="2"/>
  <c r="K57" i="2"/>
  <c r="B57" i="2" s="1"/>
  <c r="J57" i="2"/>
  <c r="G57" i="2"/>
  <c r="AA56" i="2"/>
  <c r="AA55" i="2" s="1"/>
  <c r="Z56" i="2"/>
  <c r="X56" i="2"/>
  <c r="X55" i="2" s="1"/>
  <c r="W56" i="2"/>
  <c r="R56" i="2"/>
  <c r="Q56" i="2"/>
  <c r="Q55" i="2" s="1"/>
  <c r="O56" i="2"/>
  <c r="O55" i="2" s="1"/>
  <c r="N56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K52" i="2"/>
  <c r="M52" i="2" s="1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A48" i="2"/>
  <c r="Z48" i="2"/>
  <c r="Z47" i="2" s="1"/>
  <c r="X48" i="2"/>
  <c r="X47" i="2" s="1"/>
  <c r="W48" i="2"/>
  <c r="U48" i="2"/>
  <c r="U47" i="2" s="1"/>
  <c r="T48" i="2"/>
  <c r="T47" i="2" s="1"/>
  <c r="R48" i="2"/>
  <c r="Q48" i="2"/>
  <c r="Q47" i="2" s="1"/>
  <c r="O48" i="2"/>
  <c r="N48" i="2"/>
  <c r="N47" i="2" s="1"/>
  <c r="L48" i="2"/>
  <c r="L47" i="2" s="1"/>
  <c r="I48" i="2"/>
  <c r="I47" i="2" s="1"/>
  <c r="H48" i="2"/>
  <c r="H47" i="2" s="1"/>
  <c r="F48" i="2"/>
  <c r="E48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R44" i="2"/>
  <c r="Q44" i="2"/>
  <c r="P44" i="2"/>
  <c r="M44" i="2"/>
  <c r="J44" i="2"/>
  <c r="G44" i="2"/>
  <c r="AA43" i="2"/>
  <c r="Z43" i="2"/>
  <c r="Z42" i="2" s="1"/>
  <c r="X43" i="2"/>
  <c r="W43" i="2"/>
  <c r="W42" i="2" s="1"/>
  <c r="U43" i="2"/>
  <c r="U42" i="2" s="1"/>
  <c r="T43" i="2"/>
  <c r="O43" i="2"/>
  <c r="N43" i="2"/>
  <c r="N42" i="2" s="1"/>
  <c r="L43" i="2"/>
  <c r="K43" i="2"/>
  <c r="K42" i="2" s="1"/>
  <c r="I43" i="2"/>
  <c r="I42" i="2" s="1"/>
  <c r="H43" i="2"/>
  <c r="F43" i="2"/>
  <c r="E43" i="2"/>
  <c r="E42" i="2" s="1"/>
  <c r="AB41" i="2"/>
  <c r="Y41" i="2"/>
  <c r="V41" i="2"/>
  <c r="S41" i="2"/>
  <c r="P41" i="2"/>
  <c r="M41" i="2"/>
  <c r="J41" i="2"/>
  <c r="G41" i="2"/>
  <c r="C41" i="2"/>
  <c r="B41" i="2"/>
  <c r="AB40" i="2"/>
  <c r="Y40" i="2"/>
  <c r="U40" i="2"/>
  <c r="T40" i="2"/>
  <c r="T37" i="2" s="1"/>
  <c r="T36" i="2" s="1"/>
  <c r="S40" i="2"/>
  <c r="P40" i="2"/>
  <c r="M40" i="2"/>
  <c r="J40" i="2"/>
  <c r="F40" i="2"/>
  <c r="F37" i="2" s="1"/>
  <c r="F36" i="2" s="1"/>
  <c r="E40" i="2"/>
  <c r="AB39" i="2"/>
  <c r="Y39" i="2"/>
  <c r="V39" i="2"/>
  <c r="S39" i="2"/>
  <c r="P39" i="2"/>
  <c r="M39" i="2"/>
  <c r="J39" i="2"/>
  <c r="G39" i="2"/>
  <c r="C39" i="2"/>
  <c r="B39" i="2"/>
  <c r="AA38" i="2"/>
  <c r="AA37" i="2" s="1"/>
  <c r="X38" i="2"/>
  <c r="Y38" i="2" s="1"/>
  <c r="V38" i="2"/>
  <c r="S38" i="2"/>
  <c r="P38" i="2"/>
  <c r="M38" i="2"/>
  <c r="J38" i="2"/>
  <c r="G38" i="2"/>
  <c r="B38" i="2"/>
  <c r="Z37" i="2"/>
  <c r="Z36" i="2" s="1"/>
  <c r="W37" i="2"/>
  <c r="W36" i="2" s="1"/>
  <c r="R37" i="2"/>
  <c r="R36" i="2" s="1"/>
  <c r="Q37" i="2"/>
  <c r="Q36" i="2" s="1"/>
  <c r="O37" i="2"/>
  <c r="N37" i="2"/>
  <c r="N36" i="2" s="1"/>
  <c r="L37" i="2"/>
  <c r="K37" i="2"/>
  <c r="K36" i="2" s="1"/>
  <c r="I37" i="2"/>
  <c r="I36" i="2" s="1"/>
  <c r="H37" i="2"/>
  <c r="AA35" i="2"/>
  <c r="AA23" i="2" s="1"/>
  <c r="Z35" i="2"/>
  <c r="X35" i="2"/>
  <c r="X23" i="2" s="1"/>
  <c r="W35" i="2"/>
  <c r="W23" i="2" s="1"/>
  <c r="W22" i="2" s="1"/>
  <c r="U35" i="2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T33" i="2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Z23" i="2"/>
  <c r="Z22" i="2" s="1"/>
  <c r="R23" i="2"/>
  <c r="Q23" i="2"/>
  <c r="Q22" i="2" s="1"/>
  <c r="O23" i="2"/>
  <c r="N23" i="2"/>
  <c r="N22" i="2" s="1"/>
  <c r="L23" i="2"/>
  <c r="K23" i="2"/>
  <c r="K22" i="2" s="1"/>
  <c r="I23" i="2"/>
  <c r="H23" i="2"/>
  <c r="H22" i="2" s="1"/>
  <c r="AB21" i="2"/>
  <c r="Y21" i="2"/>
  <c r="V21" i="2"/>
  <c r="S21" i="2"/>
  <c r="P21" i="2"/>
  <c r="M21" i="2"/>
  <c r="I21" i="2"/>
  <c r="I11" i="2" s="1"/>
  <c r="H21" i="2"/>
  <c r="B2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F11" i="2" s="1"/>
  <c r="E19" i="2"/>
  <c r="B19" i="2" s="1"/>
  <c r="AB18" i="2"/>
  <c r="Y18" i="2"/>
  <c r="V18" i="2"/>
  <c r="S18" i="2"/>
  <c r="P18" i="2"/>
  <c r="K18" i="2"/>
  <c r="M18" i="2" s="1"/>
  <c r="J18" i="2"/>
  <c r="G18" i="2"/>
  <c r="C18" i="2"/>
  <c r="AB17" i="2"/>
  <c r="Y17" i="2"/>
  <c r="V17" i="2"/>
  <c r="S17" i="2"/>
  <c r="P17" i="2"/>
  <c r="K17" i="2"/>
  <c r="M17" i="2" s="1"/>
  <c r="J17" i="2"/>
  <c r="G17" i="2"/>
  <c r="C17" i="2"/>
  <c r="B17" i="2"/>
  <c r="AB16" i="2"/>
  <c r="Y16" i="2"/>
  <c r="V16" i="2"/>
  <c r="S16" i="2"/>
  <c r="P16" i="2"/>
  <c r="K16" i="2"/>
  <c r="M16" i="2" s="1"/>
  <c r="J16" i="2"/>
  <c r="G16" i="2"/>
  <c r="C16" i="2"/>
  <c r="AB15" i="2"/>
  <c r="Y15" i="2"/>
  <c r="V15" i="2"/>
  <c r="S15" i="2"/>
  <c r="P15" i="2"/>
  <c r="K15" i="2"/>
  <c r="M15" i="2" s="1"/>
  <c r="J15" i="2"/>
  <c r="G15" i="2"/>
  <c r="C15" i="2"/>
  <c r="AB14" i="2"/>
  <c r="Y14" i="2"/>
  <c r="V14" i="2"/>
  <c r="S14" i="2"/>
  <c r="P14" i="2"/>
  <c r="K14" i="2"/>
  <c r="M14" i="2" s="1"/>
  <c r="J14" i="2"/>
  <c r="G14" i="2"/>
  <c r="C14" i="2"/>
  <c r="AB13" i="2"/>
  <c r="Y13" i="2"/>
  <c r="V13" i="2"/>
  <c r="S13" i="2"/>
  <c r="P13" i="2"/>
  <c r="K13" i="2"/>
  <c r="M13" i="2" s="1"/>
  <c r="J13" i="2"/>
  <c r="G13" i="2"/>
  <c r="C13" i="2"/>
  <c r="B13" i="2"/>
  <c r="AB12" i="2"/>
  <c r="Y12" i="2"/>
  <c r="V12" i="2"/>
  <c r="S12" i="2"/>
  <c r="P12" i="2"/>
  <c r="K12" i="2"/>
  <c r="B12" i="2" s="1"/>
  <c r="J12" i="2"/>
  <c r="G12" i="2"/>
  <c r="C12" i="2"/>
  <c r="AA11" i="2"/>
  <c r="Z11" i="2"/>
  <c r="X11" i="2"/>
  <c r="X10" i="2" s="1"/>
  <c r="W11" i="2"/>
  <c r="W10" i="2" s="1"/>
  <c r="U11" i="2"/>
  <c r="U10" i="2" s="1"/>
  <c r="T11" i="2"/>
  <c r="T10" i="2" s="1"/>
  <c r="R11" i="2"/>
  <c r="Q11" i="2"/>
  <c r="Q10" i="2" s="1"/>
  <c r="O11" i="2"/>
  <c r="O10" i="2" s="1"/>
  <c r="N11" i="2"/>
  <c r="N10" i="2" s="1"/>
  <c r="L11" i="2"/>
  <c r="L10" i="2" s="1"/>
  <c r="AA10" i="2"/>
  <c r="Z10" i="2"/>
  <c r="B18" i="2" l="1"/>
  <c r="C156" i="2"/>
  <c r="B15" i="2"/>
  <c r="B67" i="2"/>
  <c r="M66" i="2"/>
  <c r="C67" i="2"/>
  <c r="G69" i="2"/>
  <c r="V232" i="2"/>
  <c r="B66" i="2"/>
  <c r="V206" i="2"/>
  <c r="J208" i="2"/>
  <c r="B232" i="2"/>
  <c r="E11" i="2"/>
  <c r="K48" i="2"/>
  <c r="B206" i="2"/>
  <c r="B208" i="2"/>
  <c r="S90" i="2"/>
  <c r="K134" i="2"/>
  <c r="G162" i="2"/>
  <c r="I150" i="2"/>
  <c r="S176" i="2"/>
  <c r="Y176" i="2"/>
  <c r="C193" i="2"/>
  <c r="M23" i="2"/>
  <c r="H92" i="2"/>
  <c r="S257" i="2"/>
  <c r="T56" i="2"/>
  <c r="T55" i="2" s="1"/>
  <c r="V100" i="2"/>
  <c r="P10" i="2"/>
  <c r="J37" i="2"/>
  <c r="V60" i="2"/>
  <c r="AB95" i="2"/>
  <c r="B103" i="2"/>
  <c r="AB128" i="2"/>
  <c r="Z134" i="2"/>
  <c r="J261" i="2"/>
  <c r="V103" i="2"/>
  <c r="D103" i="2" s="1"/>
  <c r="G180" i="2"/>
  <c r="V193" i="2"/>
  <c r="AA215" i="2"/>
  <c r="E238" i="2"/>
  <c r="B238" i="2" s="1"/>
  <c r="V48" i="2"/>
  <c r="AB48" i="2"/>
  <c r="V61" i="2"/>
  <c r="V180" i="2"/>
  <c r="V210" i="2"/>
  <c r="D210" i="2" s="1"/>
  <c r="D50" i="2"/>
  <c r="D70" i="2"/>
  <c r="AB80" i="2"/>
  <c r="G84" i="2"/>
  <c r="M84" i="2"/>
  <c r="V105" i="2"/>
  <c r="J128" i="2"/>
  <c r="J216" i="2"/>
  <c r="P216" i="2"/>
  <c r="G220" i="2"/>
  <c r="M220" i="2"/>
  <c r="S220" i="2"/>
  <c r="Y220" i="2"/>
  <c r="Y242" i="2"/>
  <c r="R256" i="2"/>
  <c r="P56" i="2"/>
  <c r="Y56" i="2"/>
  <c r="W104" i="2"/>
  <c r="M116" i="2"/>
  <c r="D127" i="2"/>
  <c r="Y128" i="2"/>
  <c r="AB233" i="2"/>
  <c r="S37" i="2"/>
  <c r="D46" i="2"/>
  <c r="Y135" i="2"/>
  <c r="V143" i="2"/>
  <c r="D192" i="2"/>
  <c r="S230" i="2"/>
  <c r="S11" i="2"/>
  <c r="M80" i="2"/>
  <c r="AB84" i="2"/>
  <c r="G88" i="2"/>
  <c r="B93" i="2"/>
  <c r="S93" i="2"/>
  <c r="P95" i="2"/>
  <c r="P105" i="2"/>
  <c r="D121" i="2"/>
  <c r="T134" i="2"/>
  <c r="D163" i="2"/>
  <c r="J187" i="2"/>
  <c r="Y190" i="2"/>
  <c r="D228" i="2"/>
  <c r="D229" i="2"/>
  <c r="G233" i="2"/>
  <c r="M233" i="2"/>
  <c r="V238" i="2"/>
  <c r="M251" i="2"/>
  <c r="I260" i="2"/>
  <c r="J260" i="2" s="1"/>
  <c r="D30" i="2"/>
  <c r="G48" i="2"/>
  <c r="S56" i="2"/>
  <c r="J119" i="2"/>
  <c r="D141" i="2"/>
  <c r="M143" i="2"/>
  <c r="D149" i="2"/>
  <c r="Y238" i="2"/>
  <c r="J242" i="2"/>
  <c r="V242" i="2"/>
  <c r="D248" i="2"/>
  <c r="V256" i="2"/>
  <c r="J48" i="2"/>
  <c r="AB100" i="2"/>
  <c r="D101" i="2"/>
  <c r="D102" i="2"/>
  <c r="O104" i="2"/>
  <c r="M151" i="2"/>
  <c r="Y180" i="2"/>
  <c r="E150" i="2"/>
  <c r="V197" i="2"/>
  <c r="AB197" i="2"/>
  <c r="D222" i="2"/>
  <c r="M227" i="2"/>
  <c r="S227" i="2"/>
  <c r="P233" i="2"/>
  <c r="W235" i="2"/>
  <c r="J246" i="2"/>
  <c r="Q245" i="2"/>
  <c r="P250" i="2"/>
  <c r="P254" i="2"/>
  <c r="R43" i="2"/>
  <c r="R42" i="2" s="1"/>
  <c r="C44" i="2"/>
  <c r="W55" i="2"/>
  <c r="Y55" i="2" s="1"/>
  <c r="C61" i="2"/>
  <c r="K105" i="2"/>
  <c r="K104" i="2" s="1"/>
  <c r="M128" i="2"/>
  <c r="AB143" i="2"/>
  <c r="AA134" i="2"/>
  <c r="N150" i="2"/>
  <c r="C179" i="2"/>
  <c r="O176" i="2"/>
  <c r="P176" i="2" s="1"/>
  <c r="K189" i="2"/>
  <c r="F246" i="2"/>
  <c r="G246" i="2" s="1"/>
  <c r="G247" i="2"/>
  <c r="AB254" i="2"/>
  <c r="AA253" i="2"/>
  <c r="D15" i="2"/>
  <c r="B33" i="2"/>
  <c r="T23" i="2"/>
  <c r="T22" i="2" s="1"/>
  <c r="AB11" i="2"/>
  <c r="D13" i="2"/>
  <c r="D26" i="2"/>
  <c r="D27" i="2"/>
  <c r="U23" i="2"/>
  <c r="U22" i="2" s="1"/>
  <c r="L22" i="2"/>
  <c r="M22" i="2" s="1"/>
  <c r="AB56" i="2"/>
  <c r="H83" i="2"/>
  <c r="S84" i="2"/>
  <c r="Y84" i="2"/>
  <c r="G95" i="2"/>
  <c r="AB10" i="2"/>
  <c r="Y10" i="2"/>
  <c r="C57" i="2"/>
  <c r="M57" i="2"/>
  <c r="D58" i="2"/>
  <c r="S80" i="2"/>
  <c r="Y80" i="2"/>
  <c r="X79" i="2"/>
  <c r="Y79" i="2" s="1"/>
  <c r="J90" i="2"/>
  <c r="K95" i="2"/>
  <c r="K92" i="2" s="1"/>
  <c r="B98" i="2"/>
  <c r="X250" i="2"/>
  <c r="Y250" i="2" s="1"/>
  <c r="Y251" i="2"/>
  <c r="P88" i="2"/>
  <c r="V88" i="2"/>
  <c r="AB88" i="2"/>
  <c r="Y90" i="2"/>
  <c r="D97" i="2"/>
  <c r="D99" i="2"/>
  <c r="Y116" i="2"/>
  <c r="Z104" i="2"/>
  <c r="D131" i="2"/>
  <c r="D145" i="2"/>
  <c r="D147" i="2"/>
  <c r="J151" i="2"/>
  <c r="D153" i="2"/>
  <c r="AB176" i="2"/>
  <c r="B180" i="2"/>
  <c r="D186" i="2"/>
  <c r="Y187" i="2"/>
  <c r="P201" i="2"/>
  <c r="J236" i="2"/>
  <c r="V236" i="2"/>
  <c r="AB236" i="2"/>
  <c r="N235" i="2"/>
  <c r="P253" i="2"/>
  <c r="J256" i="2"/>
  <c r="J257" i="2"/>
  <c r="M261" i="2"/>
  <c r="B34" i="2"/>
  <c r="C40" i="2"/>
  <c r="P48" i="2"/>
  <c r="G60" i="2"/>
  <c r="C64" i="2"/>
  <c r="M67" i="2"/>
  <c r="V69" i="2"/>
  <c r="J80" i="2"/>
  <c r="N83" i="2"/>
  <c r="T83" i="2"/>
  <c r="AB93" i="2"/>
  <c r="M100" i="2"/>
  <c r="D106" i="2"/>
  <c r="P116" i="2"/>
  <c r="V119" i="2"/>
  <c r="S128" i="2"/>
  <c r="C135" i="2"/>
  <c r="AB135" i="2"/>
  <c r="V139" i="2"/>
  <c r="AB139" i="2"/>
  <c r="S144" i="2"/>
  <c r="D144" i="2" s="1"/>
  <c r="Y151" i="2"/>
  <c r="D167" i="2"/>
  <c r="D168" i="2"/>
  <c r="D174" i="2"/>
  <c r="J176" i="2"/>
  <c r="D182" i="2"/>
  <c r="AB187" i="2"/>
  <c r="P190" i="2"/>
  <c r="AB190" i="2"/>
  <c r="M193" i="2"/>
  <c r="D194" i="2"/>
  <c r="J197" i="2"/>
  <c r="D198" i="2"/>
  <c r="F201" i="2"/>
  <c r="F189" i="2" s="1"/>
  <c r="G206" i="2"/>
  <c r="D206" i="2" s="1"/>
  <c r="G213" i="2"/>
  <c r="D213" i="2" s="1"/>
  <c r="G216" i="2"/>
  <c r="S216" i="2"/>
  <c r="Y216" i="2"/>
  <c r="D218" i="2"/>
  <c r="J220" i="2"/>
  <c r="AB220" i="2"/>
  <c r="J230" i="2"/>
  <c r="C232" i="2"/>
  <c r="V233" i="2"/>
  <c r="K235" i="2"/>
  <c r="AB238" i="2"/>
  <c r="M242" i="2"/>
  <c r="P251" i="2"/>
  <c r="J254" i="2"/>
  <c r="S254" i="2"/>
  <c r="V257" i="2"/>
  <c r="D258" i="2"/>
  <c r="C259" i="2"/>
  <c r="M259" i="2"/>
  <c r="D259" i="2" s="1"/>
  <c r="L260" i="2"/>
  <c r="M260" i="2" s="1"/>
  <c r="V34" i="2"/>
  <c r="G40" i="2"/>
  <c r="S44" i="2"/>
  <c r="D44" i="2" s="1"/>
  <c r="M48" i="2"/>
  <c r="Y69" i="2"/>
  <c r="D75" i="2"/>
  <c r="D78" i="2"/>
  <c r="L83" i="2"/>
  <c r="M83" i="2" s="1"/>
  <c r="P90" i="2"/>
  <c r="J93" i="2"/>
  <c r="Y95" i="2"/>
  <c r="AA104" i="2"/>
  <c r="Y119" i="2"/>
  <c r="D125" i="2"/>
  <c r="D126" i="2"/>
  <c r="P128" i="2"/>
  <c r="G135" i="2"/>
  <c r="D137" i="2"/>
  <c r="D138" i="2"/>
  <c r="N134" i="2"/>
  <c r="W134" i="2"/>
  <c r="D159" i="2"/>
  <c r="D160" i="2"/>
  <c r="L150" i="2"/>
  <c r="T150" i="2"/>
  <c r="M180" i="2"/>
  <c r="V187" i="2"/>
  <c r="H189" i="2"/>
  <c r="N189" i="2"/>
  <c r="R189" i="2"/>
  <c r="D202" i="2"/>
  <c r="D205" i="2"/>
  <c r="D224" i="2"/>
  <c r="K215" i="2"/>
  <c r="AB230" i="2"/>
  <c r="W215" i="2"/>
  <c r="P242" i="2"/>
  <c r="D244" i="2"/>
  <c r="N245" i="2"/>
  <c r="J247" i="2"/>
  <c r="V253" i="2"/>
  <c r="AB23" i="2"/>
  <c r="AA22" i="2"/>
  <c r="AB22" i="2" s="1"/>
  <c r="X22" i="2"/>
  <c r="Y22" i="2" s="1"/>
  <c r="Y23" i="2"/>
  <c r="V10" i="2"/>
  <c r="B14" i="2"/>
  <c r="D57" i="2"/>
  <c r="C98" i="2"/>
  <c r="M98" i="2"/>
  <c r="P135" i="2"/>
  <c r="O134" i="2"/>
  <c r="G143" i="2"/>
  <c r="F134" i="2"/>
  <c r="F253" i="2"/>
  <c r="G253" i="2" s="1"/>
  <c r="G254" i="2"/>
  <c r="Y11" i="2"/>
  <c r="D31" i="2"/>
  <c r="M88" i="2"/>
  <c r="B16" i="2"/>
  <c r="S238" i="2"/>
  <c r="R235" i="2"/>
  <c r="AB242" i="2"/>
  <c r="Z235" i="2"/>
  <c r="P23" i="2"/>
  <c r="D24" i="2"/>
  <c r="D25" i="2"/>
  <c r="D41" i="2"/>
  <c r="G43" i="2"/>
  <c r="H56" i="2"/>
  <c r="H55" i="2" s="1"/>
  <c r="Y88" i="2"/>
  <c r="V90" i="2"/>
  <c r="L95" i="2"/>
  <c r="B100" i="2"/>
  <c r="M187" i="2"/>
  <c r="Y227" i="2"/>
  <c r="C227" i="2"/>
  <c r="H11" i="2"/>
  <c r="H10" i="2" s="1"/>
  <c r="V11" i="2"/>
  <c r="D20" i="2"/>
  <c r="C21" i="2"/>
  <c r="D28" i="2"/>
  <c r="D29" i="2"/>
  <c r="V33" i="2"/>
  <c r="D33" i="2" s="1"/>
  <c r="Y35" i="2"/>
  <c r="X37" i="2"/>
  <c r="Y37" i="2" s="1"/>
  <c r="C38" i="2"/>
  <c r="F42" i="2"/>
  <c r="G42" i="2" s="1"/>
  <c r="J47" i="2"/>
  <c r="U56" i="2"/>
  <c r="G67" i="2"/>
  <c r="P69" i="2"/>
  <c r="O68" i="2"/>
  <c r="P68" i="2" s="1"/>
  <c r="AB69" i="2"/>
  <c r="AA68" i="2"/>
  <c r="AB68" i="2" s="1"/>
  <c r="D72" i="2"/>
  <c r="X83" i="2"/>
  <c r="J84" i="2"/>
  <c r="B90" i="2"/>
  <c r="X92" i="2"/>
  <c r="G105" i="2"/>
  <c r="F104" i="2"/>
  <c r="AB105" i="2"/>
  <c r="D122" i="2"/>
  <c r="S124" i="2"/>
  <c r="D124" i="2" s="1"/>
  <c r="P139" i="2"/>
  <c r="P143" i="2"/>
  <c r="D146" i="2"/>
  <c r="V151" i="2"/>
  <c r="U150" i="2"/>
  <c r="J180" i="2"/>
  <c r="O215" i="2"/>
  <c r="P220" i="2"/>
  <c r="S36" i="2"/>
  <c r="V47" i="2"/>
  <c r="I69" i="2"/>
  <c r="J69" i="2" s="1"/>
  <c r="D77" i="2"/>
  <c r="S88" i="2"/>
  <c r="AB90" i="2"/>
  <c r="D110" i="2"/>
  <c r="D18" i="2"/>
  <c r="O22" i="2"/>
  <c r="P22" i="2" s="1"/>
  <c r="D32" i="2"/>
  <c r="V35" i="2"/>
  <c r="AB35" i="2"/>
  <c r="D39" i="2"/>
  <c r="C43" i="2"/>
  <c r="B48" i="2"/>
  <c r="E47" i="2"/>
  <c r="D51" i="2"/>
  <c r="D53" i="2"/>
  <c r="D54" i="2"/>
  <c r="B60" i="2"/>
  <c r="E56" i="2"/>
  <c r="D62" i="2"/>
  <c r="D63" i="2"/>
  <c r="J66" i="2"/>
  <c r="D66" i="2" s="1"/>
  <c r="D87" i="2"/>
  <c r="D89" i="2"/>
  <c r="C90" i="2"/>
  <c r="G90" i="2"/>
  <c r="G93" i="2"/>
  <c r="N92" i="2"/>
  <c r="T92" i="2"/>
  <c r="Y93" i="2"/>
  <c r="C94" i="2"/>
  <c r="Y100" i="2"/>
  <c r="D109" i="2"/>
  <c r="D115" i="2"/>
  <c r="Q119" i="2"/>
  <c r="Q104" i="2" s="1"/>
  <c r="AB119" i="2"/>
  <c r="D132" i="2"/>
  <c r="H134" i="2"/>
  <c r="P151" i="2"/>
  <c r="D158" i="2"/>
  <c r="H150" i="2"/>
  <c r="V162" i="2"/>
  <c r="AB162" i="2"/>
  <c r="D166" i="2"/>
  <c r="S247" i="2"/>
  <c r="AB250" i="2"/>
  <c r="Y261" i="2"/>
  <c r="X260" i="2"/>
  <c r="Y260" i="2" s="1"/>
  <c r="V43" i="2"/>
  <c r="D45" i="2"/>
  <c r="S48" i="2"/>
  <c r="Y48" i="2"/>
  <c r="D49" i="2"/>
  <c r="G64" i="2"/>
  <c r="D65" i="2"/>
  <c r="Y68" i="2"/>
  <c r="S69" i="2"/>
  <c r="D76" i="2"/>
  <c r="B80" i="2"/>
  <c r="P80" i="2"/>
  <c r="V80" i="2"/>
  <c r="B84" i="2"/>
  <c r="K83" i="2"/>
  <c r="P84" i="2"/>
  <c r="V84" i="2"/>
  <c r="Z83" i="2"/>
  <c r="D86" i="2"/>
  <c r="J88" i="2"/>
  <c r="M90" i="2"/>
  <c r="P93" i="2"/>
  <c r="V93" i="2"/>
  <c r="Z92" i="2"/>
  <c r="D98" i="2"/>
  <c r="J100" i="2"/>
  <c r="P100" i="2"/>
  <c r="H104" i="2"/>
  <c r="S105" i="2"/>
  <c r="D107" i="2"/>
  <c r="D108" i="2"/>
  <c r="D114" i="2"/>
  <c r="J116" i="2"/>
  <c r="M119" i="2"/>
  <c r="D120" i="2"/>
  <c r="B128" i="2"/>
  <c r="V128" i="2"/>
  <c r="D129" i="2"/>
  <c r="D130" i="2"/>
  <c r="V135" i="2"/>
  <c r="D136" i="2"/>
  <c r="Y139" i="2"/>
  <c r="J143" i="2"/>
  <c r="G151" i="2"/>
  <c r="D155" i="2"/>
  <c r="B156" i="2"/>
  <c r="S156" i="2"/>
  <c r="Q151" i="2"/>
  <c r="D178" i="2"/>
  <c r="C197" i="2"/>
  <c r="G197" i="2"/>
  <c r="S197" i="2"/>
  <c r="AB216" i="2"/>
  <c r="Q235" i="2"/>
  <c r="P238" i="2"/>
  <c r="Z245" i="2"/>
  <c r="V261" i="2"/>
  <c r="T260" i="2"/>
  <c r="V260" i="2" s="1"/>
  <c r="J43" i="2"/>
  <c r="D52" i="2"/>
  <c r="D59" i="2"/>
  <c r="D61" i="2"/>
  <c r="D73" i="2"/>
  <c r="D74" i="2"/>
  <c r="G80" i="2"/>
  <c r="D81" i="2"/>
  <c r="Q83" i="2"/>
  <c r="W83" i="2"/>
  <c r="D85" i="2"/>
  <c r="B88" i="2"/>
  <c r="D91" i="2"/>
  <c r="Q92" i="2"/>
  <c r="W92" i="2"/>
  <c r="T104" i="2"/>
  <c r="D112" i="2"/>
  <c r="B116" i="2"/>
  <c r="V116" i="2"/>
  <c r="AB116" i="2"/>
  <c r="D117" i="2"/>
  <c r="D118" i="2"/>
  <c r="N104" i="2"/>
  <c r="D123" i="2"/>
  <c r="G128" i="2"/>
  <c r="D133" i="2"/>
  <c r="M135" i="2"/>
  <c r="S135" i="2"/>
  <c r="G139" i="2"/>
  <c r="M139" i="2"/>
  <c r="S140" i="2"/>
  <c r="D140" i="2" s="1"/>
  <c r="S142" i="2"/>
  <c r="D142" i="2" s="1"/>
  <c r="Y143" i="2"/>
  <c r="D148" i="2"/>
  <c r="Z150" i="2"/>
  <c r="D171" i="2"/>
  <c r="D172" i="2"/>
  <c r="D175" i="2"/>
  <c r="P179" i="2"/>
  <c r="D179" i="2" s="1"/>
  <c r="S180" i="2"/>
  <c r="D181" i="2"/>
  <c r="B210" i="2"/>
  <c r="C236" i="2"/>
  <c r="G236" i="2"/>
  <c r="S236" i="2"/>
  <c r="U246" i="2"/>
  <c r="V246" i="2" s="1"/>
  <c r="V247" i="2"/>
  <c r="AB251" i="2"/>
  <c r="S253" i="2"/>
  <c r="C257" i="2"/>
  <c r="P193" i="2"/>
  <c r="M197" i="2"/>
  <c r="D211" i="2"/>
  <c r="B216" i="2"/>
  <c r="V216" i="2"/>
  <c r="D217" i="2"/>
  <c r="B220" i="2"/>
  <c r="V220" i="2"/>
  <c r="D221" i="2"/>
  <c r="D226" i="2"/>
  <c r="B227" i="2"/>
  <c r="J227" i="2"/>
  <c r="P227" i="2"/>
  <c r="N215" i="2"/>
  <c r="D231" i="2"/>
  <c r="S233" i="2"/>
  <c r="Y233" i="2"/>
  <c r="M236" i="2"/>
  <c r="S242" i="2"/>
  <c r="T245" i="2"/>
  <c r="H245" i="2"/>
  <c r="S250" i="2"/>
  <c r="D252" i="2"/>
  <c r="D255" i="2"/>
  <c r="S256" i="2"/>
  <c r="K150" i="2"/>
  <c r="AB151" i="2"/>
  <c r="D154" i="2"/>
  <c r="D157" i="2"/>
  <c r="B162" i="2"/>
  <c r="J162" i="2"/>
  <c r="P162" i="2"/>
  <c r="D165" i="2"/>
  <c r="D170" i="2"/>
  <c r="D173" i="2"/>
  <c r="B176" i="2"/>
  <c r="V176" i="2"/>
  <c r="D177" i="2"/>
  <c r="D184" i="2"/>
  <c r="D185" i="2"/>
  <c r="M190" i="2"/>
  <c r="Q189" i="2"/>
  <c r="D191" i="2"/>
  <c r="AB193" i="2"/>
  <c r="D196" i="2"/>
  <c r="D199" i="2"/>
  <c r="S201" i="2"/>
  <c r="D203" i="2"/>
  <c r="D209" i="2"/>
  <c r="D214" i="2"/>
  <c r="M216" i="2"/>
  <c r="Q215" i="2"/>
  <c r="D225" i="2"/>
  <c r="V227" i="2"/>
  <c r="AB227" i="2"/>
  <c r="P230" i="2"/>
  <c r="Y230" i="2"/>
  <c r="C231" i="2"/>
  <c r="G232" i="2"/>
  <c r="J233" i="2"/>
  <c r="H235" i="2"/>
  <c r="Y236" i="2"/>
  <c r="D239" i="2"/>
  <c r="D241" i="2"/>
  <c r="AB253" i="2"/>
  <c r="G257" i="2"/>
  <c r="B261" i="2"/>
  <c r="D262" i="2"/>
  <c r="W150" i="2"/>
  <c r="D152" i="2"/>
  <c r="D156" i="2"/>
  <c r="D161" i="2"/>
  <c r="X150" i="2"/>
  <c r="D164" i="2"/>
  <c r="D169" i="2"/>
  <c r="G176" i="2"/>
  <c r="M176" i="2"/>
  <c r="P180" i="2"/>
  <c r="B187" i="2"/>
  <c r="W189" i="2"/>
  <c r="P197" i="2"/>
  <c r="T201" i="2"/>
  <c r="T189" i="2" s="1"/>
  <c r="D207" i="2"/>
  <c r="D219" i="2"/>
  <c r="H215" i="2"/>
  <c r="D223" i="2"/>
  <c r="G227" i="2"/>
  <c r="Z215" i="2"/>
  <c r="B233" i="2"/>
  <c r="D234" i="2"/>
  <c r="B236" i="2"/>
  <c r="P236" i="2"/>
  <c r="T235" i="2"/>
  <c r="M238" i="2"/>
  <c r="C247" i="2"/>
  <c r="D249" i="2"/>
  <c r="B254" i="2"/>
  <c r="G11" i="2"/>
  <c r="C11" i="2"/>
  <c r="F10" i="2"/>
  <c r="E10" i="2"/>
  <c r="I10" i="2"/>
  <c r="P11" i="2"/>
  <c r="D17" i="2"/>
  <c r="S23" i="2"/>
  <c r="AB37" i="2"/>
  <c r="AA36" i="2"/>
  <c r="AB36" i="2" s="1"/>
  <c r="M43" i="2"/>
  <c r="Y43" i="2"/>
  <c r="L68" i="2"/>
  <c r="D71" i="2"/>
  <c r="M93" i="2"/>
  <c r="R10" i="2"/>
  <c r="D14" i="2"/>
  <c r="D16" i="2"/>
  <c r="J21" i="2"/>
  <c r="D21" i="2" s="1"/>
  <c r="J23" i="2"/>
  <c r="I22" i="2"/>
  <c r="J22" i="2" s="1"/>
  <c r="C33" i="2"/>
  <c r="G34" i="2"/>
  <c r="C34" i="2"/>
  <c r="F23" i="2"/>
  <c r="P37" i="2"/>
  <c r="O36" i="2"/>
  <c r="P36" i="2" s="1"/>
  <c r="P43" i="2"/>
  <c r="O42" i="2"/>
  <c r="P42" i="2" s="1"/>
  <c r="AB43" i="2"/>
  <c r="AA42" i="2"/>
  <c r="AB42" i="2" s="1"/>
  <c r="M12" i="2"/>
  <c r="D12" i="2" s="1"/>
  <c r="K11" i="2"/>
  <c r="B11" i="2" s="1"/>
  <c r="G19" i="2"/>
  <c r="D19" i="2" s="1"/>
  <c r="C19" i="2"/>
  <c r="E22" i="2"/>
  <c r="C35" i="2"/>
  <c r="M37" i="2"/>
  <c r="M79" i="2"/>
  <c r="R22" i="2"/>
  <c r="S22" i="2" s="1"/>
  <c r="H36" i="2"/>
  <c r="J36" i="2" s="1"/>
  <c r="L36" i="2"/>
  <c r="M36" i="2" s="1"/>
  <c r="X36" i="2"/>
  <c r="Y36" i="2" s="1"/>
  <c r="E37" i="2"/>
  <c r="U37" i="2"/>
  <c r="AB38" i="2"/>
  <c r="D38" i="2" s="1"/>
  <c r="B40" i="2"/>
  <c r="V40" i="2"/>
  <c r="H42" i="2"/>
  <c r="L42" i="2"/>
  <c r="M42" i="2" s="1"/>
  <c r="T42" i="2"/>
  <c r="V42" i="2" s="1"/>
  <c r="X42" i="2"/>
  <c r="Y42" i="2" s="1"/>
  <c r="Q43" i="2"/>
  <c r="B43" i="2" s="1"/>
  <c r="B44" i="2"/>
  <c r="K47" i="2"/>
  <c r="M47" i="2" s="1"/>
  <c r="O47" i="2"/>
  <c r="P47" i="2" s="1"/>
  <c r="W47" i="2"/>
  <c r="Y47" i="2" s="1"/>
  <c r="AA47" i="2"/>
  <c r="AB47" i="2" s="1"/>
  <c r="N55" i="2"/>
  <c r="P55" i="2" s="1"/>
  <c r="R55" i="2"/>
  <c r="S55" i="2" s="1"/>
  <c r="Z55" i="2"/>
  <c r="K56" i="2"/>
  <c r="K55" i="2" s="1"/>
  <c r="B64" i="2"/>
  <c r="V64" i="2"/>
  <c r="F68" i="2"/>
  <c r="R68" i="2"/>
  <c r="S68" i="2" s="1"/>
  <c r="K69" i="2"/>
  <c r="K68" i="2" s="1"/>
  <c r="F79" i="2"/>
  <c r="R79" i="2"/>
  <c r="S79" i="2" s="1"/>
  <c r="C80" i="2"/>
  <c r="F83" i="2"/>
  <c r="R83" i="2"/>
  <c r="C84" i="2"/>
  <c r="C88" i="2"/>
  <c r="F92" i="2"/>
  <c r="C93" i="2"/>
  <c r="M94" i="2"/>
  <c r="D94" i="2" s="1"/>
  <c r="J95" i="2"/>
  <c r="Y105" i="2"/>
  <c r="X104" i="2"/>
  <c r="S116" i="2"/>
  <c r="C119" i="2"/>
  <c r="B35" i="2"/>
  <c r="L56" i="2"/>
  <c r="O79" i="2"/>
  <c r="P79" i="2" s="1"/>
  <c r="AA79" i="2"/>
  <c r="AB79" i="2" s="1"/>
  <c r="O83" i="2"/>
  <c r="AA83" i="2"/>
  <c r="O92" i="2"/>
  <c r="AA92" i="2"/>
  <c r="AB92" i="2" s="1"/>
  <c r="V95" i="2"/>
  <c r="G100" i="2"/>
  <c r="C100" i="2"/>
  <c r="C105" i="2"/>
  <c r="D111" i="2"/>
  <c r="S96" i="2"/>
  <c r="D96" i="2" s="1"/>
  <c r="C96" i="2"/>
  <c r="R95" i="2"/>
  <c r="R104" i="2"/>
  <c r="F47" i="2"/>
  <c r="R47" i="2"/>
  <c r="S47" i="2" s="1"/>
  <c r="C48" i="2"/>
  <c r="I55" i="2"/>
  <c r="J55" i="2" s="1"/>
  <c r="F56" i="2"/>
  <c r="C60" i="2"/>
  <c r="C66" i="2"/>
  <c r="E68" i="2"/>
  <c r="U68" i="2"/>
  <c r="V68" i="2" s="1"/>
  <c r="E79" i="2"/>
  <c r="B79" i="2" s="1"/>
  <c r="I79" i="2"/>
  <c r="J79" i="2" s="1"/>
  <c r="U79" i="2"/>
  <c r="V79" i="2" s="1"/>
  <c r="E83" i="2"/>
  <c r="I83" i="2"/>
  <c r="U83" i="2"/>
  <c r="E92" i="2"/>
  <c r="I92" i="2"/>
  <c r="J92" i="2" s="1"/>
  <c r="U92" i="2"/>
  <c r="S100" i="2"/>
  <c r="L104" i="2"/>
  <c r="M113" i="2"/>
  <c r="D113" i="2" s="1"/>
  <c r="C113" i="2"/>
  <c r="G116" i="2"/>
  <c r="E104" i="2"/>
  <c r="I104" i="2"/>
  <c r="U104" i="2"/>
  <c r="J105" i="2"/>
  <c r="C116" i="2"/>
  <c r="P119" i="2"/>
  <c r="C128" i="2"/>
  <c r="E134" i="2"/>
  <c r="I134" i="2"/>
  <c r="U134" i="2"/>
  <c r="B135" i="2"/>
  <c r="J135" i="2"/>
  <c r="J139" i="2"/>
  <c r="R139" i="2"/>
  <c r="C139" i="2" s="1"/>
  <c r="C140" i="2"/>
  <c r="C142" i="2"/>
  <c r="R143" i="2"/>
  <c r="C144" i="2"/>
  <c r="AA150" i="2"/>
  <c r="M162" i="2"/>
  <c r="Y162" i="2"/>
  <c r="C172" i="2"/>
  <c r="C180" i="2"/>
  <c r="AB180" i="2"/>
  <c r="D188" i="2"/>
  <c r="O189" i="2"/>
  <c r="Y193" i="2"/>
  <c r="V204" i="2"/>
  <c r="M208" i="2"/>
  <c r="C208" i="2"/>
  <c r="L201" i="2"/>
  <c r="T215" i="2"/>
  <c r="C143" i="2"/>
  <c r="R162" i="2"/>
  <c r="D183" i="2"/>
  <c r="S187" i="2"/>
  <c r="J190" i="2"/>
  <c r="S190" i="2"/>
  <c r="D195" i="2"/>
  <c r="D200" i="2"/>
  <c r="B204" i="2"/>
  <c r="B190" i="2"/>
  <c r="Y204" i="2"/>
  <c r="C204" i="2"/>
  <c r="X201" i="2"/>
  <c r="L134" i="2"/>
  <c r="M134" i="2" s="1"/>
  <c r="X134" i="2"/>
  <c r="Q139" i="2"/>
  <c r="B139" i="2" s="1"/>
  <c r="Q143" i="2"/>
  <c r="B143" i="2" s="1"/>
  <c r="F150" i="2"/>
  <c r="C151" i="2"/>
  <c r="G187" i="2"/>
  <c r="C187" i="2"/>
  <c r="P187" i="2"/>
  <c r="AA189" i="2"/>
  <c r="G190" i="2"/>
  <c r="V190" i="2"/>
  <c r="J193" i="2"/>
  <c r="B193" i="2"/>
  <c r="Y197" i="2"/>
  <c r="Z201" i="2"/>
  <c r="Z189" i="2" s="1"/>
  <c r="B212" i="2"/>
  <c r="E201" i="2"/>
  <c r="E189" i="2" s="1"/>
  <c r="I201" i="2"/>
  <c r="I189" i="2" s="1"/>
  <c r="U201" i="2"/>
  <c r="AB212" i="2"/>
  <c r="D212" i="2" s="1"/>
  <c r="I215" i="2"/>
  <c r="L230" i="2"/>
  <c r="M230" i="2" s="1"/>
  <c r="L235" i="2"/>
  <c r="X235" i="2"/>
  <c r="D243" i="2"/>
  <c r="AB247" i="2"/>
  <c r="AA246" i="2"/>
  <c r="E250" i="2"/>
  <c r="G250" i="2" s="1"/>
  <c r="B251" i="2"/>
  <c r="C254" i="2"/>
  <c r="M254" i="2"/>
  <c r="L253" i="2"/>
  <c r="V254" i="2"/>
  <c r="Y257" i="2"/>
  <c r="W256" i="2"/>
  <c r="Y256" i="2" s="1"/>
  <c r="S261" i="2"/>
  <c r="R260" i="2"/>
  <c r="S260" i="2" s="1"/>
  <c r="D44" i="3"/>
  <c r="D55" i="3"/>
  <c r="C190" i="2"/>
  <c r="B197" i="2"/>
  <c r="C206" i="2"/>
  <c r="F215" i="2"/>
  <c r="R215" i="2"/>
  <c r="C216" i="2"/>
  <c r="C220" i="2"/>
  <c r="E230" i="2"/>
  <c r="B230" i="2" s="1"/>
  <c r="U230" i="2"/>
  <c r="V230" i="2" s="1"/>
  <c r="C233" i="2"/>
  <c r="I235" i="2"/>
  <c r="U235" i="2"/>
  <c r="D237" i="2"/>
  <c r="B242" i="2"/>
  <c r="Y247" i="2"/>
  <c r="W246" i="2"/>
  <c r="G251" i="2"/>
  <c r="V251" i="2"/>
  <c r="U250" i="2"/>
  <c r="J253" i="2"/>
  <c r="B253" i="2"/>
  <c r="P257" i="2"/>
  <c r="O256" i="2"/>
  <c r="P256" i="2" s="1"/>
  <c r="P261" i="2"/>
  <c r="N260" i="2"/>
  <c r="P260" i="2" s="1"/>
  <c r="F42" i="3"/>
  <c r="S246" i="2"/>
  <c r="R245" i="2"/>
  <c r="P247" i="2"/>
  <c r="O246" i="2"/>
  <c r="Y254" i="2"/>
  <c r="X253" i="2"/>
  <c r="Y253" i="2" s="1"/>
  <c r="G256" i="2"/>
  <c r="B257" i="2"/>
  <c r="K256" i="2"/>
  <c r="G261" i="2"/>
  <c r="C261" i="2"/>
  <c r="F260" i="2"/>
  <c r="G51" i="3"/>
  <c r="D48" i="3"/>
  <c r="G48" i="3" s="1"/>
  <c r="X215" i="2"/>
  <c r="O235" i="2"/>
  <c r="AA235" i="2"/>
  <c r="J238" i="2"/>
  <c r="F238" i="2"/>
  <c r="G240" i="2"/>
  <c r="D240" i="2" s="1"/>
  <c r="C240" i="2"/>
  <c r="G242" i="2"/>
  <c r="C242" i="2"/>
  <c r="B247" i="2"/>
  <c r="M247" i="2"/>
  <c r="K246" i="2"/>
  <c r="I250" i="2"/>
  <c r="J251" i="2"/>
  <c r="S251" i="2"/>
  <c r="M257" i="2"/>
  <c r="AB257" i="2"/>
  <c r="AA256" i="2"/>
  <c r="AB256" i="2" s="1"/>
  <c r="AB261" i="2"/>
  <c r="Z260" i="2"/>
  <c r="AB260" i="2" s="1"/>
  <c r="C251" i="2"/>
  <c r="D208" i="2" l="1"/>
  <c r="D232" i="2"/>
  <c r="V23" i="2"/>
  <c r="AB215" i="2"/>
  <c r="D204" i="2"/>
  <c r="V56" i="2"/>
  <c r="AB134" i="2"/>
  <c r="D60" i="2"/>
  <c r="D40" i="2"/>
  <c r="E235" i="2"/>
  <c r="B235" i="2" s="1"/>
  <c r="C69" i="2"/>
  <c r="D67" i="2"/>
  <c r="AB104" i="2"/>
  <c r="J235" i="2"/>
  <c r="D128" i="2"/>
  <c r="B22" i="2"/>
  <c r="S215" i="2"/>
  <c r="Y235" i="2"/>
  <c r="C176" i="2"/>
  <c r="U55" i="2"/>
  <c r="V55" i="2" s="1"/>
  <c r="Y104" i="2"/>
  <c r="B23" i="2"/>
  <c r="S189" i="2"/>
  <c r="M95" i="2"/>
  <c r="P235" i="2"/>
  <c r="D216" i="2"/>
  <c r="D84" i="2"/>
  <c r="M235" i="2"/>
  <c r="P189" i="2"/>
  <c r="O150" i="2"/>
  <c r="O82" i="2" s="1"/>
  <c r="V104" i="2"/>
  <c r="V22" i="2"/>
  <c r="D34" i="2"/>
  <c r="B56" i="2"/>
  <c r="V134" i="2"/>
  <c r="D227" i="2"/>
  <c r="AB189" i="2"/>
  <c r="Y134" i="2"/>
  <c r="E55" i="2"/>
  <c r="B55" i="2" s="1"/>
  <c r="B95" i="2"/>
  <c r="L92" i="2"/>
  <c r="M92" i="2" s="1"/>
  <c r="D176" i="2"/>
  <c r="P104" i="2"/>
  <c r="D80" i="2"/>
  <c r="AB150" i="2"/>
  <c r="D48" i="2"/>
  <c r="D236" i="2"/>
  <c r="D187" i="2"/>
  <c r="Y150" i="2"/>
  <c r="C250" i="2"/>
  <c r="D242" i="2"/>
  <c r="Y215" i="2"/>
  <c r="S245" i="2"/>
  <c r="D135" i="2"/>
  <c r="M104" i="2"/>
  <c r="S119" i="2"/>
  <c r="D119" i="2" s="1"/>
  <c r="B119" i="2"/>
  <c r="D233" i="2"/>
  <c r="D35" i="2"/>
  <c r="D220" i="2"/>
  <c r="Y83" i="2"/>
  <c r="P134" i="2"/>
  <c r="D251" i="2"/>
  <c r="N82" i="2"/>
  <c r="M105" i="2"/>
  <c r="D105" i="2" s="1"/>
  <c r="I68" i="2"/>
  <c r="J68" i="2" s="1"/>
  <c r="D197" i="2"/>
  <c r="H82" i="2"/>
  <c r="Y92" i="2"/>
  <c r="B105" i="2"/>
  <c r="V235" i="2"/>
  <c r="F245" i="2"/>
  <c r="P150" i="2"/>
  <c r="D88" i="2"/>
  <c r="J150" i="2"/>
  <c r="J215" i="2"/>
  <c r="D257" i="2"/>
  <c r="C246" i="2"/>
  <c r="V201" i="2"/>
  <c r="P92" i="2"/>
  <c r="D64" i="2"/>
  <c r="S104" i="2"/>
  <c r="Q150" i="2"/>
  <c r="B150" i="2" s="1"/>
  <c r="B151" i="2"/>
  <c r="Z82" i="2"/>
  <c r="D193" i="2"/>
  <c r="T82" i="2"/>
  <c r="B92" i="2"/>
  <c r="S151" i="2"/>
  <c r="D151" i="2" s="1"/>
  <c r="J11" i="2"/>
  <c r="L215" i="2"/>
  <c r="M215" i="2" s="1"/>
  <c r="D261" i="2"/>
  <c r="D247" i="2"/>
  <c r="AB235" i="2"/>
  <c r="D254" i="2"/>
  <c r="E215" i="2"/>
  <c r="B215" i="2" s="1"/>
  <c r="D180" i="2"/>
  <c r="B68" i="2"/>
  <c r="D93" i="2"/>
  <c r="M69" i="2"/>
  <c r="D69" i="2" s="1"/>
  <c r="V150" i="2"/>
  <c r="J56" i="2"/>
  <c r="S235" i="2"/>
  <c r="V92" i="2"/>
  <c r="W82" i="2"/>
  <c r="K82" i="2"/>
  <c r="D90" i="2"/>
  <c r="P215" i="2"/>
  <c r="Y201" i="2"/>
  <c r="X189" i="2"/>
  <c r="Y189" i="2" s="1"/>
  <c r="S162" i="2"/>
  <c r="C162" i="2"/>
  <c r="G83" i="2"/>
  <c r="C83" i="2"/>
  <c r="G68" i="2"/>
  <c r="AB55" i="2"/>
  <c r="Z9" i="2"/>
  <c r="Z8" i="2" s="1"/>
  <c r="J42" i="2"/>
  <c r="B260" i="2"/>
  <c r="G55" i="3"/>
  <c r="D54" i="3"/>
  <c r="G54" i="3" s="1"/>
  <c r="U215" i="2"/>
  <c r="V215" i="2" s="1"/>
  <c r="AB201" i="2"/>
  <c r="U189" i="2"/>
  <c r="V189" i="2" s="1"/>
  <c r="R150" i="2"/>
  <c r="S143" i="2"/>
  <c r="D143" i="2" s="1"/>
  <c r="Q134" i="2"/>
  <c r="J104" i="2"/>
  <c r="C104" i="2"/>
  <c r="B83" i="2"/>
  <c r="G56" i="2"/>
  <c r="C56" i="2"/>
  <c r="F55" i="2"/>
  <c r="G150" i="2"/>
  <c r="B37" i="2"/>
  <c r="E36" i="2"/>
  <c r="G37" i="2"/>
  <c r="B47" i="2"/>
  <c r="C42" i="2"/>
  <c r="S10" i="2"/>
  <c r="R9" i="2"/>
  <c r="B69" i="2"/>
  <c r="X9" i="2"/>
  <c r="T9" i="2"/>
  <c r="W9" i="2"/>
  <c r="G10" i="2"/>
  <c r="C10" i="2"/>
  <c r="Y246" i="2"/>
  <c r="W245" i="2"/>
  <c r="B189" i="2"/>
  <c r="G189" i="2"/>
  <c r="J83" i="2"/>
  <c r="I82" i="2"/>
  <c r="P83" i="2"/>
  <c r="G92" i="2"/>
  <c r="V37" i="2"/>
  <c r="U36" i="2"/>
  <c r="V36" i="2" s="1"/>
  <c r="C37" i="2"/>
  <c r="M11" i="2"/>
  <c r="K10" i="2"/>
  <c r="H9" i="2"/>
  <c r="G238" i="2"/>
  <c r="D238" i="2" s="1"/>
  <c r="C238" i="2"/>
  <c r="F235" i="2"/>
  <c r="F82" i="2" s="1"/>
  <c r="C256" i="2"/>
  <c r="P246" i="2"/>
  <c r="O245" i="2"/>
  <c r="P245" i="2" s="1"/>
  <c r="V250" i="2"/>
  <c r="U245" i="2"/>
  <c r="V245" i="2" s="1"/>
  <c r="M246" i="2"/>
  <c r="K245" i="2"/>
  <c r="B246" i="2"/>
  <c r="C230" i="2"/>
  <c r="G260" i="2"/>
  <c r="D260" i="2" s="1"/>
  <c r="C260" i="2"/>
  <c r="M256" i="2"/>
  <c r="D256" i="2" s="1"/>
  <c r="B256" i="2"/>
  <c r="G44" i="3"/>
  <c r="D42" i="3"/>
  <c r="G42" i="3" s="1"/>
  <c r="X245" i="2"/>
  <c r="J201" i="2"/>
  <c r="C201" i="2"/>
  <c r="M201" i="2"/>
  <c r="L189" i="2"/>
  <c r="J134" i="2"/>
  <c r="B104" i="2"/>
  <c r="G104" i="2"/>
  <c r="M150" i="2"/>
  <c r="D116" i="2"/>
  <c r="D100" i="2"/>
  <c r="AA9" i="2"/>
  <c r="AA8" i="2" s="1"/>
  <c r="AB8" i="2" s="1"/>
  <c r="L245" i="2"/>
  <c r="M253" i="2"/>
  <c r="D253" i="2" s="1"/>
  <c r="C253" i="2"/>
  <c r="E245" i="2"/>
  <c r="B250" i="2"/>
  <c r="S139" i="2"/>
  <c r="D139" i="2" s="1"/>
  <c r="R134" i="2"/>
  <c r="Q42" i="2"/>
  <c r="S43" i="2"/>
  <c r="D43" i="2" s="1"/>
  <c r="J250" i="2"/>
  <c r="I245" i="2"/>
  <c r="J245" i="2" s="1"/>
  <c r="AB246" i="2"/>
  <c r="AA245" i="2"/>
  <c r="AB245" i="2" s="1"/>
  <c r="B201" i="2"/>
  <c r="G201" i="2"/>
  <c r="D190" i="2"/>
  <c r="J189" i="2"/>
  <c r="G230" i="2"/>
  <c r="D230" i="2" s="1"/>
  <c r="G134" i="2"/>
  <c r="V83" i="2"/>
  <c r="G47" i="2"/>
  <c r="D47" i="2" s="1"/>
  <c r="C47" i="2"/>
  <c r="S95" i="2"/>
  <c r="C95" i="2"/>
  <c r="AB83" i="2"/>
  <c r="AA82" i="2"/>
  <c r="M56" i="2"/>
  <c r="L55" i="2"/>
  <c r="M55" i="2" s="1"/>
  <c r="R92" i="2"/>
  <c r="S92" i="2" s="1"/>
  <c r="S83" i="2"/>
  <c r="G79" i="2"/>
  <c r="D79" i="2" s="1"/>
  <c r="C79" i="2"/>
  <c r="O9" i="2"/>
  <c r="G23" i="2"/>
  <c r="C23" i="2"/>
  <c r="F22" i="2"/>
  <c r="M68" i="2"/>
  <c r="J10" i="2"/>
  <c r="N9" i="2"/>
  <c r="N8" i="2" l="1"/>
  <c r="D23" i="2"/>
  <c r="H8" i="2"/>
  <c r="T8" i="2"/>
  <c r="W8" i="2"/>
  <c r="O8" i="2"/>
  <c r="P8" i="2" s="1"/>
  <c r="X8" i="2"/>
  <c r="Y8" i="2" s="1"/>
  <c r="C150" i="2"/>
  <c r="D95" i="2"/>
  <c r="B245" i="2"/>
  <c r="U9" i="2"/>
  <c r="E9" i="2"/>
  <c r="I9" i="2"/>
  <c r="Y245" i="2"/>
  <c r="P82" i="2"/>
  <c r="AB82" i="2"/>
  <c r="X82" i="2"/>
  <c r="Y82" i="2" s="1"/>
  <c r="D68" i="2"/>
  <c r="S150" i="2"/>
  <c r="D150" i="2" s="1"/>
  <c r="L9" i="2"/>
  <c r="C189" i="2"/>
  <c r="G215" i="2"/>
  <c r="J82" i="2"/>
  <c r="E82" i="2"/>
  <c r="G82" i="2" s="1"/>
  <c r="D11" i="2"/>
  <c r="C68" i="2"/>
  <c r="D250" i="2"/>
  <c r="F9" i="2"/>
  <c r="F8" i="2" s="1"/>
  <c r="U82" i="2"/>
  <c r="V82" i="2" s="1"/>
  <c r="D104" i="2"/>
  <c r="D215" i="2"/>
  <c r="D246" i="2"/>
  <c r="Q82" i="2"/>
  <c r="K9" i="2"/>
  <c r="K8" i="2" s="1"/>
  <c r="M10" i="2"/>
  <c r="D10" i="2" s="1"/>
  <c r="S134" i="2"/>
  <c r="D134" i="2" s="1"/>
  <c r="C245" i="2"/>
  <c r="G235" i="2"/>
  <c r="D235" i="2" s="1"/>
  <c r="C235" i="2"/>
  <c r="D92" i="2"/>
  <c r="Y9" i="2"/>
  <c r="C36" i="2"/>
  <c r="B36" i="2"/>
  <c r="G36" i="2"/>
  <c r="D36" i="2" s="1"/>
  <c r="B10" i="2"/>
  <c r="Q9" i="2"/>
  <c r="Q8" i="2" s="1"/>
  <c r="S42" i="2"/>
  <c r="D42" i="2" s="1"/>
  <c r="M189" i="2"/>
  <c r="D189" i="2" s="1"/>
  <c r="L82" i="2"/>
  <c r="M82" i="2" s="1"/>
  <c r="D201" i="2"/>
  <c r="C92" i="2"/>
  <c r="D37" i="2"/>
  <c r="G55" i="2"/>
  <c r="D55" i="2" s="1"/>
  <c r="C55" i="2"/>
  <c r="R82" i="2"/>
  <c r="R8" i="2" s="1"/>
  <c r="P9" i="2"/>
  <c r="B134" i="2"/>
  <c r="M245" i="2"/>
  <c r="AB9" i="2"/>
  <c r="C134" i="2"/>
  <c r="G245" i="2"/>
  <c r="C215" i="2"/>
  <c r="D56" i="2"/>
  <c r="B42" i="2"/>
  <c r="D83" i="2"/>
  <c r="D162" i="2"/>
  <c r="G22" i="2"/>
  <c r="D22" i="2" s="1"/>
  <c r="C22" i="2"/>
  <c r="J9" i="2" l="1"/>
  <c r="I8" i="2"/>
  <c r="J8" i="2" s="1"/>
  <c r="V9" i="2"/>
  <c r="U8" i="2"/>
  <c r="V8" i="2" s="1"/>
  <c r="S8" i="2"/>
  <c r="L8" i="2"/>
  <c r="M8" i="2" s="1"/>
  <c r="E8" i="2"/>
  <c r="G8" i="2" s="1"/>
  <c r="D245" i="2"/>
  <c r="B82" i="2"/>
  <c r="C9" i="2"/>
  <c r="S82" i="2"/>
  <c r="D82" i="2" s="1"/>
  <c r="B8" i="2"/>
  <c r="G9" i="2"/>
  <c r="M9" i="2"/>
  <c r="S9" i="2"/>
  <c r="B9" i="2"/>
  <c r="C82" i="2"/>
  <c r="D8" i="2" l="1"/>
  <c r="D9" i="2"/>
  <c r="C8" i="2"/>
</calcChain>
</file>

<file path=xl/sharedStrings.xml><?xml version="1.0" encoding="utf-8"?>
<sst xmlns="http://schemas.openxmlformats.org/spreadsheetml/2006/main" count="416" uniqueCount="308">
  <si>
    <t>Реконструкция на сграда на ПМГ "В. Друмев" за осигуряване на едносменен режим на обучение</t>
  </si>
  <si>
    <t>ВСИЧКО РАЗХОДИ:</t>
  </si>
  <si>
    <t>Сн. Данева - Иванова</t>
  </si>
  <si>
    <t>Зам. - кмет "Финанси"</t>
  </si>
  <si>
    <t>Съгласувал,</t>
  </si>
  <si>
    <t>М. Маринов</t>
  </si>
  <si>
    <t>Директор дирекция БФ</t>
  </si>
  <si>
    <t>Д. Данчева</t>
  </si>
  <si>
    <t>Гл. счетоводител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</si>
  <si>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</si>
  <si>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</si>
  <si>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</si>
  <si>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</si>
  <si>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</si>
  <si>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</si>
  <si>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</si>
  <si>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</si>
  <si>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</si>
  <si>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</si>
  <si>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</si>
  <si>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</si>
  <si>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</si>
  <si>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</si>
  <si>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</si>
  <si>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</si>
  <si>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</si>
  <si>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</si>
  <si>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</si>
  <si>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</si>
  <si>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</si>
  <si>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</si>
  <si>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</si>
  <si>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</si>
  <si>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</si>
  <si>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</si>
  <si>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</si>
  <si>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</si>
  <si>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</si>
  <si>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</si>
  <si>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</si>
  <si>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</si>
  <si>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</si>
  <si>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</si>
  <si>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</si>
  <si>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</si>
  <si>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</si>
  <si>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</si>
  <si>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</si>
  <si>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</si>
  <si>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</si>
  <si>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</si>
  <si>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</si>
  <si>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</si>
  <si>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</si>
  <si>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</si>
  <si>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</si>
  <si>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</si>
  <si>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</si>
  <si>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</si>
  <si>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</si>
  <si>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</si>
  <si>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</si>
  <si>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</si>
  <si>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ЦРДМ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</si>
  <si>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</si>
  <si>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</si>
  <si>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</si>
  <si>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</si>
  <si>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</si>
  <si>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</si>
  <si>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</si>
  <si>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</si>
  <si>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</si>
  <si>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</si>
  <si>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</si>
  <si>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</si>
  <si>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</si>
  <si>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</si>
  <si>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</si>
  <si>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</si>
  <si>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</si>
  <si>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</si>
  <si>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</si>
  <si>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</si>
  <si>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</si>
  <si>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</si>
  <si>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</si>
  <si>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</si>
  <si>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</si>
  <si>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</si>
  <si>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</si>
  <si>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</si>
  <si>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</si>
  <si>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</si>
  <si>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</si>
  <si>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</si>
  <si>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</si>
  <si>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</si>
  <si>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</si>
  <si>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</si>
  <si>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</si>
  <si>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</si>
  <si>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</si>
  <si>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</si>
  <si>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</si>
  <si>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</si>
  <si>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</si>
  <si>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</si>
  <si>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</si>
  <si>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</si>
  <si>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</si>
  <si>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</si>
  <si>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</si>
  <si>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</si>
  <si>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</si>
  <si>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</si>
  <si>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</si>
  <si>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ОУО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</si>
  <si>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</si>
  <si>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</si>
  <si>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</si>
  <si>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</si>
  <si>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</si>
  <si>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</si>
  <si>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</si>
  <si>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</si>
  <si>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</si>
  <si>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</si>
  <si>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</si>
  <si>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СОУ „Емилиян Станев“ - Подопочистваща машина, гр. Велико Търново</t>
  </si>
  <si>
    <t>СОУ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</si>
  <si>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</si>
  <si>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</si>
  <si>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"Шарения замък" - Доставка и монтаж на мебели</t>
  </si>
  <si>
    <t>Придобиване на компютри за нуждите на Детските ясли</t>
  </si>
  <si>
    <t>ПИЦ Придобиване на преносими компютри 2 бр.</t>
  </si>
  <si>
    <t>ПИЦ Закупуване на мултимедиен проектор</t>
  </si>
  <si>
    <t>Заснемане, проектиране и остойностяване на част "Пожароизвестителна система"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</si>
  <si>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</si>
  <si>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</si>
  <si>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</si>
  <si>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</si>
  <si>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</si>
  <si>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</si>
  <si>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</si>
  <si>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ДМК - Закупуване на работни маси и шкафове</t>
  </si>
  <si>
    <t>Закупуване на компютри в Преходно жилище 1 бр.</t>
  </si>
  <si>
    <t>ДПЛУИ Церова Кория - Преносим компютър</t>
  </si>
  <si>
    <t>ДПЛУИ Церова Кория - пкомпютърна конфигурация</t>
  </si>
  <si>
    <t>Интерактивен магичен под ДЦДМУИ "Дъга"</t>
  </si>
  <si>
    <t>ЦСРИ Бойчо войвода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</si>
  <si>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</si>
  <si>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</si>
  <si>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</si>
  <si>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</si>
  <si>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</si>
  <si>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</si>
  <si>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</si>
  <si>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</si>
  <si>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</si>
  <si>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</si>
  <si>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</si>
  <si>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</si>
  <si>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ЦСРИ Бойчо войвода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</si>
  <si>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</si>
  <si>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</si>
  <si>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ДСХ В Търново - Закупуване на локална вентилационна система</t>
  </si>
  <si>
    <t>Заснемане, проектиране и остойностяване на част "Пожароизвестителна система" за ДПЛУИ,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</si>
  <si>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</si>
  <si>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</si>
  <si>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</si>
  <si>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</si>
  <si>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</si>
  <si>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I и II ул. Цветарска 14 - Закупуване на бойлер с 2 серпентини</t>
  </si>
  <si>
    <t>ЦНСТ Церова кория - Доставка и монтаж на кухня</t>
  </si>
  <si>
    <t>ДПЛУИ Церова Кория - Закупуване на високооборотна перална машина</t>
  </si>
  <si>
    <t>ДПЛУИ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</si>
  <si>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</si>
  <si>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</si>
  <si>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</si>
  <si>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</si>
  <si>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</si>
  <si>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</si>
  <si>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</si>
  <si>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</si>
  <si>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</si>
  <si>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</si>
  <si>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</si>
  <si>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</si>
  <si>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</si>
  <si>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</si>
  <si>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</si>
  <si>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</si>
  <si>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</si>
  <si>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</si>
  <si>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</si>
  <si>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</si>
  <si>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</si>
  <si>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</si>
  <si>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</si>
  <si>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</si>
  <si>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</si>
  <si>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</si>
  <si>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</si>
  <si>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</si>
  <si>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</si>
  <si>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</si>
  <si>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</si>
  <si>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</si>
  <si>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</si>
  <si>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</si>
  <si>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</si>
  <si>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</si>
  <si>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</si>
  <si>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</si>
  <si>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</si>
  <si>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</si>
  <si>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</si>
  <si>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</si>
  <si>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</si>
  <si>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</si>
  <si>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</si>
  <si>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</si>
  <si>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</si>
  <si>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</si>
  <si>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</si>
  <si>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</si>
  <si>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</si>
  <si>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</si>
  <si>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</si>
  <si>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</si>
  <si>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</si>
  <si>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</si>
  <si>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</si>
  <si>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</si>
  <si>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</si>
  <si>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</si>
  <si>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</si>
  <si>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</si>
  <si>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</si>
  <si>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2022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</si>
  <si>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</si>
  <si>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</si>
  <si>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</si>
  <si>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</si>
  <si>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</si>
  <si>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</si>
  <si>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</si>
  <si>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</si>
  <si>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</si>
  <si>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</si>
  <si>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</si>
  <si>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</si>
  <si>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</si>
  <si>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</si>
  <si>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</si>
  <si>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</si>
  <si>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</si>
  <si>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</si>
  <si>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</si>
  <si>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</si>
  <si>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</si>
  <si>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</si>
  <si>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</si>
  <si>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</si>
  <si>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</si>
  <si>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</si>
  <si>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</si>
  <si>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</si>
  <si>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</si>
  <si>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</si>
  <si>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</si>
  <si>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</si>
  <si>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</si>
  <si>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</si>
  <si>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</si>
  <si>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</si>
  <si>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</si>
  <si>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</si>
  <si>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</si>
  <si>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</si>
  <si>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</si>
  <si>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</si>
  <si>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</si>
  <si>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</si>
  <si>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</si>
  <si>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</si>
  <si>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</si>
  <si>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</si>
  <si>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</si>
  <si>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</si>
  <si>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</si>
  <si>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</si>
  <si>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</si>
  <si>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</si>
  <si>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</si>
  <si>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</si>
  <si>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</si>
  <si>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</si>
  <si>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</si>
  <si>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</si>
  <si>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</si>
  <si>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</si>
  <si>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инж. Даниел Панов</t>
  </si>
  <si>
    <t>Кмет на Община Велико Търново</t>
  </si>
  <si>
    <t>К. Денева</t>
  </si>
  <si>
    <t>Ст.експерт дирекция "Бюджет и финанси"</t>
  </si>
  <si>
    <t>инж. Д. 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</si>
</sst>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yy\ &quot;г.&quot;;@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0" xfId="3" applyFont="1" applyFill="1" applyBorder="1" applyAlignment="1">
      <alignment wrapText="1"/>
    </xf>
    <xf numFmtId="0" fontId="4" fillId="0" borderId="0" xfId="4" applyFont="1" applyFill="1" applyAlignment="1"/>
    <xf numFmtId="0" fontId="4" fillId="0" borderId="0" xfId="4" applyFont="1" applyFill="1" applyAlignment="1">
      <alignment wrapText="1"/>
    </xf>
    <xf numFmtId="0" fontId="4" fillId="0" borderId="0" xfId="4" applyFont="1" applyFill="1"/>
    <xf numFmtId="0" fontId="4" fillId="0" borderId="0" xfId="4" applyFont="1" applyFill="1" applyBorder="1" applyAlignment="1">
      <alignment wrapText="1"/>
    </xf>
    <xf numFmtId="0" fontId="8" fillId="0" borderId="0" xfId="4" applyFont="1" applyFill="1"/>
    <xf numFmtId="0" fontId="9" fillId="0" borderId="0" xfId="4" applyFont="1" applyFill="1" applyAlignment="1">
      <alignment horizontal="right"/>
    </xf>
    <xf numFmtId="0" fontId="2" fillId="0" borderId="0" xfId="4" applyFont="1" applyFill="1" applyAlignment="1">
      <alignment horizontal="right"/>
    </xf>
    <xf numFmtId="0" fontId="2" fillId="0" borderId="0" xfId="4" applyFont="1" applyFill="1"/>
    <xf numFmtId="0" fontId="2" fillId="0" borderId="0" xfId="4" applyFont="1" applyFill="1" applyAlignment="1">
      <alignment horizontal="centerContinuous"/>
    </xf>
    <xf numFmtId="0" fontId="2" fillId="0" borderId="0" xfId="4" applyNumberFormat="1" applyFont="1" applyFill="1" applyAlignment="1">
      <alignment horizontal="centerContinuous"/>
    </xf>
    <xf numFmtId="0" fontId="2" fillId="0" borderId="0" xfId="4" applyNumberFormat="1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2" fillId="0" borderId="0" xfId="4" applyFont="1" applyFill="1" applyAlignment="1"/>
    <xf numFmtId="0" fontId="2" fillId="0" borderId="3" xfId="2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wrapText="1"/>
    </xf>
    <xf numFmtId="3" fontId="2" fillId="0" borderId="3" xfId="4" applyNumberFormat="1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wrapText="1"/>
    </xf>
    <xf numFmtId="3" fontId="2" fillId="0" borderId="4" xfId="3" applyNumberFormat="1" applyFont="1" applyFill="1" applyBorder="1" applyAlignment="1">
      <alignment horizontal="center" wrapText="1"/>
    </xf>
    <xf numFmtId="3" fontId="2" fillId="0" borderId="4" xfId="3" applyNumberFormat="1" applyFont="1" applyFill="1" applyBorder="1"/>
    <xf numFmtId="0" fontId="2" fillId="0" borderId="0" xfId="4" applyFont="1" applyFill="1" applyBorder="1"/>
    <xf numFmtId="0" fontId="2" fillId="0" borderId="3" xfId="3" applyFont="1" applyFill="1" applyBorder="1" applyAlignment="1">
      <alignment wrapText="1"/>
    </xf>
    <xf numFmtId="3" fontId="2" fillId="0" borderId="3" xfId="3" applyNumberFormat="1" applyFont="1" applyFill="1" applyBorder="1"/>
    <xf numFmtId="0" fontId="4" fillId="0" borderId="0" xfId="4" applyFont="1" applyFill="1" applyBorder="1"/>
    <xf numFmtId="3" fontId="2" fillId="0" borderId="3" xfId="3" applyNumberFormat="1" applyFont="1" applyFill="1" applyBorder="1" applyAlignment="1"/>
    <xf numFmtId="0" fontId="4" fillId="0" borderId="3" xfId="4" applyFont="1" applyFill="1" applyBorder="1" applyAlignment="1">
      <alignment wrapText="1"/>
    </xf>
    <xf numFmtId="3" fontId="4" fillId="0" borderId="3" xfId="3" applyNumberFormat="1" applyFont="1" applyFill="1" applyBorder="1" applyAlignment="1"/>
    <xf numFmtId="0" fontId="2" fillId="0" borderId="3" xfId="4" applyFont="1" applyFill="1" applyBorder="1" applyAlignment="1">
      <alignment wrapText="1"/>
    </xf>
    <xf numFmtId="0" fontId="4" fillId="0" borderId="3" xfId="3" applyFont="1" applyFill="1" applyBorder="1" applyAlignment="1">
      <alignment wrapText="1"/>
    </xf>
    <xf numFmtId="3" fontId="4" fillId="0" borderId="3" xfId="3" applyNumberFormat="1" applyFont="1" applyFill="1" applyBorder="1"/>
    <xf numFmtId="0" fontId="4" fillId="0" borderId="3" xfId="5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left" wrapText="1"/>
    </xf>
    <xf numFmtId="0" fontId="4" fillId="0" borderId="3" xfId="2" applyFont="1" applyFill="1" applyBorder="1" applyAlignment="1">
      <alignment wrapText="1"/>
    </xf>
    <xf numFmtId="3" fontId="4" fillId="0" borderId="3" xfId="3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4" fillId="0" borderId="3" xfId="3" applyFont="1" applyFill="1" applyBorder="1" applyAlignment="1">
      <alignment horizontal="left" wrapText="1"/>
    </xf>
    <xf numFmtId="3" fontId="4" fillId="0" borderId="3" xfId="0" applyNumberFormat="1" applyFont="1" applyFill="1" applyBorder="1"/>
    <xf numFmtId="0" fontId="2" fillId="0" borderId="3" xfId="2" applyFont="1" applyFill="1" applyBorder="1" applyAlignment="1">
      <alignment wrapText="1"/>
    </xf>
    <xf numFmtId="3" fontId="4" fillId="0" borderId="0" xfId="4" applyNumberFormat="1" applyFont="1" applyFill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6" fillId="0" borderId="0" xfId="4" applyFont="1" applyFill="1" applyAlignment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0" fontId="13" fillId="0" borderId="0" xfId="2" applyFont="1" applyFill="1"/>
    <xf numFmtId="0" fontId="12" fillId="0" borderId="0" xfId="2" applyFont="1" applyFill="1" applyAlignment="1">
      <alignment horizontal="center"/>
    </xf>
    <xf numFmtId="0" fontId="14" fillId="0" borderId="0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15" fillId="0" borderId="0" xfId="1" applyFont="1" applyFill="1" applyAlignment="1"/>
    <xf numFmtId="0" fontId="14" fillId="0" borderId="0" xfId="1" applyFont="1" applyFill="1" applyAlignment="1"/>
    <xf numFmtId="0" fontId="12" fillId="0" borderId="0" xfId="7" applyFont="1" applyFill="1" applyAlignment="1">
      <alignment horizontal="centerContinuous"/>
    </xf>
    <xf numFmtId="3" fontId="15" fillId="0" borderId="0" xfId="0" applyNumberFormat="1" applyFont="1" applyFill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15" fillId="0" borderId="0" xfId="7" applyFont="1" applyFill="1"/>
    <xf numFmtId="0" fontId="14" fillId="0" borderId="0" xfId="7" applyFont="1" applyFill="1"/>
    <xf numFmtId="0" fontId="14" fillId="0" borderId="0" xfId="7" applyFont="1" applyFill="1" applyAlignment="1">
      <alignment horizontal="centerContinuous"/>
    </xf>
    <xf numFmtId="3" fontId="14" fillId="0" borderId="0" xfId="7" applyNumberFormat="1" applyFont="1" applyFill="1" applyAlignment="1">
      <alignment horizontal="centerContinuous"/>
    </xf>
    <xf numFmtId="3" fontId="12" fillId="0" borderId="0" xfId="7" applyNumberFormat="1" applyFont="1" applyFill="1" applyAlignment="1">
      <alignment horizontal="centerContinuous"/>
    </xf>
    <xf numFmtId="0" fontId="12" fillId="0" borderId="0" xfId="7" applyFont="1" applyFill="1" applyAlignment="1">
      <alignment horizontal="center"/>
    </xf>
    <xf numFmtId="0" fontId="14" fillId="0" borderId="0" xfId="7" applyFont="1" applyFill="1" applyAlignment="1">
      <alignment horizontal="center"/>
    </xf>
    <xf numFmtId="3" fontId="14" fillId="0" borderId="0" xfId="7" applyNumberFormat="1" applyFont="1" applyFill="1" applyAlignment="1">
      <alignment horizontal="center"/>
    </xf>
    <xf numFmtId="3" fontId="12" fillId="0" borderId="0" xfId="7" applyNumberFormat="1" applyFont="1" applyFill="1" applyBorder="1" applyAlignment="1">
      <alignment horizontal="center" wrapText="1"/>
    </xf>
    <xf numFmtId="0" fontId="12" fillId="0" borderId="3" xfId="7" applyFont="1" applyFill="1" applyBorder="1" applyAlignment="1">
      <alignment horizontal="center" wrapText="1"/>
    </xf>
    <xf numFmtId="0" fontId="16" fillId="0" borderId="0" xfId="7" applyFont="1" applyFill="1" applyAlignment="1">
      <alignment horizontal="center" wrapText="1"/>
    </xf>
    <xf numFmtId="0" fontId="12" fillId="0" borderId="0" xfId="7" applyFont="1" applyFill="1" applyAlignment="1">
      <alignment horizontal="center" wrapText="1"/>
    </xf>
    <xf numFmtId="0" fontId="12" fillId="0" borderId="3" xfId="7" applyFont="1" applyFill="1" applyBorder="1" applyAlignment="1">
      <alignment horizontal="center"/>
    </xf>
    <xf numFmtId="0" fontId="12" fillId="0" borderId="3" xfId="7" applyFont="1" applyFill="1" applyBorder="1"/>
    <xf numFmtId="3" fontId="12" fillId="0" borderId="3" xfId="7" applyNumberFormat="1" applyFont="1" applyFill="1" applyBorder="1" applyAlignment="1">
      <alignment horizontal="center" wrapText="1"/>
    </xf>
    <xf numFmtId="0" fontId="16" fillId="0" borderId="0" xfId="7" applyFont="1" applyFill="1"/>
    <xf numFmtId="0" fontId="12" fillId="0" borderId="0" xfId="7" applyFont="1" applyFill="1"/>
    <xf numFmtId="0" fontId="14" fillId="0" borderId="3" xfId="7" applyFont="1" applyFill="1" applyBorder="1" applyAlignment="1">
      <alignment horizontal="center"/>
    </xf>
    <xf numFmtId="0" fontId="14" fillId="0" borderId="3" xfId="7" applyFont="1" applyFill="1" applyBorder="1"/>
    <xf numFmtId="3" fontId="14" fillId="0" borderId="3" xfId="7" applyNumberFormat="1" applyFont="1" applyFill="1" applyBorder="1"/>
    <xf numFmtId="0" fontId="12" fillId="0" borderId="3" xfId="7" applyFont="1" applyFill="1" applyBorder="1" applyAlignment="1">
      <alignment wrapText="1"/>
    </xf>
    <xf numFmtId="3" fontId="12" fillId="0" borderId="3" xfId="7" applyNumberFormat="1" applyFont="1" applyFill="1" applyBorder="1"/>
    <xf numFmtId="0" fontId="14" fillId="0" borderId="3" xfId="7" applyFont="1" applyFill="1" applyBorder="1" applyAlignment="1">
      <alignment wrapText="1"/>
    </xf>
    <xf numFmtId="166" fontId="12" fillId="0" borderId="3" xfId="7" applyNumberFormat="1" applyFont="1" applyFill="1" applyBorder="1"/>
    <xf numFmtId="3" fontId="14" fillId="0" borderId="0" xfId="7" applyNumberFormat="1" applyFont="1" applyFill="1"/>
    <xf numFmtId="4" fontId="14" fillId="0" borderId="0" xfId="7" applyNumberFormat="1" applyFont="1" applyFill="1"/>
    <xf numFmtId="0" fontId="12" fillId="0" borderId="0" xfId="0" applyFont="1" applyFill="1"/>
    <xf numFmtId="0" fontId="11" fillId="0" borderId="0" xfId="0" applyFont="1" applyFill="1"/>
    <xf numFmtId="0" fontId="14" fillId="0" borderId="0" xfId="8" applyFont="1" applyFill="1"/>
    <xf numFmtId="0" fontId="11" fillId="0" borderId="0" xfId="8" applyFont="1" applyFill="1"/>
    <xf numFmtId="0" fontId="14" fillId="0" borderId="0" xfId="1" applyFont="1" applyFill="1" applyBorder="1" applyAlignment="1"/>
    <xf numFmtId="0" fontId="14" fillId="0" borderId="0" xfId="0" applyFont="1" applyFill="1"/>
    <xf numFmtId="3" fontId="14" fillId="0" borderId="0" xfId="1" applyNumberFormat="1" applyFont="1" applyFill="1" applyBorder="1" applyAlignment="1"/>
    <xf numFmtId="0" fontId="15" fillId="0" borderId="0" xfId="8" applyFont="1" applyFill="1"/>
    <xf numFmtId="0" fontId="13" fillId="0" borderId="0" xfId="8" applyFont="1" applyFill="1"/>
    <xf numFmtId="0" fontId="11" fillId="0" borderId="0" xfId="1" applyFont="1" applyFill="1" applyAlignment="1"/>
    <xf numFmtId="0" fontId="11" fillId="0" borderId="0" xfId="1" applyFont="1" applyFill="1" applyBorder="1" applyAlignment="1">
      <alignment vertical="center" wrapText="1"/>
    </xf>
    <xf numFmtId="0" fontId="11" fillId="0" borderId="0" xfId="8" applyFont="1" applyFill="1" applyBorder="1" applyAlignment="1">
      <alignment vertical="center" wrapText="1"/>
    </xf>
    <xf numFmtId="0" fontId="13" fillId="0" borderId="0" xfId="1" applyFont="1" applyFill="1" applyAlignment="1"/>
    <xf numFmtId="0" fontId="11" fillId="0" borderId="0" xfId="8" applyFont="1" applyFill="1" applyAlignment="1">
      <alignment horizontal="left"/>
    </xf>
    <xf numFmtId="0" fontId="14" fillId="0" borderId="0" xfId="8" applyFont="1" applyFill="1" applyAlignment="1"/>
    <xf numFmtId="0" fontId="15" fillId="0" borderId="0" xfId="8" applyFont="1" applyFill="1" applyAlignment="1"/>
    <xf numFmtId="0" fontId="14" fillId="0" borderId="0" xfId="8" applyFont="1" applyFill="1" applyAlignment="1">
      <alignment horizontal="left"/>
    </xf>
    <xf numFmtId="0" fontId="11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2" applyFont="1" applyFill="1" applyAlignment="1"/>
    <xf numFmtId="0" fontId="15" fillId="0" borderId="0" xfId="2" applyFont="1" applyFill="1" applyAlignment="1"/>
    <xf numFmtId="0" fontId="14" fillId="0" borderId="0" xfId="8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2" fillId="0" borderId="0" xfId="2" applyFont="1" applyFill="1" applyAlignment="1">
      <alignment horizontal="right"/>
    </xf>
    <xf numFmtId="165" fontId="12" fillId="0" borderId="1" xfId="7" applyNumberFormat="1" applyFont="1" applyFill="1" applyBorder="1" applyAlignment="1">
      <alignment horizontal="center" wrapText="1"/>
    </xf>
    <xf numFmtId="165" fontId="12" fillId="0" borderId="2" xfId="7" applyNumberFormat="1" applyFont="1" applyFill="1" applyBorder="1" applyAlignment="1">
      <alignment horizontal="center" wrapText="1"/>
    </xf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" xfId="8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274"/>
  <sheetViews>
    <sheetView tabSelected="1" zoomScaleNormal="100" workbookViewId="0">
      <pane xSplit="1" ySplit="7" topLeftCell="B8" activePane="bottomRight" state="frozen"/>
      <selection activeCell="D32" sqref="D32"/>
      <selection pane="topRight" activeCell="D32" sqref="D32"/>
      <selection pane="bottomLeft" activeCell="D32" sqref="D32"/>
      <selection pane="bottomRight" activeCell="H15" sqref="H15"/>
    </sheetView>
  </sheetViews>
  <sheetFormatPr defaultColWidth="15.5703125" defaultRowHeight="15.75" x14ac:dyDescent="0.25"/>
  <cols>
    <col min="1" max="1" width="53.42578125" style="7" customWidth="1"/>
    <col min="2" max="4" width="12.5703125" style="8" customWidth="1"/>
    <col min="5" max="7" width="15.5703125" style="8" customWidth="1"/>
    <col min="8" max="10" width="17.7109375" style="8" customWidth="1"/>
    <col min="11" max="13" width="12" style="8" customWidth="1"/>
    <col min="14" max="16" width="14.7109375" style="8" customWidth="1"/>
    <col min="17" max="19" width="10.85546875" style="8" customWidth="1"/>
    <col min="20" max="22" width="16.28515625" style="8" customWidth="1"/>
    <col min="23" max="25" width="12.7109375" style="8" customWidth="1"/>
    <col min="26" max="27" width="15.28515625" style="8" customWidth="1"/>
    <col min="28" max="28" width="12.7109375" style="8" customWidth="1"/>
    <col min="29" max="167" width="29.28515625" style="8" customWidth="1"/>
    <col min="168" max="168" width="42.42578125" style="8" customWidth="1"/>
    <col min="169" max="171" width="12.42578125" style="8" customWidth="1"/>
    <col min="172" max="174" width="10.85546875" style="8" customWidth="1"/>
    <col min="175" max="177" width="14.5703125" style="8" bestFit="1" customWidth="1"/>
    <col min="178" max="180" width="11" style="8" customWidth="1"/>
    <col min="181" max="183" width="14.5703125" style="8" customWidth="1"/>
    <col min="184" max="186" width="15.28515625" style="8" customWidth="1"/>
    <col min="187" max="187" width="15.5703125" style="8"/>
    <col min="188" max="188" width="44.5703125" style="8" customWidth="1"/>
    <col min="189" max="189" width="13.85546875" style="8" customWidth="1"/>
    <col min="190" max="190" width="10.85546875" style="8" customWidth="1"/>
    <col min="191" max="191" width="14.5703125" style="8" customWidth="1"/>
    <col min="192" max="192" width="11" style="8" customWidth="1"/>
    <col min="193" max="193" width="10.85546875" style="8" customWidth="1"/>
    <col min="194" max="194" width="14.5703125" style="8" customWidth="1"/>
    <col min="195" max="196" width="15.5703125" style="8" customWidth="1"/>
    <col min="197" max="197" width="17.7109375" style="8" customWidth="1"/>
    <col min="198" max="423" width="29.28515625" style="8" customWidth="1"/>
    <col min="424" max="424" width="42.42578125" style="8" customWidth="1"/>
    <col min="425" max="427" width="12.42578125" style="8" customWidth="1"/>
    <col min="428" max="430" width="10.85546875" style="8" customWidth="1"/>
    <col min="431" max="433" width="14.5703125" style="8" bestFit="1" customWidth="1"/>
    <col min="434" max="436" width="11" style="8" customWidth="1"/>
    <col min="437" max="439" width="14.5703125" style="8" customWidth="1"/>
    <col min="440" max="442" width="15.28515625" style="8" customWidth="1"/>
    <col min="443" max="443" width="15.5703125" style="8"/>
    <col min="444" max="444" width="44.5703125" style="8" customWidth="1"/>
    <col min="445" max="445" width="13.85546875" style="8" customWidth="1"/>
    <col min="446" max="446" width="10.85546875" style="8" customWidth="1"/>
    <col min="447" max="447" width="14.5703125" style="8" customWidth="1"/>
    <col min="448" max="448" width="11" style="8" customWidth="1"/>
    <col min="449" max="449" width="10.85546875" style="8" customWidth="1"/>
    <col min="450" max="450" width="14.5703125" style="8" customWidth="1"/>
    <col min="451" max="452" width="15.5703125" style="8" customWidth="1"/>
    <col min="453" max="453" width="17.7109375" style="8" customWidth="1"/>
    <col min="454" max="679" width="29.28515625" style="8" customWidth="1"/>
    <col min="680" max="680" width="42.42578125" style="8" customWidth="1"/>
    <col min="681" max="683" width="12.42578125" style="8" customWidth="1"/>
    <col min="684" max="686" width="10.85546875" style="8" customWidth="1"/>
    <col min="687" max="689" width="14.5703125" style="8" bestFit="1" customWidth="1"/>
    <col min="690" max="692" width="11" style="8" customWidth="1"/>
    <col min="693" max="695" width="14.5703125" style="8" customWidth="1"/>
    <col min="696" max="698" width="15.28515625" style="8" customWidth="1"/>
    <col min="699" max="699" width="15.5703125" style="8"/>
    <col min="700" max="700" width="44.5703125" style="8" customWidth="1"/>
    <col min="701" max="701" width="13.85546875" style="8" customWidth="1"/>
    <col min="702" max="702" width="10.85546875" style="8" customWidth="1"/>
    <col min="703" max="703" width="14.5703125" style="8" customWidth="1"/>
    <col min="704" max="704" width="11" style="8" customWidth="1"/>
    <col min="705" max="705" width="10.85546875" style="8" customWidth="1"/>
    <col min="706" max="706" width="14.5703125" style="8" customWidth="1"/>
    <col min="707" max="708" width="15.5703125" style="8" customWidth="1"/>
    <col min="709" max="709" width="17.7109375" style="8" customWidth="1"/>
    <col min="710" max="935" width="29.28515625" style="8" customWidth="1"/>
    <col min="936" max="936" width="42.42578125" style="8" customWidth="1"/>
    <col min="937" max="939" width="12.42578125" style="8" customWidth="1"/>
    <col min="940" max="942" width="10.85546875" style="8" customWidth="1"/>
    <col min="943" max="945" width="14.5703125" style="8" bestFit="1" customWidth="1"/>
    <col min="946" max="948" width="11" style="8" customWidth="1"/>
    <col min="949" max="951" width="14.5703125" style="8" customWidth="1"/>
    <col min="952" max="954" width="15.28515625" style="8" customWidth="1"/>
    <col min="955" max="955" width="15.5703125" style="8"/>
    <col min="956" max="956" width="44.5703125" style="8" customWidth="1"/>
    <col min="957" max="957" width="13.85546875" style="8" customWidth="1"/>
    <col min="958" max="958" width="10.85546875" style="8" customWidth="1"/>
    <col min="959" max="959" width="14.5703125" style="8" customWidth="1"/>
    <col min="960" max="960" width="11" style="8" customWidth="1"/>
    <col min="961" max="961" width="10.85546875" style="8" customWidth="1"/>
    <col min="962" max="962" width="14.5703125" style="8" customWidth="1"/>
    <col min="963" max="964" width="15.5703125" style="8" customWidth="1"/>
    <col min="965" max="965" width="17.7109375" style="8" customWidth="1"/>
    <col min="966" max="1191" width="29.28515625" style="8" customWidth="1"/>
    <col min="1192" max="1192" width="42.42578125" style="8" customWidth="1"/>
    <col min="1193" max="1195" width="12.42578125" style="8" customWidth="1"/>
    <col min="1196" max="1198" width="10.85546875" style="8" customWidth="1"/>
    <col min="1199" max="1201" width="14.5703125" style="8" bestFit="1" customWidth="1"/>
    <col min="1202" max="1204" width="11" style="8" customWidth="1"/>
    <col min="1205" max="1207" width="14.5703125" style="8" customWidth="1"/>
    <col min="1208" max="1210" width="15.28515625" style="8" customWidth="1"/>
    <col min="1211" max="1211" width="15.5703125" style="8"/>
    <col min="1212" max="1212" width="44.5703125" style="8" customWidth="1"/>
    <col min="1213" max="1213" width="13.85546875" style="8" customWidth="1"/>
    <col min="1214" max="1214" width="10.85546875" style="8" customWidth="1"/>
    <col min="1215" max="1215" width="14.5703125" style="8" customWidth="1"/>
    <col min="1216" max="1216" width="11" style="8" customWidth="1"/>
    <col min="1217" max="1217" width="10.85546875" style="8" customWidth="1"/>
    <col min="1218" max="1218" width="14.5703125" style="8" customWidth="1"/>
    <col min="1219" max="1220" width="15.5703125" style="8" customWidth="1"/>
    <col min="1221" max="1221" width="17.7109375" style="8" customWidth="1"/>
    <col min="1222" max="1447" width="29.28515625" style="8" customWidth="1"/>
    <col min="1448" max="1448" width="42.42578125" style="8" customWidth="1"/>
    <col min="1449" max="1451" width="12.42578125" style="8" customWidth="1"/>
    <col min="1452" max="1454" width="10.85546875" style="8" customWidth="1"/>
    <col min="1455" max="1457" width="14.5703125" style="8" bestFit="1" customWidth="1"/>
    <col min="1458" max="1460" width="11" style="8" customWidth="1"/>
    <col min="1461" max="1463" width="14.5703125" style="8" customWidth="1"/>
    <col min="1464" max="1466" width="15.28515625" style="8" customWidth="1"/>
    <col min="1467" max="1467" width="15.5703125" style="8"/>
    <col min="1468" max="1468" width="44.5703125" style="8" customWidth="1"/>
    <col min="1469" max="1469" width="13.85546875" style="8" customWidth="1"/>
    <col min="1470" max="1470" width="10.85546875" style="8" customWidth="1"/>
    <col min="1471" max="1471" width="14.5703125" style="8" customWidth="1"/>
    <col min="1472" max="1472" width="11" style="8" customWidth="1"/>
    <col min="1473" max="1473" width="10.85546875" style="8" customWidth="1"/>
    <col min="1474" max="1474" width="14.5703125" style="8" customWidth="1"/>
    <col min="1475" max="1476" width="15.5703125" style="8" customWidth="1"/>
    <col min="1477" max="1477" width="17.7109375" style="8" customWidth="1"/>
    <col min="1478" max="1703" width="29.28515625" style="8" customWidth="1"/>
    <col min="1704" max="1704" width="42.42578125" style="8" customWidth="1"/>
    <col min="1705" max="1707" width="12.42578125" style="8" customWidth="1"/>
    <col min="1708" max="1710" width="10.85546875" style="8" customWidth="1"/>
    <col min="1711" max="1713" width="14.5703125" style="8" bestFit="1" customWidth="1"/>
    <col min="1714" max="1716" width="11" style="8" customWidth="1"/>
    <col min="1717" max="1719" width="14.5703125" style="8" customWidth="1"/>
    <col min="1720" max="1722" width="15.28515625" style="8" customWidth="1"/>
    <col min="1723" max="1723" width="15.5703125" style="8"/>
    <col min="1724" max="1724" width="44.5703125" style="8" customWidth="1"/>
    <col min="1725" max="1725" width="13.85546875" style="8" customWidth="1"/>
    <col min="1726" max="1726" width="10.85546875" style="8" customWidth="1"/>
    <col min="1727" max="1727" width="14.5703125" style="8" customWidth="1"/>
    <col min="1728" max="1728" width="11" style="8" customWidth="1"/>
    <col min="1729" max="1729" width="10.85546875" style="8" customWidth="1"/>
    <col min="1730" max="1730" width="14.5703125" style="8" customWidth="1"/>
    <col min="1731" max="1732" width="15.5703125" style="8" customWidth="1"/>
    <col min="1733" max="1733" width="17.7109375" style="8" customWidth="1"/>
    <col min="1734" max="1959" width="29.28515625" style="8" customWidth="1"/>
    <col min="1960" max="1960" width="42.42578125" style="8" customWidth="1"/>
    <col min="1961" max="1963" width="12.42578125" style="8" customWidth="1"/>
    <col min="1964" max="1966" width="10.85546875" style="8" customWidth="1"/>
    <col min="1967" max="1969" width="14.5703125" style="8" bestFit="1" customWidth="1"/>
    <col min="1970" max="1972" width="11" style="8" customWidth="1"/>
    <col min="1973" max="1975" width="14.5703125" style="8" customWidth="1"/>
    <col min="1976" max="1978" width="15.28515625" style="8" customWidth="1"/>
    <col min="1979" max="1979" width="15.5703125" style="8"/>
    <col min="1980" max="1980" width="44.5703125" style="8" customWidth="1"/>
    <col min="1981" max="1981" width="13.85546875" style="8" customWidth="1"/>
    <col min="1982" max="1982" width="10.85546875" style="8" customWidth="1"/>
    <col min="1983" max="1983" width="14.5703125" style="8" customWidth="1"/>
    <col min="1984" max="1984" width="11" style="8" customWidth="1"/>
    <col min="1985" max="1985" width="10.85546875" style="8" customWidth="1"/>
    <col min="1986" max="1986" width="14.5703125" style="8" customWidth="1"/>
    <col min="1987" max="1988" width="15.5703125" style="8" customWidth="1"/>
    <col min="1989" max="1989" width="17.7109375" style="8" customWidth="1"/>
    <col min="1990" max="2215" width="29.28515625" style="8" customWidth="1"/>
    <col min="2216" max="2216" width="42.42578125" style="8" customWidth="1"/>
    <col min="2217" max="2219" width="12.42578125" style="8" customWidth="1"/>
    <col min="2220" max="2222" width="10.85546875" style="8" customWidth="1"/>
    <col min="2223" max="2225" width="14.5703125" style="8" bestFit="1" customWidth="1"/>
    <col min="2226" max="2228" width="11" style="8" customWidth="1"/>
    <col min="2229" max="2231" width="14.5703125" style="8" customWidth="1"/>
    <col min="2232" max="2234" width="15.28515625" style="8" customWidth="1"/>
    <col min="2235" max="2235" width="15.5703125" style="8"/>
    <col min="2236" max="2236" width="44.5703125" style="8" customWidth="1"/>
    <col min="2237" max="2237" width="13.85546875" style="8" customWidth="1"/>
    <col min="2238" max="2238" width="10.85546875" style="8" customWidth="1"/>
    <col min="2239" max="2239" width="14.5703125" style="8" customWidth="1"/>
    <col min="2240" max="2240" width="11" style="8" customWidth="1"/>
    <col min="2241" max="2241" width="10.85546875" style="8" customWidth="1"/>
    <col min="2242" max="2242" width="14.5703125" style="8" customWidth="1"/>
    <col min="2243" max="2244" width="15.5703125" style="8" customWidth="1"/>
    <col min="2245" max="2245" width="17.7109375" style="8" customWidth="1"/>
    <col min="2246" max="2471" width="29.28515625" style="8" customWidth="1"/>
    <col min="2472" max="2472" width="42.42578125" style="8" customWidth="1"/>
    <col min="2473" max="2475" width="12.42578125" style="8" customWidth="1"/>
    <col min="2476" max="2478" width="10.85546875" style="8" customWidth="1"/>
    <col min="2479" max="2481" width="14.5703125" style="8" bestFit="1" customWidth="1"/>
    <col min="2482" max="2484" width="11" style="8" customWidth="1"/>
    <col min="2485" max="2487" width="14.5703125" style="8" customWidth="1"/>
    <col min="2488" max="2490" width="15.28515625" style="8" customWidth="1"/>
    <col min="2491" max="2491" width="15.5703125" style="8"/>
    <col min="2492" max="2492" width="44.5703125" style="8" customWidth="1"/>
    <col min="2493" max="2493" width="13.85546875" style="8" customWidth="1"/>
    <col min="2494" max="2494" width="10.85546875" style="8" customWidth="1"/>
    <col min="2495" max="2495" width="14.5703125" style="8" customWidth="1"/>
    <col min="2496" max="2496" width="11" style="8" customWidth="1"/>
    <col min="2497" max="2497" width="10.85546875" style="8" customWidth="1"/>
    <col min="2498" max="2498" width="14.5703125" style="8" customWidth="1"/>
    <col min="2499" max="2500" width="15.5703125" style="8" customWidth="1"/>
    <col min="2501" max="2501" width="17.7109375" style="8" customWidth="1"/>
    <col min="2502" max="2727" width="29.28515625" style="8" customWidth="1"/>
    <col min="2728" max="2728" width="42.42578125" style="8" customWidth="1"/>
    <col min="2729" max="2731" width="12.42578125" style="8" customWidth="1"/>
    <col min="2732" max="2734" width="10.85546875" style="8" customWidth="1"/>
    <col min="2735" max="2737" width="14.5703125" style="8" bestFit="1" customWidth="1"/>
    <col min="2738" max="2740" width="11" style="8" customWidth="1"/>
    <col min="2741" max="2743" width="14.5703125" style="8" customWidth="1"/>
    <col min="2744" max="2746" width="15.28515625" style="8" customWidth="1"/>
    <col min="2747" max="2747" width="15.5703125" style="8"/>
    <col min="2748" max="2748" width="44.5703125" style="8" customWidth="1"/>
    <col min="2749" max="2749" width="13.85546875" style="8" customWidth="1"/>
    <col min="2750" max="2750" width="10.85546875" style="8" customWidth="1"/>
    <col min="2751" max="2751" width="14.5703125" style="8" customWidth="1"/>
    <col min="2752" max="2752" width="11" style="8" customWidth="1"/>
    <col min="2753" max="2753" width="10.85546875" style="8" customWidth="1"/>
    <col min="2754" max="2754" width="14.5703125" style="8" customWidth="1"/>
    <col min="2755" max="2756" width="15.5703125" style="8" customWidth="1"/>
    <col min="2757" max="2757" width="17.7109375" style="8" customWidth="1"/>
    <col min="2758" max="2983" width="29.28515625" style="8" customWidth="1"/>
    <col min="2984" max="2984" width="42.42578125" style="8" customWidth="1"/>
    <col min="2985" max="2987" width="12.42578125" style="8" customWidth="1"/>
    <col min="2988" max="2990" width="10.85546875" style="8" customWidth="1"/>
    <col min="2991" max="2993" width="14.5703125" style="8" bestFit="1" customWidth="1"/>
    <col min="2994" max="2996" width="11" style="8" customWidth="1"/>
    <col min="2997" max="2999" width="14.5703125" style="8" customWidth="1"/>
    <col min="3000" max="3002" width="15.28515625" style="8" customWidth="1"/>
    <col min="3003" max="3003" width="15.5703125" style="8"/>
    <col min="3004" max="3004" width="44.5703125" style="8" customWidth="1"/>
    <col min="3005" max="3005" width="13.85546875" style="8" customWidth="1"/>
    <col min="3006" max="3006" width="10.85546875" style="8" customWidth="1"/>
    <col min="3007" max="3007" width="14.5703125" style="8" customWidth="1"/>
    <col min="3008" max="3008" width="11" style="8" customWidth="1"/>
    <col min="3009" max="3009" width="10.85546875" style="8" customWidth="1"/>
    <col min="3010" max="3010" width="14.5703125" style="8" customWidth="1"/>
    <col min="3011" max="3012" width="15.5703125" style="8" customWidth="1"/>
    <col min="3013" max="3013" width="17.7109375" style="8" customWidth="1"/>
    <col min="3014" max="3239" width="29.28515625" style="8" customWidth="1"/>
    <col min="3240" max="3240" width="42.42578125" style="8" customWidth="1"/>
    <col min="3241" max="3243" width="12.42578125" style="8" customWidth="1"/>
    <col min="3244" max="3246" width="10.85546875" style="8" customWidth="1"/>
    <col min="3247" max="3249" width="14.5703125" style="8" bestFit="1" customWidth="1"/>
    <col min="3250" max="3252" width="11" style="8" customWidth="1"/>
    <col min="3253" max="3255" width="14.5703125" style="8" customWidth="1"/>
    <col min="3256" max="3258" width="15.28515625" style="8" customWidth="1"/>
    <col min="3259" max="3259" width="15.5703125" style="8"/>
    <col min="3260" max="3260" width="44.5703125" style="8" customWidth="1"/>
    <col min="3261" max="3261" width="13.85546875" style="8" customWidth="1"/>
    <col min="3262" max="3262" width="10.85546875" style="8" customWidth="1"/>
    <col min="3263" max="3263" width="14.5703125" style="8" customWidth="1"/>
    <col min="3264" max="3264" width="11" style="8" customWidth="1"/>
    <col min="3265" max="3265" width="10.85546875" style="8" customWidth="1"/>
    <col min="3266" max="3266" width="14.5703125" style="8" customWidth="1"/>
    <col min="3267" max="3268" width="15.5703125" style="8" customWidth="1"/>
    <col min="3269" max="3269" width="17.7109375" style="8" customWidth="1"/>
    <col min="3270" max="3495" width="29.28515625" style="8" customWidth="1"/>
    <col min="3496" max="3496" width="42.42578125" style="8" customWidth="1"/>
    <col min="3497" max="3499" width="12.42578125" style="8" customWidth="1"/>
    <col min="3500" max="3502" width="10.85546875" style="8" customWidth="1"/>
    <col min="3503" max="3505" width="14.5703125" style="8" bestFit="1" customWidth="1"/>
    <col min="3506" max="3508" width="11" style="8" customWidth="1"/>
    <col min="3509" max="3511" width="14.5703125" style="8" customWidth="1"/>
    <col min="3512" max="3514" width="15.28515625" style="8" customWidth="1"/>
    <col min="3515" max="3515" width="15.5703125" style="8"/>
    <col min="3516" max="3516" width="44.5703125" style="8" customWidth="1"/>
    <col min="3517" max="3517" width="13.85546875" style="8" customWidth="1"/>
    <col min="3518" max="3518" width="10.85546875" style="8" customWidth="1"/>
    <col min="3519" max="3519" width="14.5703125" style="8" customWidth="1"/>
    <col min="3520" max="3520" width="11" style="8" customWidth="1"/>
    <col min="3521" max="3521" width="10.85546875" style="8" customWidth="1"/>
    <col min="3522" max="3522" width="14.5703125" style="8" customWidth="1"/>
    <col min="3523" max="3524" width="15.5703125" style="8" customWidth="1"/>
    <col min="3525" max="3525" width="17.7109375" style="8" customWidth="1"/>
    <col min="3526" max="3751" width="29.28515625" style="8" customWidth="1"/>
    <col min="3752" max="3752" width="42.42578125" style="8" customWidth="1"/>
    <col min="3753" max="3755" width="12.42578125" style="8" customWidth="1"/>
    <col min="3756" max="3758" width="10.85546875" style="8" customWidth="1"/>
    <col min="3759" max="3761" width="14.5703125" style="8" bestFit="1" customWidth="1"/>
    <col min="3762" max="3764" width="11" style="8" customWidth="1"/>
    <col min="3765" max="3767" width="14.5703125" style="8" customWidth="1"/>
    <col min="3768" max="3770" width="15.28515625" style="8" customWidth="1"/>
    <col min="3771" max="3771" width="15.5703125" style="8"/>
    <col min="3772" max="3772" width="44.5703125" style="8" customWidth="1"/>
    <col min="3773" max="3773" width="13.85546875" style="8" customWidth="1"/>
    <col min="3774" max="3774" width="10.85546875" style="8" customWidth="1"/>
    <col min="3775" max="3775" width="14.5703125" style="8" customWidth="1"/>
    <col min="3776" max="3776" width="11" style="8" customWidth="1"/>
    <col min="3777" max="3777" width="10.85546875" style="8" customWidth="1"/>
    <col min="3778" max="3778" width="14.5703125" style="8" customWidth="1"/>
    <col min="3779" max="3780" width="15.5703125" style="8" customWidth="1"/>
    <col min="3781" max="3781" width="17.7109375" style="8" customWidth="1"/>
    <col min="3782" max="4007" width="29.28515625" style="8" customWidth="1"/>
    <col min="4008" max="4008" width="42.42578125" style="8" customWidth="1"/>
    <col min="4009" max="4011" width="12.42578125" style="8" customWidth="1"/>
    <col min="4012" max="4014" width="10.85546875" style="8" customWidth="1"/>
    <col min="4015" max="4017" width="14.5703125" style="8" bestFit="1" customWidth="1"/>
    <col min="4018" max="4020" width="11" style="8" customWidth="1"/>
    <col min="4021" max="4023" width="14.5703125" style="8" customWidth="1"/>
    <col min="4024" max="4026" width="15.28515625" style="8" customWidth="1"/>
    <col min="4027" max="4027" width="15.5703125" style="8"/>
    <col min="4028" max="4028" width="44.5703125" style="8" customWidth="1"/>
    <col min="4029" max="4029" width="13.85546875" style="8" customWidth="1"/>
    <col min="4030" max="4030" width="10.85546875" style="8" customWidth="1"/>
    <col min="4031" max="4031" width="14.5703125" style="8" customWidth="1"/>
    <col min="4032" max="4032" width="11" style="8" customWidth="1"/>
    <col min="4033" max="4033" width="10.85546875" style="8" customWidth="1"/>
    <col min="4034" max="4034" width="14.5703125" style="8" customWidth="1"/>
    <col min="4035" max="4036" width="15.5703125" style="8" customWidth="1"/>
    <col min="4037" max="4037" width="17.7109375" style="8" customWidth="1"/>
    <col min="4038" max="4263" width="29.28515625" style="8" customWidth="1"/>
    <col min="4264" max="4264" width="42.42578125" style="8" customWidth="1"/>
    <col min="4265" max="4267" width="12.42578125" style="8" customWidth="1"/>
    <col min="4268" max="4270" width="10.85546875" style="8" customWidth="1"/>
    <col min="4271" max="4273" width="14.5703125" style="8" bestFit="1" customWidth="1"/>
    <col min="4274" max="4276" width="11" style="8" customWidth="1"/>
    <col min="4277" max="4279" width="14.5703125" style="8" customWidth="1"/>
    <col min="4280" max="4282" width="15.28515625" style="8" customWidth="1"/>
    <col min="4283" max="4283" width="15.5703125" style="8"/>
    <col min="4284" max="4284" width="44.5703125" style="8" customWidth="1"/>
    <col min="4285" max="4285" width="13.85546875" style="8" customWidth="1"/>
    <col min="4286" max="4286" width="10.85546875" style="8" customWidth="1"/>
    <col min="4287" max="4287" width="14.5703125" style="8" customWidth="1"/>
    <col min="4288" max="4288" width="11" style="8" customWidth="1"/>
    <col min="4289" max="4289" width="10.85546875" style="8" customWidth="1"/>
    <col min="4290" max="4290" width="14.5703125" style="8" customWidth="1"/>
    <col min="4291" max="4292" width="15.5703125" style="8" customWidth="1"/>
    <col min="4293" max="4293" width="17.7109375" style="8" customWidth="1"/>
    <col min="4294" max="4519" width="29.28515625" style="8" customWidth="1"/>
    <col min="4520" max="4520" width="42.42578125" style="8" customWidth="1"/>
    <col min="4521" max="4523" width="12.42578125" style="8" customWidth="1"/>
    <col min="4524" max="4526" width="10.85546875" style="8" customWidth="1"/>
    <col min="4527" max="4529" width="14.5703125" style="8" bestFit="1" customWidth="1"/>
    <col min="4530" max="4532" width="11" style="8" customWidth="1"/>
    <col min="4533" max="4535" width="14.5703125" style="8" customWidth="1"/>
    <col min="4536" max="4538" width="15.28515625" style="8" customWidth="1"/>
    <col min="4539" max="4539" width="15.5703125" style="8"/>
    <col min="4540" max="4540" width="44.5703125" style="8" customWidth="1"/>
    <col min="4541" max="4541" width="13.85546875" style="8" customWidth="1"/>
    <col min="4542" max="4542" width="10.85546875" style="8" customWidth="1"/>
    <col min="4543" max="4543" width="14.5703125" style="8" customWidth="1"/>
    <col min="4544" max="4544" width="11" style="8" customWidth="1"/>
    <col min="4545" max="4545" width="10.85546875" style="8" customWidth="1"/>
    <col min="4546" max="4546" width="14.5703125" style="8" customWidth="1"/>
    <col min="4547" max="4548" width="15.5703125" style="8" customWidth="1"/>
    <col min="4549" max="4549" width="17.7109375" style="8" customWidth="1"/>
    <col min="4550" max="4775" width="29.28515625" style="8" customWidth="1"/>
    <col min="4776" max="4776" width="42.42578125" style="8" customWidth="1"/>
    <col min="4777" max="4779" width="12.42578125" style="8" customWidth="1"/>
    <col min="4780" max="4782" width="10.85546875" style="8" customWidth="1"/>
    <col min="4783" max="4785" width="14.5703125" style="8" bestFit="1" customWidth="1"/>
    <col min="4786" max="4788" width="11" style="8" customWidth="1"/>
    <col min="4789" max="4791" width="14.5703125" style="8" customWidth="1"/>
    <col min="4792" max="4794" width="15.28515625" style="8" customWidth="1"/>
    <col min="4795" max="4795" width="15.5703125" style="8"/>
    <col min="4796" max="4796" width="44.5703125" style="8" customWidth="1"/>
    <col min="4797" max="4797" width="13.85546875" style="8" customWidth="1"/>
    <col min="4798" max="4798" width="10.85546875" style="8" customWidth="1"/>
    <col min="4799" max="4799" width="14.5703125" style="8" customWidth="1"/>
    <col min="4800" max="4800" width="11" style="8" customWidth="1"/>
    <col min="4801" max="4801" width="10.85546875" style="8" customWidth="1"/>
    <col min="4802" max="4802" width="14.5703125" style="8" customWidth="1"/>
    <col min="4803" max="4804" width="15.5703125" style="8" customWidth="1"/>
    <col min="4805" max="4805" width="17.7109375" style="8" customWidth="1"/>
    <col min="4806" max="5031" width="29.28515625" style="8" customWidth="1"/>
    <col min="5032" max="5032" width="42.42578125" style="8" customWidth="1"/>
    <col min="5033" max="5035" width="12.42578125" style="8" customWidth="1"/>
    <col min="5036" max="5038" width="10.85546875" style="8" customWidth="1"/>
    <col min="5039" max="5041" width="14.5703125" style="8" bestFit="1" customWidth="1"/>
    <col min="5042" max="5044" width="11" style="8" customWidth="1"/>
    <col min="5045" max="5047" width="14.5703125" style="8" customWidth="1"/>
    <col min="5048" max="5050" width="15.28515625" style="8" customWidth="1"/>
    <col min="5051" max="5051" width="15.5703125" style="8"/>
    <col min="5052" max="5052" width="44.5703125" style="8" customWidth="1"/>
    <col min="5053" max="5053" width="13.85546875" style="8" customWidth="1"/>
    <col min="5054" max="5054" width="10.85546875" style="8" customWidth="1"/>
    <col min="5055" max="5055" width="14.5703125" style="8" customWidth="1"/>
    <col min="5056" max="5056" width="11" style="8" customWidth="1"/>
    <col min="5057" max="5057" width="10.85546875" style="8" customWidth="1"/>
    <col min="5058" max="5058" width="14.5703125" style="8" customWidth="1"/>
    <col min="5059" max="5060" width="15.5703125" style="8" customWidth="1"/>
    <col min="5061" max="5061" width="17.7109375" style="8" customWidth="1"/>
    <col min="5062" max="5287" width="29.28515625" style="8" customWidth="1"/>
    <col min="5288" max="5288" width="42.42578125" style="8" customWidth="1"/>
    <col min="5289" max="5291" width="12.42578125" style="8" customWidth="1"/>
    <col min="5292" max="5294" width="10.85546875" style="8" customWidth="1"/>
    <col min="5295" max="5297" width="14.5703125" style="8" bestFit="1" customWidth="1"/>
    <col min="5298" max="5300" width="11" style="8" customWidth="1"/>
    <col min="5301" max="5303" width="14.5703125" style="8" customWidth="1"/>
    <col min="5304" max="5306" width="15.28515625" style="8" customWidth="1"/>
    <col min="5307" max="5307" width="15.5703125" style="8"/>
    <col min="5308" max="5308" width="44.5703125" style="8" customWidth="1"/>
    <col min="5309" max="5309" width="13.85546875" style="8" customWidth="1"/>
    <col min="5310" max="5310" width="10.85546875" style="8" customWidth="1"/>
    <col min="5311" max="5311" width="14.5703125" style="8" customWidth="1"/>
    <col min="5312" max="5312" width="11" style="8" customWidth="1"/>
    <col min="5313" max="5313" width="10.85546875" style="8" customWidth="1"/>
    <col min="5314" max="5314" width="14.5703125" style="8" customWidth="1"/>
    <col min="5315" max="5316" width="15.5703125" style="8" customWidth="1"/>
    <col min="5317" max="5317" width="17.7109375" style="8" customWidth="1"/>
    <col min="5318" max="5543" width="29.28515625" style="8" customWidth="1"/>
    <col min="5544" max="5544" width="42.42578125" style="8" customWidth="1"/>
    <col min="5545" max="5547" width="12.42578125" style="8" customWidth="1"/>
    <col min="5548" max="5550" width="10.85546875" style="8" customWidth="1"/>
    <col min="5551" max="5553" width="14.5703125" style="8" bestFit="1" customWidth="1"/>
    <col min="5554" max="5556" width="11" style="8" customWidth="1"/>
    <col min="5557" max="5559" width="14.5703125" style="8" customWidth="1"/>
    <col min="5560" max="5562" width="15.28515625" style="8" customWidth="1"/>
    <col min="5563" max="5563" width="15.5703125" style="8"/>
    <col min="5564" max="5564" width="44.5703125" style="8" customWidth="1"/>
    <col min="5565" max="5565" width="13.85546875" style="8" customWidth="1"/>
    <col min="5566" max="5566" width="10.85546875" style="8" customWidth="1"/>
    <col min="5567" max="5567" width="14.5703125" style="8" customWidth="1"/>
    <col min="5568" max="5568" width="11" style="8" customWidth="1"/>
    <col min="5569" max="5569" width="10.85546875" style="8" customWidth="1"/>
    <col min="5570" max="5570" width="14.5703125" style="8" customWidth="1"/>
    <col min="5571" max="5572" width="15.5703125" style="8" customWidth="1"/>
    <col min="5573" max="5573" width="17.7109375" style="8" customWidth="1"/>
    <col min="5574" max="5799" width="29.28515625" style="8" customWidth="1"/>
    <col min="5800" max="5800" width="42.42578125" style="8" customWidth="1"/>
    <col min="5801" max="5803" width="12.42578125" style="8" customWidth="1"/>
    <col min="5804" max="5806" width="10.85546875" style="8" customWidth="1"/>
    <col min="5807" max="5809" width="14.5703125" style="8" bestFit="1" customWidth="1"/>
    <col min="5810" max="5812" width="11" style="8" customWidth="1"/>
    <col min="5813" max="5815" width="14.5703125" style="8" customWidth="1"/>
    <col min="5816" max="5818" width="15.28515625" style="8" customWidth="1"/>
    <col min="5819" max="5819" width="15.5703125" style="8"/>
    <col min="5820" max="5820" width="44.5703125" style="8" customWidth="1"/>
    <col min="5821" max="5821" width="13.85546875" style="8" customWidth="1"/>
    <col min="5822" max="5822" width="10.85546875" style="8" customWidth="1"/>
    <col min="5823" max="5823" width="14.5703125" style="8" customWidth="1"/>
    <col min="5824" max="5824" width="11" style="8" customWidth="1"/>
    <col min="5825" max="5825" width="10.85546875" style="8" customWidth="1"/>
    <col min="5826" max="5826" width="14.5703125" style="8" customWidth="1"/>
    <col min="5827" max="5828" width="15.5703125" style="8" customWidth="1"/>
    <col min="5829" max="5829" width="17.7109375" style="8" customWidth="1"/>
    <col min="5830" max="6055" width="29.28515625" style="8" customWidth="1"/>
    <col min="6056" max="6056" width="42.42578125" style="8" customWidth="1"/>
    <col min="6057" max="6059" width="12.42578125" style="8" customWidth="1"/>
    <col min="6060" max="6062" width="10.85546875" style="8" customWidth="1"/>
    <col min="6063" max="6065" width="14.5703125" style="8" bestFit="1" customWidth="1"/>
    <col min="6066" max="6068" width="11" style="8" customWidth="1"/>
    <col min="6069" max="6071" width="14.5703125" style="8" customWidth="1"/>
    <col min="6072" max="6074" width="15.28515625" style="8" customWidth="1"/>
    <col min="6075" max="6075" width="15.5703125" style="8"/>
    <col min="6076" max="6076" width="44.5703125" style="8" customWidth="1"/>
    <col min="6077" max="6077" width="13.85546875" style="8" customWidth="1"/>
    <col min="6078" max="6078" width="10.85546875" style="8" customWidth="1"/>
    <col min="6079" max="6079" width="14.5703125" style="8" customWidth="1"/>
    <col min="6080" max="6080" width="11" style="8" customWidth="1"/>
    <col min="6081" max="6081" width="10.85546875" style="8" customWidth="1"/>
    <col min="6082" max="6082" width="14.5703125" style="8" customWidth="1"/>
    <col min="6083" max="6084" width="15.5703125" style="8" customWidth="1"/>
    <col min="6085" max="6085" width="17.7109375" style="8" customWidth="1"/>
    <col min="6086" max="6311" width="29.28515625" style="8" customWidth="1"/>
    <col min="6312" max="6312" width="42.42578125" style="8" customWidth="1"/>
    <col min="6313" max="6315" width="12.42578125" style="8" customWidth="1"/>
    <col min="6316" max="6318" width="10.85546875" style="8" customWidth="1"/>
    <col min="6319" max="6321" width="14.5703125" style="8" bestFit="1" customWidth="1"/>
    <col min="6322" max="6324" width="11" style="8" customWidth="1"/>
    <col min="6325" max="6327" width="14.5703125" style="8" customWidth="1"/>
    <col min="6328" max="6330" width="15.28515625" style="8" customWidth="1"/>
    <col min="6331" max="6331" width="15.5703125" style="8"/>
    <col min="6332" max="6332" width="44.5703125" style="8" customWidth="1"/>
    <col min="6333" max="6333" width="13.85546875" style="8" customWidth="1"/>
    <col min="6334" max="6334" width="10.85546875" style="8" customWidth="1"/>
    <col min="6335" max="6335" width="14.5703125" style="8" customWidth="1"/>
    <col min="6336" max="6336" width="11" style="8" customWidth="1"/>
    <col min="6337" max="6337" width="10.85546875" style="8" customWidth="1"/>
    <col min="6338" max="6338" width="14.5703125" style="8" customWidth="1"/>
    <col min="6339" max="6340" width="15.5703125" style="8" customWidth="1"/>
    <col min="6341" max="6341" width="17.7109375" style="8" customWidth="1"/>
    <col min="6342" max="6567" width="29.28515625" style="8" customWidth="1"/>
    <col min="6568" max="6568" width="42.42578125" style="8" customWidth="1"/>
    <col min="6569" max="6571" width="12.42578125" style="8" customWidth="1"/>
    <col min="6572" max="6574" width="10.85546875" style="8" customWidth="1"/>
    <col min="6575" max="6577" width="14.5703125" style="8" bestFit="1" customWidth="1"/>
    <col min="6578" max="6580" width="11" style="8" customWidth="1"/>
    <col min="6581" max="6583" width="14.5703125" style="8" customWidth="1"/>
    <col min="6584" max="6586" width="15.28515625" style="8" customWidth="1"/>
    <col min="6587" max="6587" width="15.5703125" style="8"/>
    <col min="6588" max="6588" width="44.5703125" style="8" customWidth="1"/>
    <col min="6589" max="6589" width="13.85546875" style="8" customWidth="1"/>
    <col min="6590" max="6590" width="10.85546875" style="8" customWidth="1"/>
    <col min="6591" max="6591" width="14.5703125" style="8" customWidth="1"/>
    <col min="6592" max="6592" width="11" style="8" customWidth="1"/>
    <col min="6593" max="6593" width="10.85546875" style="8" customWidth="1"/>
    <col min="6594" max="6594" width="14.5703125" style="8" customWidth="1"/>
    <col min="6595" max="6596" width="15.5703125" style="8" customWidth="1"/>
    <col min="6597" max="6597" width="17.7109375" style="8" customWidth="1"/>
    <col min="6598" max="6823" width="29.28515625" style="8" customWidth="1"/>
    <col min="6824" max="6824" width="42.42578125" style="8" customWidth="1"/>
    <col min="6825" max="6827" width="12.42578125" style="8" customWidth="1"/>
    <col min="6828" max="6830" width="10.85546875" style="8" customWidth="1"/>
    <col min="6831" max="6833" width="14.5703125" style="8" bestFit="1" customWidth="1"/>
    <col min="6834" max="6836" width="11" style="8" customWidth="1"/>
    <col min="6837" max="6839" width="14.5703125" style="8" customWidth="1"/>
    <col min="6840" max="6842" width="15.28515625" style="8" customWidth="1"/>
    <col min="6843" max="6843" width="15.5703125" style="8"/>
    <col min="6844" max="6844" width="44.5703125" style="8" customWidth="1"/>
    <col min="6845" max="6845" width="13.85546875" style="8" customWidth="1"/>
    <col min="6846" max="6846" width="10.85546875" style="8" customWidth="1"/>
    <col min="6847" max="6847" width="14.5703125" style="8" customWidth="1"/>
    <col min="6848" max="6848" width="11" style="8" customWidth="1"/>
    <col min="6849" max="6849" width="10.85546875" style="8" customWidth="1"/>
    <col min="6850" max="6850" width="14.5703125" style="8" customWidth="1"/>
    <col min="6851" max="6852" width="15.5703125" style="8" customWidth="1"/>
    <col min="6853" max="6853" width="17.7109375" style="8" customWidth="1"/>
    <col min="6854" max="7079" width="29.28515625" style="8" customWidth="1"/>
    <col min="7080" max="7080" width="42.42578125" style="8" customWidth="1"/>
    <col min="7081" max="7083" width="12.42578125" style="8" customWidth="1"/>
    <col min="7084" max="7086" width="10.85546875" style="8" customWidth="1"/>
    <col min="7087" max="7089" width="14.5703125" style="8" bestFit="1" customWidth="1"/>
    <col min="7090" max="7092" width="11" style="8" customWidth="1"/>
    <col min="7093" max="7095" width="14.5703125" style="8" customWidth="1"/>
    <col min="7096" max="7098" width="15.28515625" style="8" customWidth="1"/>
    <col min="7099" max="7099" width="15.5703125" style="8"/>
    <col min="7100" max="7100" width="44.5703125" style="8" customWidth="1"/>
    <col min="7101" max="7101" width="13.85546875" style="8" customWidth="1"/>
    <col min="7102" max="7102" width="10.85546875" style="8" customWidth="1"/>
    <col min="7103" max="7103" width="14.5703125" style="8" customWidth="1"/>
    <col min="7104" max="7104" width="11" style="8" customWidth="1"/>
    <col min="7105" max="7105" width="10.85546875" style="8" customWidth="1"/>
    <col min="7106" max="7106" width="14.5703125" style="8" customWidth="1"/>
    <col min="7107" max="7108" width="15.5703125" style="8" customWidth="1"/>
    <col min="7109" max="7109" width="17.7109375" style="8" customWidth="1"/>
    <col min="7110" max="7335" width="29.28515625" style="8" customWidth="1"/>
    <col min="7336" max="7336" width="42.42578125" style="8" customWidth="1"/>
    <col min="7337" max="7339" width="12.42578125" style="8" customWidth="1"/>
    <col min="7340" max="7342" width="10.85546875" style="8" customWidth="1"/>
    <col min="7343" max="7345" width="14.5703125" style="8" bestFit="1" customWidth="1"/>
    <col min="7346" max="7348" width="11" style="8" customWidth="1"/>
    <col min="7349" max="7351" width="14.5703125" style="8" customWidth="1"/>
    <col min="7352" max="7354" width="15.28515625" style="8" customWidth="1"/>
    <col min="7355" max="7355" width="15.5703125" style="8"/>
    <col min="7356" max="7356" width="44.5703125" style="8" customWidth="1"/>
    <col min="7357" max="7357" width="13.85546875" style="8" customWidth="1"/>
    <col min="7358" max="7358" width="10.85546875" style="8" customWidth="1"/>
    <col min="7359" max="7359" width="14.5703125" style="8" customWidth="1"/>
    <col min="7360" max="7360" width="11" style="8" customWidth="1"/>
    <col min="7361" max="7361" width="10.85546875" style="8" customWidth="1"/>
    <col min="7362" max="7362" width="14.5703125" style="8" customWidth="1"/>
    <col min="7363" max="7364" width="15.5703125" style="8" customWidth="1"/>
    <col min="7365" max="7365" width="17.7109375" style="8" customWidth="1"/>
    <col min="7366" max="7591" width="29.28515625" style="8" customWidth="1"/>
    <col min="7592" max="7592" width="42.42578125" style="8" customWidth="1"/>
    <col min="7593" max="7595" width="12.42578125" style="8" customWidth="1"/>
    <col min="7596" max="7598" width="10.85546875" style="8" customWidth="1"/>
    <col min="7599" max="7601" width="14.5703125" style="8" bestFit="1" customWidth="1"/>
    <col min="7602" max="7604" width="11" style="8" customWidth="1"/>
    <col min="7605" max="7607" width="14.5703125" style="8" customWidth="1"/>
    <col min="7608" max="7610" width="15.28515625" style="8" customWidth="1"/>
    <col min="7611" max="7611" width="15.5703125" style="8"/>
    <col min="7612" max="7612" width="44.5703125" style="8" customWidth="1"/>
    <col min="7613" max="7613" width="13.85546875" style="8" customWidth="1"/>
    <col min="7614" max="7614" width="10.85546875" style="8" customWidth="1"/>
    <col min="7615" max="7615" width="14.5703125" style="8" customWidth="1"/>
    <col min="7616" max="7616" width="11" style="8" customWidth="1"/>
    <col min="7617" max="7617" width="10.85546875" style="8" customWidth="1"/>
    <col min="7618" max="7618" width="14.5703125" style="8" customWidth="1"/>
    <col min="7619" max="7620" width="15.5703125" style="8" customWidth="1"/>
    <col min="7621" max="7621" width="17.7109375" style="8" customWidth="1"/>
    <col min="7622" max="7847" width="29.28515625" style="8" customWidth="1"/>
    <col min="7848" max="7848" width="42.42578125" style="8" customWidth="1"/>
    <col min="7849" max="7851" width="12.42578125" style="8" customWidth="1"/>
    <col min="7852" max="7854" width="10.85546875" style="8" customWidth="1"/>
    <col min="7855" max="7857" width="14.5703125" style="8" bestFit="1" customWidth="1"/>
    <col min="7858" max="7860" width="11" style="8" customWidth="1"/>
    <col min="7861" max="7863" width="14.5703125" style="8" customWidth="1"/>
    <col min="7864" max="7866" width="15.28515625" style="8" customWidth="1"/>
    <col min="7867" max="7867" width="15.5703125" style="8"/>
    <col min="7868" max="7868" width="44.5703125" style="8" customWidth="1"/>
    <col min="7869" max="7869" width="13.85546875" style="8" customWidth="1"/>
    <col min="7870" max="7870" width="10.85546875" style="8" customWidth="1"/>
    <col min="7871" max="7871" width="14.5703125" style="8" customWidth="1"/>
    <col min="7872" max="7872" width="11" style="8" customWidth="1"/>
    <col min="7873" max="7873" width="10.85546875" style="8" customWidth="1"/>
    <col min="7874" max="7874" width="14.5703125" style="8" customWidth="1"/>
    <col min="7875" max="7876" width="15.5703125" style="8" customWidth="1"/>
    <col min="7877" max="7877" width="17.7109375" style="8" customWidth="1"/>
    <col min="7878" max="8103" width="29.28515625" style="8" customWidth="1"/>
    <col min="8104" max="8104" width="42.42578125" style="8" customWidth="1"/>
    <col min="8105" max="8107" width="12.42578125" style="8" customWidth="1"/>
    <col min="8108" max="8110" width="10.85546875" style="8" customWidth="1"/>
    <col min="8111" max="8113" width="14.5703125" style="8" bestFit="1" customWidth="1"/>
    <col min="8114" max="8116" width="11" style="8" customWidth="1"/>
    <col min="8117" max="8119" width="14.5703125" style="8" customWidth="1"/>
    <col min="8120" max="8122" width="15.28515625" style="8" customWidth="1"/>
    <col min="8123" max="8123" width="15.5703125" style="8"/>
    <col min="8124" max="8124" width="44.5703125" style="8" customWidth="1"/>
    <col min="8125" max="8125" width="13.85546875" style="8" customWidth="1"/>
    <col min="8126" max="8126" width="10.85546875" style="8" customWidth="1"/>
    <col min="8127" max="8127" width="14.5703125" style="8" customWidth="1"/>
    <col min="8128" max="8128" width="11" style="8" customWidth="1"/>
    <col min="8129" max="8129" width="10.85546875" style="8" customWidth="1"/>
    <col min="8130" max="8130" width="14.5703125" style="8" customWidth="1"/>
    <col min="8131" max="8132" width="15.5703125" style="8" customWidth="1"/>
    <col min="8133" max="8133" width="17.7109375" style="8" customWidth="1"/>
    <col min="8134" max="8359" width="29.28515625" style="8" customWidth="1"/>
    <col min="8360" max="8360" width="42.42578125" style="8" customWidth="1"/>
    <col min="8361" max="8363" width="12.42578125" style="8" customWidth="1"/>
    <col min="8364" max="8366" width="10.85546875" style="8" customWidth="1"/>
    <col min="8367" max="8369" width="14.5703125" style="8" bestFit="1" customWidth="1"/>
    <col min="8370" max="8372" width="11" style="8" customWidth="1"/>
    <col min="8373" max="8375" width="14.5703125" style="8" customWidth="1"/>
    <col min="8376" max="8378" width="15.28515625" style="8" customWidth="1"/>
    <col min="8379" max="8379" width="15.5703125" style="8"/>
    <col min="8380" max="8380" width="44.5703125" style="8" customWidth="1"/>
    <col min="8381" max="8381" width="13.85546875" style="8" customWidth="1"/>
    <col min="8382" max="8382" width="10.85546875" style="8" customWidth="1"/>
    <col min="8383" max="8383" width="14.5703125" style="8" customWidth="1"/>
    <col min="8384" max="8384" width="11" style="8" customWidth="1"/>
    <col min="8385" max="8385" width="10.85546875" style="8" customWidth="1"/>
    <col min="8386" max="8386" width="14.5703125" style="8" customWidth="1"/>
    <col min="8387" max="8388" width="15.5703125" style="8" customWidth="1"/>
    <col min="8389" max="8389" width="17.7109375" style="8" customWidth="1"/>
    <col min="8390" max="8615" width="29.28515625" style="8" customWidth="1"/>
    <col min="8616" max="8616" width="42.42578125" style="8" customWidth="1"/>
    <col min="8617" max="8619" width="12.42578125" style="8" customWidth="1"/>
    <col min="8620" max="8622" width="10.85546875" style="8" customWidth="1"/>
    <col min="8623" max="8625" width="14.5703125" style="8" bestFit="1" customWidth="1"/>
    <col min="8626" max="8628" width="11" style="8" customWidth="1"/>
    <col min="8629" max="8631" width="14.5703125" style="8" customWidth="1"/>
    <col min="8632" max="8634" width="15.28515625" style="8" customWidth="1"/>
    <col min="8635" max="8635" width="15.5703125" style="8"/>
    <col min="8636" max="8636" width="44.5703125" style="8" customWidth="1"/>
    <col min="8637" max="8637" width="13.85546875" style="8" customWidth="1"/>
    <col min="8638" max="8638" width="10.85546875" style="8" customWidth="1"/>
    <col min="8639" max="8639" width="14.5703125" style="8" customWidth="1"/>
    <col min="8640" max="8640" width="11" style="8" customWidth="1"/>
    <col min="8641" max="8641" width="10.85546875" style="8" customWidth="1"/>
    <col min="8642" max="8642" width="14.5703125" style="8" customWidth="1"/>
    <col min="8643" max="8644" width="15.5703125" style="8" customWidth="1"/>
    <col min="8645" max="8645" width="17.7109375" style="8" customWidth="1"/>
    <col min="8646" max="8871" width="29.28515625" style="8" customWidth="1"/>
    <col min="8872" max="8872" width="42.42578125" style="8" customWidth="1"/>
    <col min="8873" max="8875" width="12.42578125" style="8" customWidth="1"/>
    <col min="8876" max="8878" width="10.85546875" style="8" customWidth="1"/>
    <col min="8879" max="8881" width="14.5703125" style="8" bestFit="1" customWidth="1"/>
    <col min="8882" max="8884" width="11" style="8" customWidth="1"/>
    <col min="8885" max="8887" width="14.5703125" style="8" customWidth="1"/>
    <col min="8888" max="8890" width="15.28515625" style="8" customWidth="1"/>
    <col min="8891" max="8891" width="15.5703125" style="8"/>
    <col min="8892" max="8892" width="44.5703125" style="8" customWidth="1"/>
    <col min="8893" max="8893" width="13.85546875" style="8" customWidth="1"/>
    <col min="8894" max="8894" width="10.85546875" style="8" customWidth="1"/>
    <col min="8895" max="8895" width="14.5703125" style="8" customWidth="1"/>
    <col min="8896" max="8896" width="11" style="8" customWidth="1"/>
    <col min="8897" max="8897" width="10.85546875" style="8" customWidth="1"/>
    <col min="8898" max="8898" width="14.5703125" style="8" customWidth="1"/>
    <col min="8899" max="8900" width="15.5703125" style="8" customWidth="1"/>
    <col min="8901" max="8901" width="17.7109375" style="8" customWidth="1"/>
    <col min="8902" max="9127" width="29.28515625" style="8" customWidth="1"/>
    <col min="9128" max="9128" width="42.42578125" style="8" customWidth="1"/>
    <col min="9129" max="9131" width="12.42578125" style="8" customWidth="1"/>
    <col min="9132" max="9134" width="10.85546875" style="8" customWidth="1"/>
    <col min="9135" max="9137" width="14.5703125" style="8" bestFit="1" customWidth="1"/>
    <col min="9138" max="9140" width="11" style="8" customWidth="1"/>
    <col min="9141" max="9143" width="14.5703125" style="8" customWidth="1"/>
    <col min="9144" max="9146" width="15.28515625" style="8" customWidth="1"/>
    <col min="9147" max="9147" width="15.5703125" style="8"/>
    <col min="9148" max="9148" width="44.5703125" style="8" customWidth="1"/>
    <col min="9149" max="9149" width="13.85546875" style="8" customWidth="1"/>
    <col min="9150" max="9150" width="10.85546875" style="8" customWidth="1"/>
    <col min="9151" max="9151" width="14.5703125" style="8" customWidth="1"/>
    <col min="9152" max="9152" width="11" style="8" customWidth="1"/>
    <col min="9153" max="9153" width="10.85546875" style="8" customWidth="1"/>
    <col min="9154" max="9154" width="14.5703125" style="8" customWidth="1"/>
    <col min="9155" max="9156" width="15.5703125" style="8" customWidth="1"/>
    <col min="9157" max="9157" width="17.7109375" style="8" customWidth="1"/>
    <col min="9158" max="9383" width="29.28515625" style="8" customWidth="1"/>
    <col min="9384" max="9384" width="42.42578125" style="8" customWidth="1"/>
    <col min="9385" max="9387" width="12.42578125" style="8" customWidth="1"/>
    <col min="9388" max="9390" width="10.85546875" style="8" customWidth="1"/>
    <col min="9391" max="9393" width="14.5703125" style="8" bestFit="1" customWidth="1"/>
    <col min="9394" max="9396" width="11" style="8" customWidth="1"/>
    <col min="9397" max="9399" width="14.5703125" style="8" customWidth="1"/>
    <col min="9400" max="9402" width="15.28515625" style="8" customWidth="1"/>
    <col min="9403" max="9403" width="15.5703125" style="8"/>
    <col min="9404" max="9404" width="44.5703125" style="8" customWidth="1"/>
    <col min="9405" max="9405" width="13.85546875" style="8" customWidth="1"/>
    <col min="9406" max="9406" width="10.85546875" style="8" customWidth="1"/>
    <col min="9407" max="9407" width="14.5703125" style="8" customWidth="1"/>
    <col min="9408" max="9408" width="11" style="8" customWidth="1"/>
    <col min="9409" max="9409" width="10.85546875" style="8" customWidth="1"/>
    <col min="9410" max="9410" width="14.5703125" style="8" customWidth="1"/>
    <col min="9411" max="9412" width="15.5703125" style="8" customWidth="1"/>
    <col min="9413" max="9413" width="17.7109375" style="8" customWidth="1"/>
    <col min="9414" max="9639" width="29.28515625" style="8" customWidth="1"/>
    <col min="9640" max="9640" width="42.42578125" style="8" customWidth="1"/>
    <col min="9641" max="9643" width="12.42578125" style="8" customWidth="1"/>
    <col min="9644" max="9646" width="10.85546875" style="8" customWidth="1"/>
    <col min="9647" max="9649" width="14.5703125" style="8" bestFit="1" customWidth="1"/>
    <col min="9650" max="9652" width="11" style="8" customWidth="1"/>
    <col min="9653" max="9655" width="14.5703125" style="8" customWidth="1"/>
    <col min="9656" max="9658" width="15.28515625" style="8" customWidth="1"/>
    <col min="9659" max="9659" width="15.5703125" style="8"/>
    <col min="9660" max="9660" width="44.5703125" style="8" customWidth="1"/>
    <col min="9661" max="9661" width="13.85546875" style="8" customWidth="1"/>
    <col min="9662" max="9662" width="10.85546875" style="8" customWidth="1"/>
    <col min="9663" max="9663" width="14.5703125" style="8" customWidth="1"/>
    <col min="9664" max="9664" width="11" style="8" customWidth="1"/>
    <col min="9665" max="9665" width="10.85546875" style="8" customWidth="1"/>
    <col min="9666" max="9666" width="14.5703125" style="8" customWidth="1"/>
    <col min="9667" max="9668" width="15.5703125" style="8" customWidth="1"/>
    <col min="9669" max="9669" width="17.7109375" style="8" customWidth="1"/>
    <col min="9670" max="9895" width="29.28515625" style="8" customWidth="1"/>
    <col min="9896" max="9896" width="42.42578125" style="8" customWidth="1"/>
    <col min="9897" max="9899" width="12.42578125" style="8" customWidth="1"/>
    <col min="9900" max="9902" width="10.85546875" style="8" customWidth="1"/>
    <col min="9903" max="9905" width="14.5703125" style="8" bestFit="1" customWidth="1"/>
    <col min="9906" max="9908" width="11" style="8" customWidth="1"/>
    <col min="9909" max="9911" width="14.5703125" style="8" customWidth="1"/>
    <col min="9912" max="9914" width="15.28515625" style="8" customWidth="1"/>
    <col min="9915" max="9915" width="15.5703125" style="8"/>
    <col min="9916" max="9916" width="44.5703125" style="8" customWidth="1"/>
    <col min="9917" max="9917" width="13.85546875" style="8" customWidth="1"/>
    <col min="9918" max="9918" width="10.85546875" style="8" customWidth="1"/>
    <col min="9919" max="9919" width="14.5703125" style="8" customWidth="1"/>
    <col min="9920" max="9920" width="11" style="8" customWidth="1"/>
    <col min="9921" max="9921" width="10.85546875" style="8" customWidth="1"/>
    <col min="9922" max="9922" width="14.5703125" style="8" customWidth="1"/>
    <col min="9923" max="9924" width="15.5703125" style="8" customWidth="1"/>
    <col min="9925" max="9925" width="17.7109375" style="8" customWidth="1"/>
    <col min="9926" max="10151" width="29.28515625" style="8" customWidth="1"/>
    <col min="10152" max="10152" width="42.42578125" style="8" customWidth="1"/>
    <col min="10153" max="10155" width="12.42578125" style="8" customWidth="1"/>
    <col min="10156" max="10158" width="10.85546875" style="8" customWidth="1"/>
    <col min="10159" max="10161" width="14.5703125" style="8" bestFit="1" customWidth="1"/>
    <col min="10162" max="10164" width="11" style="8" customWidth="1"/>
    <col min="10165" max="10167" width="14.5703125" style="8" customWidth="1"/>
    <col min="10168" max="10170" width="15.28515625" style="8" customWidth="1"/>
    <col min="10171" max="10171" width="15.5703125" style="8"/>
    <col min="10172" max="10172" width="44.5703125" style="8" customWidth="1"/>
    <col min="10173" max="10173" width="13.85546875" style="8" customWidth="1"/>
    <col min="10174" max="10174" width="10.85546875" style="8" customWidth="1"/>
    <col min="10175" max="10175" width="14.5703125" style="8" customWidth="1"/>
    <col min="10176" max="10176" width="11" style="8" customWidth="1"/>
    <col min="10177" max="10177" width="10.85546875" style="8" customWidth="1"/>
    <col min="10178" max="10178" width="14.5703125" style="8" customWidth="1"/>
    <col min="10179" max="10180" width="15.5703125" style="8" customWidth="1"/>
    <col min="10181" max="10181" width="17.7109375" style="8" customWidth="1"/>
    <col min="10182" max="10407" width="29.28515625" style="8" customWidth="1"/>
    <col min="10408" max="10408" width="42.42578125" style="8" customWidth="1"/>
    <col min="10409" max="10411" width="12.42578125" style="8" customWidth="1"/>
    <col min="10412" max="10414" width="10.85546875" style="8" customWidth="1"/>
    <col min="10415" max="10417" width="14.5703125" style="8" bestFit="1" customWidth="1"/>
    <col min="10418" max="10420" width="11" style="8" customWidth="1"/>
    <col min="10421" max="10423" width="14.5703125" style="8" customWidth="1"/>
    <col min="10424" max="10426" width="15.28515625" style="8" customWidth="1"/>
    <col min="10427" max="10427" width="15.5703125" style="8"/>
    <col min="10428" max="10428" width="44.5703125" style="8" customWidth="1"/>
    <col min="10429" max="10429" width="13.85546875" style="8" customWidth="1"/>
    <col min="10430" max="10430" width="10.85546875" style="8" customWidth="1"/>
    <col min="10431" max="10431" width="14.5703125" style="8" customWidth="1"/>
    <col min="10432" max="10432" width="11" style="8" customWidth="1"/>
    <col min="10433" max="10433" width="10.85546875" style="8" customWidth="1"/>
    <col min="10434" max="10434" width="14.5703125" style="8" customWidth="1"/>
    <col min="10435" max="10436" width="15.5703125" style="8" customWidth="1"/>
    <col min="10437" max="10437" width="17.7109375" style="8" customWidth="1"/>
    <col min="10438" max="10663" width="29.28515625" style="8" customWidth="1"/>
    <col min="10664" max="10664" width="42.42578125" style="8" customWidth="1"/>
    <col min="10665" max="10667" width="12.42578125" style="8" customWidth="1"/>
    <col min="10668" max="10670" width="10.85546875" style="8" customWidth="1"/>
    <col min="10671" max="10673" width="14.5703125" style="8" bestFit="1" customWidth="1"/>
    <col min="10674" max="10676" width="11" style="8" customWidth="1"/>
    <col min="10677" max="10679" width="14.5703125" style="8" customWidth="1"/>
    <col min="10680" max="10682" width="15.28515625" style="8" customWidth="1"/>
    <col min="10683" max="10683" width="15.5703125" style="8"/>
    <col min="10684" max="10684" width="44.5703125" style="8" customWidth="1"/>
    <col min="10685" max="10685" width="13.85546875" style="8" customWidth="1"/>
    <col min="10686" max="10686" width="10.85546875" style="8" customWidth="1"/>
    <col min="10687" max="10687" width="14.5703125" style="8" customWidth="1"/>
    <col min="10688" max="10688" width="11" style="8" customWidth="1"/>
    <col min="10689" max="10689" width="10.85546875" style="8" customWidth="1"/>
    <col min="10690" max="10690" width="14.5703125" style="8" customWidth="1"/>
    <col min="10691" max="10692" width="15.5703125" style="8" customWidth="1"/>
    <col min="10693" max="10693" width="17.7109375" style="8" customWidth="1"/>
    <col min="10694" max="10919" width="29.28515625" style="8" customWidth="1"/>
    <col min="10920" max="10920" width="42.42578125" style="8" customWidth="1"/>
    <col min="10921" max="10923" width="12.42578125" style="8" customWidth="1"/>
    <col min="10924" max="10926" width="10.85546875" style="8" customWidth="1"/>
    <col min="10927" max="10929" width="14.5703125" style="8" bestFit="1" customWidth="1"/>
    <col min="10930" max="10932" width="11" style="8" customWidth="1"/>
    <col min="10933" max="10935" width="14.5703125" style="8" customWidth="1"/>
    <col min="10936" max="10938" width="15.28515625" style="8" customWidth="1"/>
    <col min="10939" max="10939" width="15.5703125" style="8"/>
    <col min="10940" max="10940" width="44.5703125" style="8" customWidth="1"/>
    <col min="10941" max="10941" width="13.85546875" style="8" customWidth="1"/>
    <col min="10942" max="10942" width="10.85546875" style="8" customWidth="1"/>
    <col min="10943" max="10943" width="14.5703125" style="8" customWidth="1"/>
    <col min="10944" max="10944" width="11" style="8" customWidth="1"/>
    <col min="10945" max="10945" width="10.85546875" style="8" customWidth="1"/>
    <col min="10946" max="10946" width="14.5703125" style="8" customWidth="1"/>
    <col min="10947" max="10948" width="15.5703125" style="8" customWidth="1"/>
    <col min="10949" max="10949" width="17.7109375" style="8" customWidth="1"/>
    <col min="10950" max="11175" width="29.28515625" style="8" customWidth="1"/>
    <col min="11176" max="11176" width="42.42578125" style="8" customWidth="1"/>
    <col min="11177" max="11179" width="12.42578125" style="8" customWidth="1"/>
    <col min="11180" max="11182" width="10.85546875" style="8" customWidth="1"/>
    <col min="11183" max="11185" width="14.5703125" style="8" bestFit="1" customWidth="1"/>
    <col min="11186" max="11188" width="11" style="8" customWidth="1"/>
    <col min="11189" max="11191" width="14.5703125" style="8" customWidth="1"/>
    <col min="11192" max="11194" width="15.28515625" style="8" customWidth="1"/>
    <col min="11195" max="11195" width="15.5703125" style="8"/>
    <col min="11196" max="11196" width="44.5703125" style="8" customWidth="1"/>
    <col min="11197" max="11197" width="13.85546875" style="8" customWidth="1"/>
    <col min="11198" max="11198" width="10.85546875" style="8" customWidth="1"/>
    <col min="11199" max="11199" width="14.5703125" style="8" customWidth="1"/>
    <col min="11200" max="11200" width="11" style="8" customWidth="1"/>
    <col min="11201" max="11201" width="10.85546875" style="8" customWidth="1"/>
    <col min="11202" max="11202" width="14.5703125" style="8" customWidth="1"/>
    <col min="11203" max="11204" width="15.5703125" style="8" customWidth="1"/>
    <col min="11205" max="11205" width="17.7109375" style="8" customWidth="1"/>
    <col min="11206" max="11431" width="29.28515625" style="8" customWidth="1"/>
    <col min="11432" max="11432" width="42.42578125" style="8" customWidth="1"/>
    <col min="11433" max="11435" width="12.42578125" style="8" customWidth="1"/>
    <col min="11436" max="11438" width="10.85546875" style="8" customWidth="1"/>
    <col min="11439" max="11441" width="14.5703125" style="8" bestFit="1" customWidth="1"/>
    <col min="11442" max="11444" width="11" style="8" customWidth="1"/>
    <col min="11445" max="11447" width="14.5703125" style="8" customWidth="1"/>
    <col min="11448" max="11450" width="15.28515625" style="8" customWidth="1"/>
    <col min="11451" max="11451" width="15.5703125" style="8"/>
    <col min="11452" max="11452" width="44.5703125" style="8" customWidth="1"/>
    <col min="11453" max="11453" width="13.85546875" style="8" customWidth="1"/>
    <col min="11454" max="11454" width="10.85546875" style="8" customWidth="1"/>
    <col min="11455" max="11455" width="14.5703125" style="8" customWidth="1"/>
    <col min="11456" max="11456" width="11" style="8" customWidth="1"/>
    <col min="11457" max="11457" width="10.85546875" style="8" customWidth="1"/>
    <col min="11458" max="11458" width="14.5703125" style="8" customWidth="1"/>
    <col min="11459" max="11460" width="15.5703125" style="8" customWidth="1"/>
    <col min="11461" max="11461" width="17.7109375" style="8" customWidth="1"/>
    <col min="11462" max="11687" width="29.28515625" style="8" customWidth="1"/>
    <col min="11688" max="11688" width="42.42578125" style="8" customWidth="1"/>
    <col min="11689" max="11691" width="12.42578125" style="8" customWidth="1"/>
    <col min="11692" max="11694" width="10.85546875" style="8" customWidth="1"/>
    <col min="11695" max="11697" width="14.5703125" style="8" bestFit="1" customWidth="1"/>
    <col min="11698" max="11700" width="11" style="8" customWidth="1"/>
    <col min="11701" max="11703" width="14.5703125" style="8" customWidth="1"/>
    <col min="11704" max="11706" width="15.28515625" style="8" customWidth="1"/>
    <col min="11707" max="11707" width="15.5703125" style="8"/>
    <col min="11708" max="11708" width="44.5703125" style="8" customWidth="1"/>
    <col min="11709" max="11709" width="13.85546875" style="8" customWidth="1"/>
    <col min="11710" max="11710" width="10.85546875" style="8" customWidth="1"/>
    <col min="11711" max="11711" width="14.5703125" style="8" customWidth="1"/>
    <col min="11712" max="11712" width="11" style="8" customWidth="1"/>
    <col min="11713" max="11713" width="10.85546875" style="8" customWidth="1"/>
    <col min="11714" max="11714" width="14.5703125" style="8" customWidth="1"/>
    <col min="11715" max="11716" width="15.5703125" style="8" customWidth="1"/>
    <col min="11717" max="11717" width="17.7109375" style="8" customWidth="1"/>
    <col min="11718" max="11943" width="29.28515625" style="8" customWidth="1"/>
    <col min="11944" max="11944" width="42.42578125" style="8" customWidth="1"/>
    <col min="11945" max="11947" width="12.42578125" style="8" customWidth="1"/>
    <col min="11948" max="11950" width="10.85546875" style="8" customWidth="1"/>
    <col min="11951" max="11953" width="14.5703125" style="8" bestFit="1" customWidth="1"/>
    <col min="11954" max="11956" width="11" style="8" customWidth="1"/>
    <col min="11957" max="11959" width="14.5703125" style="8" customWidth="1"/>
    <col min="11960" max="11962" width="15.28515625" style="8" customWidth="1"/>
    <col min="11963" max="11963" width="15.5703125" style="8"/>
    <col min="11964" max="11964" width="44.5703125" style="8" customWidth="1"/>
    <col min="11965" max="11965" width="13.85546875" style="8" customWidth="1"/>
    <col min="11966" max="11966" width="10.85546875" style="8" customWidth="1"/>
    <col min="11967" max="11967" width="14.5703125" style="8" customWidth="1"/>
    <col min="11968" max="11968" width="11" style="8" customWidth="1"/>
    <col min="11969" max="11969" width="10.85546875" style="8" customWidth="1"/>
    <col min="11970" max="11970" width="14.5703125" style="8" customWidth="1"/>
    <col min="11971" max="11972" width="15.5703125" style="8" customWidth="1"/>
    <col min="11973" max="11973" width="17.7109375" style="8" customWidth="1"/>
    <col min="11974" max="12199" width="29.28515625" style="8" customWidth="1"/>
    <col min="12200" max="12200" width="42.42578125" style="8" customWidth="1"/>
    <col min="12201" max="12203" width="12.42578125" style="8" customWidth="1"/>
    <col min="12204" max="12206" width="10.85546875" style="8" customWidth="1"/>
    <col min="12207" max="12209" width="14.5703125" style="8" bestFit="1" customWidth="1"/>
    <col min="12210" max="12212" width="11" style="8" customWidth="1"/>
    <col min="12213" max="12215" width="14.5703125" style="8" customWidth="1"/>
    <col min="12216" max="12218" width="15.28515625" style="8" customWidth="1"/>
    <col min="12219" max="12219" width="15.5703125" style="8"/>
    <col min="12220" max="12220" width="44.5703125" style="8" customWidth="1"/>
    <col min="12221" max="12221" width="13.85546875" style="8" customWidth="1"/>
    <col min="12222" max="12222" width="10.85546875" style="8" customWidth="1"/>
    <col min="12223" max="12223" width="14.5703125" style="8" customWidth="1"/>
    <col min="12224" max="12224" width="11" style="8" customWidth="1"/>
    <col min="12225" max="12225" width="10.85546875" style="8" customWidth="1"/>
    <col min="12226" max="12226" width="14.5703125" style="8" customWidth="1"/>
    <col min="12227" max="12228" width="15.5703125" style="8" customWidth="1"/>
    <col min="12229" max="12229" width="17.7109375" style="8" customWidth="1"/>
    <col min="12230" max="12455" width="29.28515625" style="8" customWidth="1"/>
    <col min="12456" max="12456" width="42.42578125" style="8" customWidth="1"/>
    <col min="12457" max="12459" width="12.42578125" style="8" customWidth="1"/>
    <col min="12460" max="12462" width="10.85546875" style="8" customWidth="1"/>
    <col min="12463" max="12465" width="14.5703125" style="8" bestFit="1" customWidth="1"/>
    <col min="12466" max="12468" width="11" style="8" customWidth="1"/>
    <col min="12469" max="12471" width="14.5703125" style="8" customWidth="1"/>
    <col min="12472" max="12474" width="15.28515625" style="8" customWidth="1"/>
    <col min="12475" max="12475" width="15.5703125" style="8"/>
    <col min="12476" max="12476" width="44.5703125" style="8" customWidth="1"/>
    <col min="12477" max="12477" width="13.85546875" style="8" customWidth="1"/>
    <col min="12478" max="12478" width="10.85546875" style="8" customWidth="1"/>
    <col min="12479" max="12479" width="14.5703125" style="8" customWidth="1"/>
    <col min="12480" max="12480" width="11" style="8" customWidth="1"/>
    <col min="12481" max="12481" width="10.85546875" style="8" customWidth="1"/>
    <col min="12482" max="12482" width="14.5703125" style="8" customWidth="1"/>
    <col min="12483" max="12484" width="15.5703125" style="8" customWidth="1"/>
    <col min="12485" max="12485" width="17.7109375" style="8" customWidth="1"/>
    <col min="12486" max="12711" width="29.28515625" style="8" customWidth="1"/>
    <col min="12712" max="12712" width="42.42578125" style="8" customWidth="1"/>
    <col min="12713" max="12715" width="12.42578125" style="8" customWidth="1"/>
    <col min="12716" max="12718" width="10.85546875" style="8" customWidth="1"/>
    <col min="12719" max="12721" width="14.5703125" style="8" bestFit="1" customWidth="1"/>
    <col min="12722" max="12724" width="11" style="8" customWidth="1"/>
    <col min="12725" max="12727" width="14.5703125" style="8" customWidth="1"/>
    <col min="12728" max="12730" width="15.28515625" style="8" customWidth="1"/>
    <col min="12731" max="12731" width="15.5703125" style="8"/>
    <col min="12732" max="12732" width="44.5703125" style="8" customWidth="1"/>
    <col min="12733" max="12733" width="13.85546875" style="8" customWidth="1"/>
    <col min="12734" max="12734" width="10.85546875" style="8" customWidth="1"/>
    <col min="12735" max="12735" width="14.5703125" style="8" customWidth="1"/>
    <col min="12736" max="12736" width="11" style="8" customWidth="1"/>
    <col min="12737" max="12737" width="10.85546875" style="8" customWidth="1"/>
    <col min="12738" max="12738" width="14.5703125" style="8" customWidth="1"/>
    <col min="12739" max="12740" width="15.5703125" style="8" customWidth="1"/>
    <col min="12741" max="12741" width="17.7109375" style="8" customWidth="1"/>
    <col min="12742" max="12967" width="29.28515625" style="8" customWidth="1"/>
    <col min="12968" max="12968" width="42.42578125" style="8" customWidth="1"/>
    <col min="12969" max="12971" width="12.42578125" style="8" customWidth="1"/>
    <col min="12972" max="12974" width="10.85546875" style="8" customWidth="1"/>
    <col min="12975" max="12977" width="14.5703125" style="8" bestFit="1" customWidth="1"/>
    <col min="12978" max="12980" width="11" style="8" customWidth="1"/>
    <col min="12981" max="12983" width="14.5703125" style="8" customWidth="1"/>
    <col min="12984" max="12986" width="15.28515625" style="8" customWidth="1"/>
    <col min="12987" max="12987" width="15.5703125" style="8"/>
    <col min="12988" max="12988" width="44.5703125" style="8" customWidth="1"/>
    <col min="12989" max="12989" width="13.85546875" style="8" customWidth="1"/>
    <col min="12990" max="12990" width="10.85546875" style="8" customWidth="1"/>
    <col min="12991" max="12991" width="14.5703125" style="8" customWidth="1"/>
    <col min="12992" max="12992" width="11" style="8" customWidth="1"/>
    <col min="12993" max="12993" width="10.85546875" style="8" customWidth="1"/>
    <col min="12994" max="12994" width="14.5703125" style="8" customWidth="1"/>
    <col min="12995" max="12996" width="15.5703125" style="8" customWidth="1"/>
    <col min="12997" max="12997" width="17.7109375" style="8" customWidth="1"/>
    <col min="12998" max="13223" width="29.28515625" style="8" customWidth="1"/>
    <col min="13224" max="13224" width="42.42578125" style="8" customWidth="1"/>
    <col min="13225" max="13227" width="12.42578125" style="8" customWidth="1"/>
    <col min="13228" max="13230" width="10.85546875" style="8" customWidth="1"/>
    <col min="13231" max="13233" width="14.5703125" style="8" bestFit="1" customWidth="1"/>
    <col min="13234" max="13236" width="11" style="8" customWidth="1"/>
    <col min="13237" max="13239" width="14.5703125" style="8" customWidth="1"/>
    <col min="13240" max="13242" width="15.28515625" style="8" customWidth="1"/>
    <col min="13243" max="13243" width="15.5703125" style="8"/>
    <col min="13244" max="13244" width="44.5703125" style="8" customWidth="1"/>
    <col min="13245" max="13245" width="13.85546875" style="8" customWidth="1"/>
    <col min="13246" max="13246" width="10.85546875" style="8" customWidth="1"/>
    <col min="13247" max="13247" width="14.5703125" style="8" customWidth="1"/>
    <col min="13248" max="13248" width="11" style="8" customWidth="1"/>
    <col min="13249" max="13249" width="10.85546875" style="8" customWidth="1"/>
    <col min="13250" max="13250" width="14.5703125" style="8" customWidth="1"/>
    <col min="13251" max="13252" width="15.5703125" style="8" customWidth="1"/>
    <col min="13253" max="13253" width="17.7109375" style="8" customWidth="1"/>
    <col min="13254" max="13479" width="29.28515625" style="8" customWidth="1"/>
    <col min="13480" max="13480" width="42.42578125" style="8" customWidth="1"/>
    <col min="13481" max="13483" width="12.42578125" style="8" customWidth="1"/>
    <col min="13484" max="13486" width="10.85546875" style="8" customWidth="1"/>
    <col min="13487" max="13489" width="14.5703125" style="8" bestFit="1" customWidth="1"/>
    <col min="13490" max="13492" width="11" style="8" customWidth="1"/>
    <col min="13493" max="13495" width="14.5703125" style="8" customWidth="1"/>
    <col min="13496" max="13498" width="15.28515625" style="8" customWidth="1"/>
    <col min="13499" max="13499" width="15.5703125" style="8"/>
    <col min="13500" max="13500" width="44.5703125" style="8" customWidth="1"/>
    <col min="13501" max="13501" width="13.85546875" style="8" customWidth="1"/>
    <col min="13502" max="13502" width="10.85546875" style="8" customWidth="1"/>
    <col min="13503" max="13503" width="14.5703125" style="8" customWidth="1"/>
    <col min="13504" max="13504" width="11" style="8" customWidth="1"/>
    <col min="13505" max="13505" width="10.85546875" style="8" customWidth="1"/>
    <col min="13506" max="13506" width="14.5703125" style="8" customWidth="1"/>
    <col min="13507" max="13508" width="15.5703125" style="8" customWidth="1"/>
    <col min="13509" max="13509" width="17.7109375" style="8" customWidth="1"/>
    <col min="13510" max="13735" width="29.28515625" style="8" customWidth="1"/>
    <col min="13736" max="13736" width="42.42578125" style="8" customWidth="1"/>
    <col min="13737" max="13739" width="12.42578125" style="8" customWidth="1"/>
    <col min="13740" max="13742" width="10.85546875" style="8" customWidth="1"/>
    <col min="13743" max="13745" width="14.5703125" style="8" bestFit="1" customWidth="1"/>
    <col min="13746" max="13748" width="11" style="8" customWidth="1"/>
    <col min="13749" max="13751" width="14.5703125" style="8" customWidth="1"/>
    <col min="13752" max="13754" width="15.28515625" style="8" customWidth="1"/>
    <col min="13755" max="13755" width="15.5703125" style="8"/>
    <col min="13756" max="13756" width="44.5703125" style="8" customWidth="1"/>
    <col min="13757" max="13757" width="13.85546875" style="8" customWidth="1"/>
    <col min="13758" max="13758" width="10.85546875" style="8" customWidth="1"/>
    <col min="13759" max="13759" width="14.5703125" style="8" customWidth="1"/>
    <col min="13760" max="13760" width="11" style="8" customWidth="1"/>
    <col min="13761" max="13761" width="10.85546875" style="8" customWidth="1"/>
    <col min="13762" max="13762" width="14.5703125" style="8" customWidth="1"/>
    <col min="13763" max="13764" width="15.5703125" style="8" customWidth="1"/>
    <col min="13765" max="13765" width="17.7109375" style="8" customWidth="1"/>
    <col min="13766" max="13991" width="29.28515625" style="8" customWidth="1"/>
    <col min="13992" max="13992" width="42.42578125" style="8" customWidth="1"/>
    <col min="13993" max="13995" width="12.42578125" style="8" customWidth="1"/>
    <col min="13996" max="13998" width="10.85546875" style="8" customWidth="1"/>
    <col min="13999" max="14001" width="14.5703125" style="8" bestFit="1" customWidth="1"/>
    <col min="14002" max="14004" width="11" style="8" customWidth="1"/>
    <col min="14005" max="14007" width="14.5703125" style="8" customWidth="1"/>
    <col min="14008" max="14010" width="15.28515625" style="8" customWidth="1"/>
    <col min="14011" max="14011" width="15.5703125" style="8"/>
    <col min="14012" max="14012" width="44.5703125" style="8" customWidth="1"/>
    <col min="14013" max="14013" width="13.85546875" style="8" customWidth="1"/>
    <col min="14014" max="14014" width="10.85546875" style="8" customWidth="1"/>
    <col min="14015" max="14015" width="14.5703125" style="8" customWidth="1"/>
    <col min="14016" max="14016" width="11" style="8" customWidth="1"/>
    <col min="14017" max="14017" width="10.85546875" style="8" customWidth="1"/>
    <col min="14018" max="14018" width="14.5703125" style="8" customWidth="1"/>
    <col min="14019" max="14020" width="15.5703125" style="8" customWidth="1"/>
    <col min="14021" max="14021" width="17.7109375" style="8" customWidth="1"/>
    <col min="14022" max="14247" width="29.28515625" style="8" customWidth="1"/>
    <col min="14248" max="14248" width="42.42578125" style="8" customWidth="1"/>
    <col min="14249" max="14251" width="12.42578125" style="8" customWidth="1"/>
    <col min="14252" max="14254" width="10.85546875" style="8" customWidth="1"/>
    <col min="14255" max="14257" width="14.5703125" style="8" bestFit="1" customWidth="1"/>
    <col min="14258" max="14260" width="11" style="8" customWidth="1"/>
    <col min="14261" max="14263" width="14.5703125" style="8" customWidth="1"/>
    <col min="14264" max="14266" width="15.28515625" style="8" customWidth="1"/>
    <col min="14267" max="14267" width="15.5703125" style="8"/>
    <col min="14268" max="14268" width="44.5703125" style="8" customWidth="1"/>
    <col min="14269" max="14269" width="13.85546875" style="8" customWidth="1"/>
    <col min="14270" max="14270" width="10.85546875" style="8" customWidth="1"/>
    <col min="14271" max="14271" width="14.5703125" style="8" customWidth="1"/>
    <col min="14272" max="14272" width="11" style="8" customWidth="1"/>
    <col min="14273" max="14273" width="10.85546875" style="8" customWidth="1"/>
    <col min="14274" max="14274" width="14.5703125" style="8" customWidth="1"/>
    <col min="14275" max="14276" width="15.5703125" style="8" customWidth="1"/>
    <col min="14277" max="14277" width="17.7109375" style="8" customWidth="1"/>
    <col min="14278" max="14503" width="29.28515625" style="8" customWidth="1"/>
    <col min="14504" max="14504" width="42.42578125" style="8" customWidth="1"/>
    <col min="14505" max="14507" width="12.42578125" style="8" customWidth="1"/>
    <col min="14508" max="14510" width="10.85546875" style="8" customWidth="1"/>
    <col min="14511" max="14513" width="14.5703125" style="8" bestFit="1" customWidth="1"/>
    <col min="14514" max="14516" width="11" style="8" customWidth="1"/>
    <col min="14517" max="14519" width="14.5703125" style="8" customWidth="1"/>
    <col min="14520" max="14522" width="15.28515625" style="8" customWidth="1"/>
    <col min="14523" max="14523" width="15.5703125" style="8"/>
    <col min="14524" max="14524" width="44.5703125" style="8" customWidth="1"/>
    <col min="14525" max="14525" width="13.85546875" style="8" customWidth="1"/>
    <col min="14526" max="14526" width="10.85546875" style="8" customWidth="1"/>
    <col min="14527" max="14527" width="14.5703125" style="8" customWidth="1"/>
    <col min="14528" max="14528" width="11" style="8" customWidth="1"/>
    <col min="14529" max="14529" width="10.85546875" style="8" customWidth="1"/>
    <col min="14530" max="14530" width="14.5703125" style="8" customWidth="1"/>
    <col min="14531" max="14532" width="15.5703125" style="8" customWidth="1"/>
    <col min="14533" max="14533" width="17.7109375" style="8" customWidth="1"/>
    <col min="14534" max="14759" width="29.28515625" style="8" customWidth="1"/>
    <col min="14760" max="14760" width="42.42578125" style="8" customWidth="1"/>
    <col min="14761" max="14763" width="12.42578125" style="8" customWidth="1"/>
    <col min="14764" max="14766" width="10.85546875" style="8" customWidth="1"/>
    <col min="14767" max="14769" width="14.5703125" style="8" bestFit="1" customWidth="1"/>
    <col min="14770" max="14772" width="11" style="8" customWidth="1"/>
    <col min="14773" max="14775" width="14.5703125" style="8" customWidth="1"/>
    <col min="14776" max="14778" width="15.28515625" style="8" customWidth="1"/>
    <col min="14779" max="14779" width="15.5703125" style="8"/>
    <col min="14780" max="14780" width="44.5703125" style="8" customWidth="1"/>
    <col min="14781" max="14781" width="13.85546875" style="8" customWidth="1"/>
    <col min="14782" max="14782" width="10.85546875" style="8" customWidth="1"/>
    <col min="14783" max="14783" width="14.5703125" style="8" customWidth="1"/>
    <col min="14784" max="14784" width="11" style="8" customWidth="1"/>
    <col min="14785" max="14785" width="10.85546875" style="8" customWidth="1"/>
    <col min="14786" max="14786" width="14.5703125" style="8" customWidth="1"/>
    <col min="14787" max="14788" width="15.5703125" style="8" customWidth="1"/>
    <col min="14789" max="14789" width="17.7109375" style="8" customWidth="1"/>
    <col min="14790" max="15015" width="29.28515625" style="8" customWidth="1"/>
    <col min="15016" max="15016" width="42.42578125" style="8" customWidth="1"/>
    <col min="15017" max="15019" width="12.42578125" style="8" customWidth="1"/>
    <col min="15020" max="15022" width="10.85546875" style="8" customWidth="1"/>
    <col min="15023" max="15025" width="14.5703125" style="8" bestFit="1" customWidth="1"/>
    <col min="15026" max="15028" width="11" style="8" customWidth="1"/>
    <col min="15029" max="15031" width="14.5703125" style="8" customWidth="1"/>
    <col min="15032" max="15034" width="15.28515625" style="8" customWidth="1"/>
    <col min="15035" max="15035" width="15.5703125" style="8"/>
    <col min="15036" max="15036" width="44.5703125" style="8" customWidth="1"/>
    <col min="15037" max="15037" width="13.85546875" style="8" customWidth="1"/>
    <col min="15038" max="15038" width="10.85546875" style="8" customWidth="1"/>
    <col min="15039" max="15039" width="14.5703125" style="8" customWidth="1"/>
    <col min="15040" max="15040" width="11" style="8" customWidth="1"/>
    <col min="15041" max="15041" width="10.85546875" style="8" customWidth="1"/>
    <col min="15042" max="15042" width="14.5703125" style="8" customWidth="1"/>
    <col min="15043" max="15044" width="15.5703125" style="8" customWidth="1"/>
    <col min="15045" max="15045" width="17.7109375" style="8" customWidth="1"/>
    <col min="15046" max="15271" width="29.28515625" style="8" customWidth="1"/>
    <col min="15272" max="15272" width="42.42578125" style="8" customWidth="1"/>
    <col min="15273" max="15275" width="12.42578125" style="8" customWidth="1"/>
    <col min="15276" max="15278" width="10.85546875" style="8" customWidth="1"/>
    <col min="15279" max="15281" width="14.5703125" style="8" bestFit="1" customWidth="1"/>
    <col min="15282" max="15284" width="11" style="8" customWidth="1"/>
    <col min="15285" max="15287" width="14.5703125" style="8" customWidth="1"/>
    <col min="15288" max="15290" width="15.28515625" style="8" customWidth="1"/>
    <col min="15291" max="15291" width="15.5703125" style="8"/>
    <col min="15292" max="15292" width="44.5703125" style="8" customWidth="1"/>
    <col min="15293" max="15293" width="13.85546875" style="8" customWidth="1"/>
    <col min="15294" max="15294" width="10.85546875" style="8" customWidth="1"/>
    <col min="15295" max="15295" width="14.5703125" style="8" customWidth="1"/>
    <col min="15296" max="15296" width="11" style="8" customWidth="1"/>
    <col min="15297" max="15297" width="10.85546875" style="8" customWidth="1"/>
    <col min="15298" max="15298" width="14.5703125" style="8" customWidth="1"/>
    <col min="15299" max="15300" width="15.5703125" style="8" customWidth="1"/>
    <col min="15301" max="15301" width="17.7109375" style="8" customWidth="1"/>
    <col min="15302" max="15527" width="29.28515625" style="8" customWidth="1"/>
    <col min="15528" max="15528" width="42.42578125" style="8" customWidth="1"/>
    <col min="15529" max="15531" width="12.42578125" style="8" customWidth="1"/>
    <col min="15532" max="15534" width="10.85546875" style="8" customWidth="1"/>
    <col min="15535" max="15537" width="14.5703125" style="8" bestFit="1" customWidth="1"/>
    <col min="15538" max="15540" width="11" style="8" customWidth="1"/>
    <col min="15541" max="15543" width="14.5703125" style="8" customWidth="1"/>
    <col min="15544" max="15546" width="15.28515625" style="8" customWidth="1"/>
    <col min="15547" max="15547" width="15.5703125" style="8"/>
    <col min="15548" max="15548" width="44.5703125" style="8" customWidth="1"/>
    <col min="15549" max="15549" width="13.85546875" style="8" customWidth="1"/>
    <col min="15550" max="15550" width="10.85546875" style="8" customWidth="1"/>
    <col min="15551" max="15551" width="14.5703125" style="8" customWidth="1"/>
    <col min="15552" max="15552" width="11" style="8" customWidth="1"/>
    <col min="15553" max="15553" width="10.85546875" style="8" customWidth="1"/>
    <col min="15554" max="15554" width="14.5703125" style="8" customWidth="1"/>
    <col min="15555" max="15556" width="15.5703125" style="8" customWidth="1"/>
    <col min="15557" max="15557" width="17.7109375" style="8" customWidth="1"/>
    <col min="15558" max="15783" width="29.28515625" style="8" customWidth="1"/>
    <col min="15784" max="15784" width="42.42578125" style="8" customWidth="1"/>
    <col min="15785" max="15787" width="12.42578125" style="8" customWidth="1"/>
    <col min="15788" max="15790" width="10.85546875" style="8" customWidth="1"/>
    <col min="15791" max="15793" width="14.5703125" style="8" bestFit="1" customWidth="1"/>
    <col min="15794" max="15796" width="11" style="8" customWidth="1"/>
    <col min="15797" max="15799" width="14.5703125" style="8" customWidth="1"/>
    <col min="15800" max="15802" width="15.28515625" style="8" customWidth="1"/>
    <col min="15803" max="15803" width="15.5703125" style="8"/>
    <col min="15804" max="15804" width="44.5703125" style="8" customWidth="1"/>
    <col min="15805" max="15805" width="13.85546875" style="8" customWidth="1"/>
    <col min="15806" max="15806" width="10.85546875" style="8" customWidth="1"/>
    <col min="15807" max="15807" width="14.5703125" style="8" customWidth="1"/>
    <col min="15808" max="15808" width="11" style="8" customWidth="1"/>
    <col min="15809" max="15809" width="10.85546875" style="8" customWidth="1"/>
    <col min="15810" max="15810" width="14.5703125" style="8" customWidth="1"/>
    <col min="15811" max="15812" width="15.5703125" style="8" customWidth="1"/>
    <col min="15813" max="15813" width="17.7109375" style="8" customWidth="1"/>
    <col min="15814" max="16039" width="29.28515625" style="8" customWidth="1"/>
    <col min="16040" max="16040" width="42.42578125" style="8" customWidth="1"/>
    <col min="16041" max="16043" width="12.42578125" style="8" customWidth="1"/>
    <col min="16044" max="16046" width="10.85546875" style="8" customWidth="1"/>
    <col min="16047" max="16049" width="14.5703125" style="8" bestFit="1" customWidth="1"/>
    <col min="16050" max="16052" width="11" style="8" customWidth="1"/>
    <col min="16053" max="16055" width="14.5703125" style="8" customWidth="1"/>
    <col min="16056" max="16058" width="15.28515625" style="8" customWidth="1"/>
    <col min="16059" max="16059" width="15.5703125" style="8"/>
    <col min="16060" max="16060" width="44.5703125" style="8" customWidth="1"/>
    <col min="16061" max="16061" width="13.85546875" style="8" customWidth="1"/>
    <col min="16062" max="16062" width="10.85546875" style="8" customWidth="1"/>
    <col min="16063" max="16063" width="14.5703125" style="8" customWidth="1"/>
    <col min="16064" max="16064" width="11" style="8" customWidth="1"/>
    <col min="16065" max="16065" width="10.85546875" style="8" customWidth="1"/>
    <col min="16066" max="16066" width="14.5703125" style="8" customWidth="1"/>
    <col min="16067" max="16068" width="15.5703125" style="8" customWidth="1"/>
    <col min="16069" max="16069" width="17.7109375" style="8" customWidth="1"/>
    <col min="16070" max="16295" width="29.28515625" style="8" customWidth="1"/>
    <col min="16296" max="16296" width="42.42578125" style="8" customWidth="1"/>
    <col min="16297" max="16384" width="12.42578125" style="8" customWidth="1"/>
  </cols>
  <sheetData>
    <row r="1" spans="1:187" x14ac:dyDescent="0.25">
      <c r="A1" s="5"/>
    </row>
    <row r="2" spans="1:187" x14ac:dyDescent="0.25">
      <c r="A2" s="9"/>
      <c r="T2" s="10"/>
      <c r="U2" s="10"/>
      <c r="V2" s="10"/>
      <c r="W2" s="10"/>
      <c r="X2" s="10"/>
      <c r="Y2" s="10"/>
      <c r="Z2" s="11"/>
      <c r="AA2" s="11"/>
      <c r="AB2" s="12" t="s">
        <v>10</v>
      </c>
    </row>
    <row r="3" spans="1:187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</row>
    <row r="4" spans="1:187" s="13" customFormat="1" x14ac:dyDescent="0.25">
      <c r="A4" s="15">
        <v>2022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187" s="13" customFormat="1" x14ac:dyDescent="0.25">
      <c r="A5" s="16"/>
      <c r="B5" s="14"/>
      <c r="C5" s="14"/>
      <c r="D5" s="14"/>
      <c r="E5" s="17"/>
      <c r="F5" s="17"/>
      <c r="G5" s="17"/>
      <c r="H5" s="17"/>
      <c r="I5" s="17"/>
      <c r="J5" s="18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187" s="9" customFormat="1" ht="63" x14ac:dyDescent="0.25">
      <c r="A6" s="19" t="s">
        <v>12</v>
      </c>
      <c r="B6" s="20" t="s">
        <v>13</v>
      </c>
      <c r="C6" s="20" t="s">
        <v>13</v>
      </c>
      <c r="D6" s="20" t="s">
        <v>13</v>
      </c>
      <c r="E6" s="21" t="s">
        <v>14</v>
      </c>
      <c r="F6" s="21" t="s">
        <v>14</v>
      </c>
      <c r="G6" s="21" t="s">
        <v>14</v>
      </c>
      <c r="H6" s="21" t="s">
        <v>15</v>
      </c>
      <c r="I6" s="21" t="s">
        <v>15</v>
      </c>
      <c r="J6" s="21" t="s">
        <v>15</v>
      </c>
      <c r="K6" s="21" t="s">
        <v>16</v>
      </c>
      <c r="L6" s="21" t="s">
        <v>16</v>
      </c>
      <c r="M6" s="21" t="s">
        <v>16</v>
      </c>
      <c r="N6" s="21" t="s">
        <v>17</v>
      </c>
      <c r="O6" s="21" t="s">
        <v>17</v>
      </c>
      <c r="P6" s="21" t="s">
        <v>17</v>
      </c>
      <c r="Q6" s="21" t="s">
        <v>18</v>
      </c>
      <c r="R6" s="21" t="s">
        <v>18</v>
      </c>
      <c r="S6" s="21" t="s">
        <v>18</v>
      </c>
      <c r="T6" s="21" t="s">
        <v>19</v>
      </c>
      <c r="U6" s="21" t="s">
        <v>19</v>
      </c>
      <c r="V6" s="21" t="s">
        <v>19</v>
      </c>
      <c r="W6" s="21" t="s">
        <v>20</v>
      </c>
      <c r="X6" s="21" t="s">
        <v>20</v>
      </c>
      <c r="Y6" s="21" t="s">
        <v>20</v>
      </c>
      <c r="Z6" s="21" t="s">
        <v>21</v>
      </c>
      <c r="AA6" s="21" t="s">
        <v>21</v>
      </c>
      <c r="AB6" s="21" t="s">
        <v>21</v>
      </c>
    </row>
    <row r="7" spans="1:187" s="9" customFormat="1" x14ac:dyDescent="0.25">
      <c r="A7" s="22"/>
      <c r="B7" s="23" t="s">
        <v>22</v>
      </c>
      <c r="C7" s="23" t="s">
        <v>23</v>
      </c>
      <c r="D7" s="23" t="s">
        <v>24</v>
      </c>
      <c r="E7" s="23" t="s">
        <v>22</v>
      </c>
      <c r="F7" s="23" t="s">
        <v>23</v>
      </c>
      <c r="G7" s="23" t="s">
        <v>24</v>
      </c>
      <c r="H7" s="23" t="s">
        <v>22</v>
      </c>
      <c r="I7" s="23" t="s">
        <v>23</v>
      </c>
      <c r="J7" s="23" t="s">
        <v>24</v>
      </c>
      <c r="K7" s="23" t="s">
        <v>22</v>
      </c>
      <c r="L7" s="23" t="s">
        <v>23</v>
      </c>
      <c r="M7" s="23" t="s">
        <v>24</v>
      </c>
      <c r="N7" s="23" t="s">
        <v>22</v>
      </c>
      <c r="O7" s="23" t="s">
        <v>23</v>
      </c>
      <c r="P7" s="23" t="s">
        <v>24</v>
      </c>
      <c r="Q7" s="23" t="s">
        <v>22</v>
      </c>
      <c r="R7" s="23" t="s">
        <v>23</v>
      </c>
      <c r="S7" s="23" t="s">
        <v>24</v>
      </c>
      <c r="T7" s="23" t="s">
        <v>22</v>
      </c>
      <c r="U7" s="23" t="s">
        <v>23</v>
      </c>
      <c r="V7" s="23" t="s">
        <v>24</v>
      </c>
      <c r="W7" s="23" t="s">
        <v>22</v>
      </c>
      <c r="X7" s="23" t="s">
        <v>23</v>
      </c>
      <c r="Y7" s="23" t="s">
        <v>24</v>
      </c>
      <c r="Z7" s="23" t="s">
        <v>22</v>
      </c>
      <c r="AA7" s="23" t="s">
        <v>23</v>
      </c>
      <c r="AB7" s="23" t="s">
        <v>24</v>
      </c>
    </row>
    <row r="8" spans="1:187" s="26" customFormat="1" x14ac:dyDescent="0.25">
      <c r="A8" s="24" t="s">
        <v>1</v>
      </c>
      <c r="B8" s="25">
        <f t="shared" ref="B8:D74" si="0">E8+H8+K8+N8+Q8+T8+W8+Z8</f>
        <v>51080913</v>
      </c>
      <c r="C8" s="25">
        <f t="shared" si="0"/>
        <v>51287176</v>
      </c>
      <c r="D8" s="25">
        <f t="shared" si="0"/>
        <v>206263</v>
      </c>
      <c r="E8" s="25">
        <f>SUM(E9,E82,E245,E256,E260)</f>
        <v>2978900</v>
      </c>
      <c r="F8" s="25">
        <f>SUM(F9,F82,F245,F256,F260)</f>
        <v>2978900</v>
      </c>
      <c r="G8" s="25">
        <f>F8-E8</f>
        <v>0</v>
      </c>
      <c r="H8" s="25">
        <f t="shared" ref="H8:I8" si="1">SUM(H9,H82,H245,H256,H260)</f>
        <v>1123772</v>
      </c>
      <c r="I8" s="25">
        <f t="shared" si="1"/>
        <v>1123772</v>
      </c>
      <c r="J8" s="25">
        <f t="shared" ref="J8" si="2">I8-H8</f>
        <v>0</v>
      </c>
      <c r="K8" s="25">
        <f t="shared" ref="K8:L8" si="3">SUM(K9,K82,K245,K256,K260)</f>
        <v>6232896</v>
      </c>
      <c r="L8" s="25">
        <f t="shared" si="3"/>
        <v>6394565</v>
      </c>
      <c r="M8" s="25">
        <f t="shared" ref="M8" si="4">L8-K8</f>
        <v>161669</v>
      </c>
      <c r="N8" s="25">
        <f t="shared" ref="N8:O8" si="5">SUM(N9,N82,N245,N256,N260)</f>
        <v>25196487</v>
      </c>
      <c r="O8" s="25">
        <f t="shared" si="5"/>
        <v>25228027</v>
      </c>
      <c r="P8" s="25">
        <f t="shared" ref="P8" si="6">O8-N8</f>
        <v>31540</v>
      </c>
      <c r="Q8" s="25">
        <f t="shared" ref="Q8:R8" si="7">SUM(Q9,Q82,Q245,Q256,Q260)</f>
        <v>1842431</v>
      </c>
      <c r="R8" s="25">
        <f t="shared" si="7"/>
        <v>1855485</v>
      </c>
      <c r="S8" s="25">
        <f t="shared" ref="S8" si="8">R8-Q8</f>
        <v>13054</v>
      </c>
      <c r="T8" s="25">
        <f t="shared" ref="T8:U8" si="9">SUM(T9,T82,T245,T256,T260)</f>
        <v>7509932</v>
      </c>
      <c r="U8" s="25">
        <f t="shared" si="9"/>
        <v>7509932</v>
      </c>
      <c r="V8" s="25">
        <f t="shared" ref="V8" si="10">U8-T8</f>
        <v>0</v>
      </c>
      <c r="W8" s="25">
        <f t="shared" ref="W8:X8" si="11">SUM(W9,W82,W245,W256,W260)</f>
        <v>0</v>
      </c>
      <c r="X8" s="25">
        <f t="shared" si="11"/>
        <v>299953</v>
      </c>
      <c r="Y8" s="25">
        <f t="shared" ref="Y8" si="12">X8-W8</f>
        <v>299953</v>
      </c>
      <c r="Z8" s="25">
        <f t="shared" ref="Z8:AA8" si="13">SUM(Z9,Z82,Z245,Z256,Z260)</f>
        <v>6196495</v>
      </c>
      <c r="AA8" s="25">
        <f t="shared" si="13"/>
        <v>5896542</v>
      </c>
      <c r="AB8" s="25">
        <f t="shared" ref="AB8" si="14">AA8-Z8</f>
        <v>-299953</v>
      </c>
    </row>
    <row r="9" spans="1:187" s="26" customFormat="1" x14ac:dyDescent="0.25">
      <c r="A9" s="27" t="s">
        <v>25</v>
      </c>
      <c r="B9" s="28">
        <f t="shared" si="0"/>
        <v>27391463</v>
      </c>
      <c r="C9" s="28">
        <f t="shared" si="0"/>
        <v>27518767</v>
      </c>
      <c r="D9" s="28">
        <f t="shared" si="0"/>
        <v>127304</v>
      </c>
      <c r="E9" s="28">
        <f>SUM(E10,E22,E36,E47,E68,E79,E42,E55)</f>
        <v>1109620</v>
      </c>
      <c r="F9" s="28">
        <f>SUM(F10,F22,F36,F47,F68,F79,F42,F55)</f>
        <v>1109620</v>
      </c>
      <c r="G9" s="28">
        <f t="shared" ref="G9:G75" si="15">F9-E9</f>
        <v>0</v>
      </c>
      <c r="H9" s="28">
        <f>SUM(H10,H22,H36,H47,H68,H79,H42,H55)</f>
        <v>1092436</v>
      </c>
      <c r="I9" s="28">
        <f>SUM(I10,I22,I36,I47,I68,I79,I42,I55)</f>
        <v>1092436</v>
      </c>
      <c r="J9" s="28">
        <f t="shared" ref="J9:J75" si="16">I9-H9</f>
        <v>0</v>
      </c>
      <c r="K9" s="28">
        <f>SUM(K10,K22,K36,K47,K68,K79,K42,K55)</f>
        <v>5162327</v>
      </c>
      <c r="L9" s="28">
        <f>SUM(L10,L22,L36,L47,L68,L79,L42,L55)</f>
        <v>5289631</v>
      </c>
      <c r="M9" s="28">
        <f t="shared" ref="M9:M75" si="17">L9-K9</f>
        <v>127304</v>
      </c>
      <c r="N9" s="28">
        <f>SUM(N10,N22,N36,N47,N68,N79,N42,N55)</f>
        <v>13873759</v>
      </c>
      <c r="O9" s="28">
        <f>SUM(O10,O22,O36,O47,O68,O79,O42,O55)</f>
        <v>13873759</v>
      </c>
      <c r="P9" s="28">
        <f t="shared" ref="P9:P75" si="18">O9-N9</f>
        <v>0</v>
      </c>
      <c r="Q9" s="28">
        <f>SUM(Q10,Q22,Q36,Q47,Q68,Q79,Q42,Q55)</f>
        <v>1266130</v>
      </c>
      <c r="R9" s="28">
        <f>SUM(R10,R22,R36,R47,R68,R79,R42,R55)</f>
        <v>1266130</v>
      </c>
      <c r="S9" s="28">
        <f t="shared" ref="S9:S75" si="19">R9-Q9</f>
        <v>0</v>
      </c>
      <c r="T9" s="28">
        <f>SUM(T10,T22,T36,T47,T68,T79,T42,T55)</f>
        <v>2485240</v>
      </c>
      <c r="U9" s="28">
        <f>SUM(U10,U22,U36,U47,U68,U79,U42,U55)</f>
        <v>2485240</v>
      </c>
      <c r="V9" s="28">
        <f t="shared" ref="V9:V75" si="20">U9-T9</f>
        <v>0</v>
      </c>
      <c r="W9" s="28">
        <f>SUM(W10,W22,W36,W47,W68,W79,W42,W55)</f>
        <v>0</v>
      </c>
      <c r="X9" s="28">
        <f>SUM(X10,X22,X36,X47,X68,X79,X42,X55)</f>
        <v>299953</v>
      </c>
      <c r="Y9" s="28">
        <f t="shared" ref="Y9:Y75" si="21">X9-W9</f>
        <v>299953</v>
      </c>
      <c r="Z9" s="28">
        <f>SUM(Z10,Z22,Z36,Z47,Z68,Z79,Z42,Z55)</f>
        <v>2401951</v>
      </c>
      <c r="AA9" s="28">
        <f>SUM(AA10,AA22,AA36,AA47,AA68,AA79,AA42,AA55)</f>
        <v>2101998</v>
      </c>
      <c r="AB9" s="28">
        <f t="shared" ref="AB9:AB75" si="22">AA9-Z9</f>
        <v>-299953</v>
      </c>
    </row>
    <row r="10" spans="1:187" s="29" customFormat="1" x14ac:dyDescent="0.25">
      <c r="A10" s="27" t="s">
        <v>26</v>
      </c>
      <c r="B10" s="28">
        <f t="shared" si="0"/>
        <v>404201</v>
      </c>
      <c r="C10" s="28">
        <f t="shared" si="0"/>
        <v>466619</v>
      </c>
      <c r="D10" s="28">
        <f t="shared" si="0"/>
        <v>62418</v>
      </c>
      <c r="E10" s="28">
        <f t="shared" ref="E10:AA10" si="23">SUM(E11)</f>
        <v>273200</v>
      </c>
      <c r="F10" s="28">
        <f t="shared" si="23"/>
        <v>273200</v>
      </c>
      <c r="G10" s="28">
        <f t="shared" si="15"/>
        <v>0</v>
      </c>
      <c r="H10" s="28">
        <f t="shared" si="23"/>
        <v>131001</v>
      </c>
      <c r="I10" s="28">
        <f t="shared" si="23"/>
        <v>131001</v>
      </c>
      <c r="J10" s="28">
        <f t="shared" si="16"/>
        <v>0</v>
      </c>
      <c r="K10" s="28">
        <f t="shared" si="23"/>
        <v>0</v>
      </c>
      <c r="L10" s="28">
        <f t="shared" si="23"/>
        <v>62418</v>
      </c>
      <c r="M10" s="28">
        <f t="shared" si="17"/>
        <v>62418</v>
      </c>
      <c r="N10" s="28">
        <f t="shared" si="23"/>
        <v>0</v>
      </c>
      <c r="O10" s="28">
        <f t="shared" si="23"/>
        <v>0</v>
      </c>
      <c r="P10" s="28">
        <f t="shared" si="18"/>
        <v>0</v>
      </c>
      <c r="Q10" s="28">
        <f t="shared" si="23"/>
        <v>0</v>
      </c>
      <c r="R10" s="28">
        <f t="shared" si="23"/>
        <v>0</v>
      </c>
      <c r="S10" s="28">
        <f t="shared" si="19"/>
        <v>0</v>
      </c>
      <c r="T10" s="28">
        <f t="shared" si="23"/>
        <v>0</v>
      </c>
      <c r="U10" s="28">
        <f t="shared" si="23"/>
        <v>0</v>
      </c>
      <c r="V10" s="28">
        <f t="shared" si="20"/>
        <v>0</v>
      </c>
      <c r="W10" s="28">
        <f t="shared" si="23"/>
        <v>0</v>
      </c>
      <c r="X10" s="28">
        <f t="shared" si="23"/>
        <v>0</v>
      </c>
      <c r="Y10" s="28">
        <f t="shared" si="21"/>
        <v>0</v>
      </c>
      <c r="Z10" s="28">
        <f t="shared" si="23"/>
        <v>0</v>
      </c>
      <c r="AA10" s="28">
        <f t="shared" si="23"/>
        <v>0</v>
      </c>
      <c r="AB10" s="28">
        <f t="shared" si="22"/>
        <v>0</v>
      </c>
    </row>
    <row r="11" spans="1:187" s="26" customFormat="1" x14ac:dyDescent="0.25">
      <c r="A11" s="27" t="s">
        <v>27</v>
      </c>
      <c r="B11" s="30">
        <f t="shared" si="0"/>
        <v>404201</v>
      </c>
      <c r="C11" s="30">
        <f t="shared" si="0"/>
        <v>466619</v>
      </c>
      <c r="D11" s="30">
        <f t="shared" si="0"/>
        <v>62418</v>
      </c>
      <c r="E11" s="30">
        <f>SUM(E12:E21)</f>
        <v>273200</v>
      </c>
      <c r="F11" s="30">
        <f>SUM(F12:F21)</f>
        <v>273200</v>
      </c>
      <c r="G11" s="30">
        <f t="shared" si="15"/>
        <v>0</v>
      </c>
      <c r="H11" s="30">
        <f>SUM(H12:H21)</f>
        <v>131001</v>
      </c>
      <c r="I11" s="30">
        <f>SUM(I12:I21)</f>
        <v>131001</v>
      </c>
      <c r="J11" s="30">
        <f t="shared" si="16"/>
        <v>0</v>
      </c>
      <c r="K11" s="30">
        <f>SUM(K12:K21)</f>
        <v>0</v>
      </c>
      <c r="L11" s="30">
        <f>SUM(L12:L21)</f>
        <v>62418</v>
      </c>
      <c r="M11" s="30">
        <f t="shared" si="17"/>
        <v>62418</v>
      </c>
      <c r="N11" s="30">
        <f>SUM(N12:N21)</f>
        <v>0</v>
      </c>
      <c r="O11" s="30">
        <f>SUM(O12:O21)</f>
        <v>0</v>
      </c>
      <c r="P11" s="30">
        <f t="shared" si="18"/>
        <v>0</v>
      </c>
      <c r="Q11" s="30">
        <f>SUM(Q12:Q21)</f>
        <v>0</v>
      </c>
      <c r="R11" s="30">
        <f>SUM(R12:R21)</f>
        <v>0</v>
      </c>
      <c r="S11" s="30">
        <f t="shared" si="19"/>
        <v>0</v>
      </c>
      <c r="T11" s="30">
        <f>SUM(T12:T21)</f>
        <v>0</v>
      </c>
      <c r="U11" s="30">
        <f>SUM(U12:U21)</f>
        <v>0</v>
      </c>
      <c r="V11" s="30">
        <f t="shared" si="20"/>
        <v>0</v>
      </c>
      <c r="W11" s="30">
        <f>SUM(W12:W21)</f>
        <v>0</v>
      </c>
      <c r="X11" s="30">
        <f>SUM(X12:X21)</f>
        <v>0</v>
      </c>
      <c r="Y11" s="30">
        <f t="shared" si="21"/>
        <v>0</v>
      </c>
      <c r="Z11" s="30">
        <f>SUM(Z12:Z21)</f>
        <v>0</v>
      </c>
      <c r="AA11" s="30">
        <f>SUM(AA12:AA21)</f>
        <v>0</v>
      </c>
      <c r="AB11" s="30">
        <f t="shared" si="22"/>
        <v>0</v>
      </c>
    </row>
    <row r="12" spans="1:187" s="29" customFormat="1" ht="31.5" x14ac:dyDescent="0.25">
      <c r="A12" s="31" t="s">
        <v>28</v>
      </c>
      <c r="B12" s="32">
        <f t="shared" si="0"/>
        <v>0</v>
      </c>
      <c r="C12" s="32">
        <f t="shared" si="0"/>
        <v>8616</v>
      </c>
      <c r="D12" s="32">
        <f t="shared" si="0"/>
        <v>8616</v>
      </c>
      <c r="E12" s="32">
        <v>0</v>
      </c>
      <c r="F12" s="32">
        <v>0</v>
      </c>
      <c r="G12" s="32">
        <f t="shared" si="15"/>
        <v>0</v>
      </c>
      <c r="H12" s="32">
        <v>0</v>
      </c>
      <c r="I12" s="32">
        <v>0</v>
      </c>
      <c r="J12" s="32">
        <f t="shared" si="16"/>
        <v>0</v>
      </c>
      <c r="K12" s="32">
        <f>1290-1290</f>
        <v>0</v>
      </c>
      <c r="L12" s="32">
        <v>8616</v>
      </c>
      <c r="M12" s="32">
        <f t="shared" si="17"/>
        <v>8616</v>
      </c>
      <c r="N12" s="32"/>
      <c r="O12" s="32"/>
      <c r="P12" s="32">
        <f t="shared" si="18"/>
        <v>0</v>
      </c>
      <c r="Q12" s="32"/>
      <c r="R12" s="32"/>
      <c r="S12" s="32">
        <f t="shared" si="19"/>
        <v>0</v>
      </c>
      <c r="T12" s="32"/>
      <c r="U12" s="32"/>
      <c r="V12" s="32">
        <f t="shared" si="20"/>
        <v>0</v>
      </c>
      <c r="W12" s="32"/>
      <c r="X12" s="32"/>
      <c r="Y12" s="32">
        <f t="shared" si="21"/>
        <v>0</v>
      </c>
      <c r="Z12" s="32"/>
      <c r="AA12" s="32"/>
      <c r="AB12" s="32">
        <f t="shared" si="22"/>
        <v>0</v>
      </c>
    </row>
    <row r="13" spans="1:187" s="29" customFormat="1" ht="31.5" x14ac:dyDescent="0.25">
      <c r="A13" s="31" t="s">
        <v>29</v>
      </c>
      <c r="B13" s="32">
        <f t="shared" si="0"/>
        <v>0</v>
      </c>
      <c r="C13" s="32">
        <f t="shared" si="0"/>
        <v>3548</v>
      </c>
      <c r="D13" s="32">
        <f t="shared" si="0"/>
        <v>3548</v>
      </c>
      <c r="E13" s="32">
        <v>0</v>
      </c>
      <c r="F13" s="32">
        <v>0</v>
      </c>
      <c r="G13" s="32">
        <f t="shared" si="15"/>
        <v>0</v>
      </c>
      <c r="H13" s="32">
        <v>0</v>
      </c>
      <c r="I13" s="32">
        <v>0</v>
      </c>
      <c r="J13" s="32">
        <f t="shared" si="16"/>
        <v>0</v>
      </c>
      <c r="K13" s="32">
        <f t="shared" ref="K13:K52" si="24">1290-1290</f>
        <v>0</v>
      </c>
      <c r="L13" s="32">
        <v>3548</v>
      </c>
      <c r="M13" s="32">
        <f t="shared" si="17"/>
        <v>3548</v>
      </c>
      <c r="N13" s="32"/>
      <c r="O13" s="32"/>
      <c r="P13" s="32">
        <f t="shared" si="18"/>
        <v>0</v>
      </c>
      <c r="Q13" s="32"/>
      <c r="R13" s="32"/>
      <c r="S13" s="32">
        <f t="shared" si="19"/>
        <v>0</v>
      </c>
      <c r="T13" s="32"/>
      <c r="U13" s="32"/>
      <c r="V13" s="32">
        <f t="shared" si="20"/>
        <v>0</v>
      </c>
      <c r="W13" s="32"/>
      <c r="X13" s="32"/>
      <c r="Y13" s="32">
        <f t="shared" si="21"/>
        <v>0</v>
      </c>
      <c r="Z13" s="32"/>
      <c r="AA13" s="32"/>
      <c r="AB13" s="32">
        <f t="shared" si="22"/>
        <v>0</v>
      </c>
    </row>
    <row r="14" spans="1:187" s="29" customFormat="1" ht="31.5" x14ac:dyDescent="0.25">
      <c r="A14" s="31" t="s">
        <v>30</v>
      </c>
      <c r="B14" s="32">
        <f t="shared" si="0"/>
        <v>0</v>
      </c>
      <c r="C14" s="32">
        <f t="shared" si="0"/>
        <v>14706</v>
      </c>
      <c r="D14" s="32">
        <f t="shared" si="0"/>
        <v>14706</v>
      </c>
      <c r="E14" s="32">
        <v>0</v>
      </c>
      <c r="F14" s="32">
        <v>0</v>
      </c>
      <c r="G14" s="32">
        <f t="shared" si="15"/>
        <v>0</v>
      </c>
      <c r="H14" s="32">
        <v>0</v>
      </c>
      <c r="I14" s="32">
        <v>0</v>
      </c>
      <c r="J14" s="32">
        <f t="shared" si="16"/>
        <v>0</v>
      </c>
      <c r="K14" s="32">
        <f t="shared" si="24"/>
        <v>0</v>
      </c>
      <c r="L14" s="32">
        <v>14706</v>
      </c>
      <c r="M14" s="32">
        <f t="shared" si="17"/>
        <v>14706</v>
      </c>
      <c r="N14" s="32"/>
      <c r="O14" s="32"/>
      <c r="P14" s="32">
        <f t="shared" si="18"/>
        <v>0</v>
      </c>
      <c r="Q14" s="32"/>
      <c r="R14" s="32"/>
      <c r="S14" s="32">
        <f t="shared" si="19"/>
        <v>0</v>
      </c>
      <c r="T14" s="32"/>
      <c r="U14" s="32"/>
      <c r="V14" s="32">
        <f t="shared" si="20"/>
        <v>0</v>
      </c>
      <c r="W14" s="32"/>
      <c r="X14" s="32"/>
      <c r="Y14" s="32">
        <f t="shared" si="21"/>
        <v>0</v>
      </c>
      <c r="Z14" s="32"/>
      <c r="AA14" s="32"/>
      <c r="AB14" s="32">
        <f t="shared" si="22"/>
        <v>0</v>
      </c>
    </row>
    <row r="15" spans="1:187" s="29" customFormat="1" ht="31.5" x14ac:dyDescent="0.25">
      <c r="A15" s="31" t="s">
        <v>31</v>
      </c>
      <c r="B15" s="32">
        <f t="shared" si="0"/>
        <v>0</v>
      </c>
      <c r="C15" s="32">
        <f t="shared" si="0"/>
        <v>3333</v>
      </c>
      <c r="D15" s="32">
        <f t="shared" si="0"/>
        <v>3333</v>
      </c>
      <c r="E15" s="32">
        <v>0</v>
      </c>
      <c r="F15" s="32">
        <v>0</v>
      </c>
      <c r="G15" s="32">
        <f t="shared" si="15"/>
        <v>0</v>
      </c>
      <c r="H15" s="32">
        <v>0</v>
      </c>
      <c r="I15" s="32">
        <v>0</v>
      </c>
      <c r="J15" s="32">
        <f t="shared" si="16"/>
        <v>0</v>
      </c>
      <c r="K15" s="32">
        <f t="shared" si="24"/>
        <v>0</v>
      </c>
      <c r="L15" s="32">
        <v>3333</v>
      </c>
      <c r="M15" s="32">
        <f t="shared" si="17"/>
        <v>3333</v>
      </c>
      <c r="N15" s="32"/>
      <c r="O15" s="32"/>
      <c r="P15" s="32">
        <f t="shared" si="18"/>
        <v>0</v>
      </c>
      <c r="Q15" s="32"/>
      <c r="R15" s="32"/>
      <c r="S15" s="32">
        <f t="shared" si="19"/>
        <v>0</v>
      </c>
      <c r="T15" s="32"/>
      <c r="U15" s="32"/>
      <c r="V15" s="32">
        <f t="shared" si="20"/>
        <v>0</v>
      </c>
      <c r="W15" s="32"/>
      <c r="X15" s="32"/>
      <c r="Y15" s="32">
        <f t="shared" si="21"/>
        <v>0</v>
      </c>
      <c r="Z15" s="32"/>
      <c r="AA15" s="32"/>
      <c r="AB15" s="32">
        <f t="shared" si="22"/>
        <v>0</v>
      </c>
    </row>
    <row r="16" spans="1:187" s="29" customFormat="1" ht="31.5" x14ac:dyDescent="0.25">
      <c r="A16" s="31" t="s">
        <v>32</v>
      </c>
      <c r="B16" s="32">
        <f t="shared" si="0"/>
        <v>0</v>
      </c>
      <c r="C16" s="32">
        <f t="shared" si="0"/>
        <v>11395</v>
      </c>
      <c r="D16" s="32">
        <f t="shared" si="0"/>
        <v>11395</v>
      </c>
      <c r="E16" s="32">
        <v>0</v>
      </c>
      <c r="F16" s="32">
        <v>0</v>
      </c>
      <c r="G16" s="32">
        <f t="shared" si="15"/>
        <v>0</v>
      </c>
      <c r="H16" s="32">
        <v>0</v>
      </c>
      <c r="I16" s="32">
        <v>0</v>
      </c>
      <c r="J16" s="32">
        <f t="shared" si="16"/>
        <v>0</v>
      </c>
      <c r="K16" s="32">
        <f t="shared" si="24"/>
        <v>0</v>
      </c>
      <c r="L16" s="32">
        <v>11395</v>
      </c>
      <c r="M16" s="32">
        <f t="shared" si="17"/>
        <v>11395</v>
      </c>
      <c r="N16" s="32"/>
      <c r="O16" s="32"/>
      <c r="P16" s="32">
        <f t="shared" si="18"/>
        <v>0</v>
      </c>
      <c r="Q16" s="32"/>
      <c r="R16" s="32"/>
      <c r="S16" s="32">
        <f t="shared" si="19"/>
        <v>0</v>
      </c>
      <c r="T16" s="32"/>
      <c r="U16" s="32"/>
      <c r="V16" s="32">
        <f t="shared" si="20"/>
        <v>0</v>
      </c>
      <c r="W16" s="32"/>
      <c r="X16" s="32"/>
      <c r="Y16" s="32">
        <f t="shared" si="21"/>
        <v>0</v>
      </c>
      <c r="Z16" s="32"/>
      <c r="AA16" s="32"/>
      <c r="AB16" s="32">
        <f t="shared" si="22"/>
        <v>0</v>
      </c>
    </row>
    <row r="17" spans="1:29" s="29" customFormat="1" ht="31.5" x14ac:dyDescent="0.25">
      <c r="A17" s="31" t="s">
        <v>33</v>
      </c>
      <c r="B17" s="32">
        <f t="shared" si="0"/>
        <v>0</v>
      </c>
      <c r="C17" s="32">
        <f t="shared" si="0"/>
        <v>15820</v>
      </c>
      <c r="D17" s="32">
        <f t="shared" si="0"/>
        <v>15820</v>
      </c>
      <c r="E17" s="32">
        <v>0</v>
      </c>
      <c r="F17" s="32">
        <v>0</v>
      </c>
      <c r="G17" s="32">
        <f t="shared" si="15"/>
        <v>0</v>
      </c>
      <c r="H17" s="32">
        <v>0</v>
      </c>
      <c r="I17" s="32">
        <v>0</v>
      </c>
      <c r="J17" s="32">
        <f t="shared" si="16"/>
        <v>0</v>
      </c>
      <c r="K17" s="32">
        <f t="shared" si="24"/>
        <v>0</v>
      </c>
      <c r="L17" s="32">
        <v>15820</v>
      </c>
      <c r="M17" s="32">
        <f t="shared" si="17"/>
        <v>15820</v>
      </c>
      <c r="N17" s="32"/>
      <c r="O17" s="32"/>
      <c r="P17" s="32">
        <f t="shared" si="18"/>
        <v>0</v>
      </c>
      <c r="Q17" s="32"/>
      <c r="R17" s="32"/>
      <c r="S17" s="32">
        <f t="shared" si="19"/>
        <v>0</v>
      </c>
      <c r="T17" s="32"/>
      <c r="U17" s="32"/>
      <c r="V17" s="32">
        <f t="shared" si="20"/>
        <v>0</v>
      </c>
      <c r="W17" s="32"/>
      <c r="X17" s="32"/>
      <c r="Y17" s="32">
        <f t="shared" si="21"/>
        <v>0</v>
      </c>
      <c r="Z17" s="32"/>
      <c r="AA17" s="32"/>
      <c r="AB17" s="32">
        <f t="shared" si="22"/>
        <v>0</v>
      </c>
    </row>
    <row r="18" spans="1:29" s="29" customFormat="1" ht="31.5" x14ac:dyDescent="0.25">
      <c r="A18" s="31" t="s">
        <v>34</v>
      </c>
      <c r="B18" s="32">
        <f t="shared" si="0"/>
        <v>0</v>
      </c>
      <c r="C18" s="32">
        <f t="shared" si="0"/>
        <v>5000</v>
      </c>
      <c r="D18" s="32">
        <f t="shared" si="0"/>
        <v>5000</v>
      </c>
      <c r="E18" s="32">
        <v>0</v>
      </c>
      <c r="F18" s="32">
        <v>0</v>
      </c>
      <c r="G18" s="32">
        <f t="shared" si="15"/>
        <v>0</v>
      </c>
      <c r="H18" s="32">
        <v>0</v>
      </c>
      <c r="I18" s="32">
        <v>0</v>
      </c>
      <c r="J18" s="32">
        <f t="shared" si="16"/>
        <v>0</v>
      </c>
      <c r="K18" s="32">
        <f t="shared" si="24"/>
        <v>0</v>
      </c>
      <c r="L18" s="32">
        <v>5000</v>
      </c>
      <c r="M18" s="32">
        <f t="shared" si="17"/>
        <v>5000</v>
      </c>
      <c r="N18" s="32"/>
      <c r="O18" s="32"/>
      <c r="P18" s="32">
        <f t="shared" si="18"/>
        <v>0</v>
      </c>
      <c r="Q18" s="32"/>
      <c r="R18" s="32"/>
      <c r="S18" s="32">
        <f t="shared" si="19"/>
        <v>0</v>
      </c>
      <c r="T18" s="32"/>
      <c r="U18" s="32"/>
      <c r="V18" s="32">
        <f t="shared" si="20"/>
        <v>0</v>
      </c>
      <c r="W18" s="32"/>
      <c r="X18" s="32"/>
      <c r="Y18" s="32">
        <f t="shared" si="21"/>
        <v>0</v>
      </c>
      <c r="Z18" s="32"/>
      <c r="AA18" s="32"/>
      <c r="AB18" s="32">
        <f t="shared" si="22"/>
        <v>0</v>
      </c>
    </row>
    <row r="19" spans="1:29" s="29" customFormat="1" ht="63" x14ac:dyDescent="0.25">
      <c r="A19" s="31" t="s">
        <v>35</v>
      </c>
      <c r="B19" s="32">
        <f t="shared" si="0"/>
        <v>219200</v>
      </c>
      <c r="C19" s="32">
        <f t="shared" si="0"/>
        <v>219200</v>
      </c>
      <c r="D19" s="32">
        <f t="shared" si="0"/>
        <v>0</v>
      </c>
      <c r="E19" s="32">
        <f>13200+200000+3000+3000</f>
        <v>219200</v>
      </c>
      <c r="F19" s="32">
        <f>13200+200000+3000+3000</f>
        <v>219200</v>
      </c>
      <c r="G19" s="32">
        <f t="shared" si="15"/>
        <v>0</v>
      </c>
      <c r="H19" s="32"/>
      <c r="I19" s="32"/>
      <c r="J19" s="32">
        <f t="shared" si="16"/>
        <v>0</v>
      </c>
      <c r="K19" s="32"/>
      <c r="L19" s="32"/>
      <c r="M19" s="32">
        <f t="shared" si="17"/>
        <v>0</v>
      </c>
      <c r="N19" s="32"/>
      <c r="O19" s="32"/>
      <c r="P19" s="32">
        <f t="shared" si="18"/>
        <v>0</v>
      </c>
      <c r="Q19" s="32"/>
      <c r="R19" s="32"/>
      <c r="S19" s="32">
        <f t="shared" si="19"/>
        <v>0</v>
      </c>
      <c r="T19" s="32"/>
      <c r="U19" s="32"/>
      <c r="V19" s="32">
        <f t="shared" si="20"/>
        <v>0</v>
      </c>
      <c r="W19" s="32"/>
      <c r="X19" s="32"/>
      <c r="Y19" s="32">
        <f t="shared" si="21"/>
        <v>0</v>
      </c>
      <c r="Z19" s="32"/>
      <c r="AA19" s="32"/>
      <c r="AB19" s="32">
        <f t="shared" si="22"/>
        <v>0</v>
      </c>
    </row>
    <row r="20" spans="1:29" s="29" customFormat="1" ht="31.5" x14ac:dyDescent="0.25">
      <c r="A20" s="31" t="s">
        <v>36</v>
      </c>
      <c r="B20" s="32">
        <f t="shared" si="0"/>
        <v>54000</v>
      </c>
      <c r="C20" s="32">
        <f t="shared" si="0"/>
        <v>54000</v>
      </c>
      <c r="D20" s="32">
        <f t="shared" si="0"/>
        <v>0</v>
      </c>
      <c r="E20" s="32">
        <v>54000</v>
      </c>
      <c r="F20" s="32">
        <v>54000</v>
      </c>
      <c r="G20" s="32">
        <f t="shared" si="15"/>
        <v>0</v>
      </c>
      <c r="H20" s="32"/>
      <c r="I20" s="32"/>
      <c r="J20" s="32">
        <f t="shared" si="16"/>
        <v>0</v>
      </c>
      <c r="K20" s="32"/>
      <c r="L20" s="32"/>
      <c r="M20" s="32">
        <f t="shared" si="17"/>
        <v>0</v>
      </c>
      <c r="N20" s="32"/>
      <c r="O20" s="32"/>
      <c r="P20" s="32">
        <f t="shared" si="18"/>
        <v>0</v>
      </c>
      <c r="Q20" s="32"/>
      <c r="R20" s="32"/>
      <c r="S20" s="32">
        <f t="shared" si="19"/>
        <v>0</v>
      </c>
      <c r="T20" s="32"/>
      <c r="U20" s="32"/>
      <c r="V20" s="32">
        <f t="shared" si="20"/>
        <v>0</v>
      </c>
      <c r="W20" s="32"/>
      <c r="X20" s="32"/>
      <c r="Y20" s="32">
        <f t="shared" si="21"/>
        <v>0</v>
      </c>
      <c r="Z20" s="32"/>
      <c r="AA20" s="32"/>
      <c r="AB20" s="32">
        <f t="shared" si="22"/>
        <v>0</v>
      </c>
    </row>
    <row r="21" spans="1:29" s="29" customFormat="1" ht="31.5" x14ac:dyDescent="0.25">
      <c r="A21" s="31" t="s">
        <v>37</v>
      </c>
      <c r="B21" s="32">
        <f t="shared" si="0"/>
        <v>131001</v>
      </c>
      <c r="C21" s="32">
        <f t="shared" si="0"/>
        <v>131001</v>
      </c>
      <c r="D21" s="32">
        <f t="shared" si="0"/>
        <v>0</v>
      </c>
      <c r="E21" s="32"/>
      <c r="F21" s="32"/>
      <c r="G21" s="32">
        <f t="shared" si="15"/>
        <v>0</v>
      </c>
      <c r="H21" s="32">
        <f>47490+70572+12939</f>
        <v>131001</v>
      </c>
      <c r="I21" s="32">
        <f>47490+70572+12939</f>
        <v>131001</v>
      </c>
      <c r="J21" s="32">
        <f t="shared" si="16"/>
        <v>0</v>
      </c>
      <c r="K21" s="32"/>
      <c r="L21" s="32"/>
      <c r="M21" s="32">
        <f t="shared" si="17"/>
        <v>0</v>
      </c>
      <c r="N21" s="32"/>
      <c r="O21" s="32"/>
      <c r="P21" s="32">
        <f t="shared" si="18"/>
        <v>0</v>
      </c>
      <c r="Q21" s="32"/>
      <c r="R21" s="32"/>
      <c r="S21" s="32">
        <f t="shared" si="19"/>
        <v>0</v>
      </c>
      <c r="T21" s="32"/>
      <c r="U21" s="32"/>
      <c r="V21" s="32">
        <f t="shared" si="20"/>
        <v>0</v>
      </c>
      <c r="W21" s="32"/>
      <c r="X21" s="32"/>
      <c r="Y21" s="32">
        <f t="shared" si="21"/>
        <v>0</v>
      </c>
      <c r="Z21" s="32"/>
      <c r="AA21" s="32"/>
      <c r="AB21" s="32">
        <f t="shared" si="22"/>
        <v>0</v>
      </c>
    </row>
    <row r="22" spans="1:29" s="26" customFormat="1" x14ac:dyDescent="0.25">
      <c r="A22" s="33" t="s">
        <v>38</v>
      </c>
      <c r="B22" s="30">
        <f t="shared" si="0"/>
        <v>530403</v>
      </c>
      <c r="C22" s="30">
        <f t="shared" si="0"/>
        <v>530403</v>
      </c>
      <c r="D22" s="30">
        <f t="shared" si="0"/>
        <v>0</v>
      </c>
      <c r="E22" s="30">
        <f t="shared" ref="E22:AA22" si="25">SUM(E23)</f>
        <v>0</v>
      </c>
      <c r="F22" s="30">
        <f t="shared" si="25"/>
        <v>0</v>
      </c>
      <c r="G22" s="30">
        <f t="shared" si="15"/>
        <v>0</v>
      </c>
      <c r="H22" s="30">
        <f t="shared" si="25"/>
        <v>0</v>
      </c>
      <c r="I22" s="30">
        <f t="shared" si="25"/>
        <v>0</v>
      </c>
      <c r="J22" s="30">
        <f t="shared" si="16"/>
        <v>0</v>
      </c>
      <c r="K22" s="30">
        <f t="shared" si="25"/>
        <v>0</v>
      </c>
      <c r="L22" s="30">
        <f t="shared" si="25"/>
        <v>0</v>
      </c>
      <c r="M22" s="30">
        <f t="shared" si="17"/>
        <v>0</v>
      </c>
      <c r="N22" s="30">
        <f t="shared" si="25"/>
        <v>0</v>
      </c>
      <c r="O22" s="30">
        <f t="shared" si="25"/>
        <v>0</v>
      </c>
      <c r="P22" s="30">
        <f t="shared" si="18"/>
        <v>0</v>
      </c>
      <c r="Q22" s="30">
        <f t="shared" si="25"/>
        <v>125580</v>
      </c>
      <c r="R22" s="30">
        <f t="shared" si="25"/>
        <v>125580</v>
      </c>
      <c r="S22" s="30">
        <f t="shared" si="19"/>
        <v>0</v>
      </c>
      <c r="T22" s="30">
        <f t="shared" si="25"/>
        <v>294823</v>
      </c>
      <c r="U22" s="30">
        <f t="shared" si="25"/>
        <v>294823</v>
      </c>
      <c r="V22" s="30">
        <f t="shared" si="20"/>
        <v>0</v>
      </c>
      <c r="W22" s="30">
        <f t="shared" si="25"/>
        <v>0</v>
      </c>
      <c r="X22" s="30">
        <f t="shared" si="25"/>
        <v>0</v>
      </c>
      <c r="Y22" s="30">
        <f t="shared" si="21"/>
        <v>0</v>
      </c>
      <c r="Z22" s="30">
        <f t="shared" si="25"/>
        <v>110000</v>
      </c>
      <c r="AA22" s="30">
        <f t="shared" si="25"/>
        <v>110000</v>
      </c>
      <c r="AB22" s="30">
        <f t="shared" si="22"/>
        <v>0</v>
      </c>
    </row>
    <row r="23" spans="1:29" s="26" customFormat="1" x14ac:dyDescent="0.25">
      <c r="A23" s="27" t="s">
        <v>27</v>
      </c>
      <c r="B23" s="30">
        <f t="shared" si="0"/>
        <v>530403</v>
      </c>
      <c r="C23" s="30">
        <f t="shared" si="0"/>
        <v>530403</v>
      </c>
      <c r="D23" s="30">
        <f t="shared" si="0"/>
        <v>0</v>
      </c>
      <c r="E23" s="30">
        <f t="shared" ref="E23" si="26">SUM(E24:E35)</f>
        <v>0</v>
      </c>
      <c r="F23" s="30">
        <f t="shared" ref="F23" si="27">SUM(F24:F35)</f>
        <v>0</v>
      </c>
      <c r="G23" s="30">
        <f t="shared" si="15"/>
        <v>0</v>
      </c>
      <c r="H23" s="30">
        <f t="shared" ref="H23:I23" si="28">SUM(H24:H35)</f>
        <v>0</v>
      </c>
      <c r="I23" s="30">
        <f t="shared" si="28"/>
        <v>0</v>
      </c>
      <c r="J23" s="30">
        <f t="shared" si="16"/>
        <v>0</v>
      </c>
      <c r="K23" s="30">
        <f t="shared" ref="K23:L23" si="29">SUM(K24:K35)</f>
        <v>0</v>
      </c>
      <c r="L23" s="30">
        <f t="shared" si="29"/>
        <v>0</v>
      </c>
      <c r="M23" s="30">
        <f t="shared" si="17"/>
        <v>0</v>
      </c>
      <c r="N23" s="30">
        <f t="shared" ref="N23:O23" si="30">SUM(N24:N35)</f>
        <v>0</v>
      </c>
      <c r="O23" s="30">
        <f t="shared" si="30"/>
        <v>0</v>
      </c>
      <c r="P23" s="30">
        <f t="shared" si="18"/>
        <v>0</v>
      </c>
      <c r="Q23" s="30">
        <f t="shared" ref="Q23:R23" si="31">SUM(Q24:Q35)</f>
        <v>125580</v>
      </c>
      <c r="R23" s="30">
        <f t="shared" si="31"/>
        <v>125580</v>
      </c>
      <c r="S23" s="30">
        <f t="shared" si="19"/>
        <v>0</v>
      </c>
      <c r="T23" s="30">
        <f t="shared" ref="T23:U23" si="32">SUM(T24:T35)</f>
        <v>294823</v>
      </c>
      <c r="U23" s="30">
        <f t="shared" si="32"/>
        <v>294823</v>
      </c>
      <c r="V23" s="30">
        <f t="shared" si="20"/>
        <v>0</v>
      </c>
      <c r="W23" s="30">
        <f t="shared" ref="W23:X23" si="33">SUM(W24:W35)</f>
        <v>0</v>
      </c>
      <c r="X23" s="30">
        <f t="shared" si="33"/>
        <v>0</v>
      </c>
      <c r="Y23" s="30">
        <f t="shared" si="21"/>
        <v>0</v>
      </c>
      <c r="Z23" s="30">
        <f t="shared" ref="Z23:AA23" si="34">SUM(Z24:Z35)</f>
        <v>110000</v>
      </c>
      <c r="AA23" s="30">
        <f t="shared" si="34"/>
        <v>110000</v>
      </c>
      <c r="AB23" s="30">
        <f t="shared" si="22"/>
        <v>0</v>
      </c>
    </row>
    <row r="24" spans="1:29" s="29" customFormat="1" x14ac:dyDescent="0.25">
      <c r="A24" s="34" t="s">
        <v>39</v>
      </c>
      <c r="B24" s="35">
        <f t="shared" si="0"/>
        <v>110000</v>
      </c>
      <c r="C24" s="35">
        <f t="shared" si="0"/>
        <v>110000</v>
      </c>
      <c r="D24" s="35">
        <f t="shared" si="0"/>
        <v>0</v>
      </c>
      <c r="E24" s="35">
        <v>0</v>
      </c>
      <c r="F24" s="35">
        <v>0</v>
      </c>
      <c r="G24" s="35">
        <f t="shared" si="15"/>
        <v>0</v>
      </c>
      <c r="H24" s="35">
        <v>0</v>
      </c>
      <c r="I24" s="35">
        <v>0</v>
      </c>
      <c r="J24" s="35">
        <f t="shared" si="16"/>
        <v>0</v>
      </c>
      <c r="K24" s="35">
        <v>0</v>
      </c>
      <c r="L24" s="35">
        <v>0</v>
      </c>
      <c r="M24" s="35">
        <f t="shared" si="17"/>
        <v>0</v>
      </c>
      <c r="N24" s="35"/>
      <c r="O24" s="35"/>
      <c r="P24" s="35">
        <f t="shared" si="18"/>
        <v>0</v>
      </c>
      <c r="Q24" s="35"/>
      <c r="R24" s="35"/>
      <c r="S24" s="35">
        <f t="shared" si="19"/>
        <v>0</v>
      </c>
      <c r="T24" s="35">
        <v>0</v>
      </c>
      <c r="U24" s="35">
        <v>0</v>
      </c>
      <c r="V24" s="35">
        <f t="shared" si="20"/>
        <v>0</v>
      </c>
      <c r="W24" s="35"/>
      <c r="X24" s="35"/>
      <c r="Y24" s="35">
        <f t="shared" si="21"/>
        <v>0</v>
      </c>
      <c r="Z24" s="35">
        <v>110000</v>
      </c>
      <c r="AA24" s="35">
        <v>110000</v>
      </c>
      <c r="AB24" s="35">
        <f t="shared" si="22"/>
        <v>0</v>
      </c>
    </row>
    <row r="25" spans="1:29" s="29" customFormat="1" x14ac:dyDescent="0.25">
      <c r="A25" s="36" t="s">
        <v>40</v>
      </c>
      <c r="B25" s="35">
        <f t="shared" si="0"/>
        <v>54000</v>
      </c>
      <c r="C25" s="35">
        <f t="shared" si="0"/>
        <v>54000</v>
      </c>
      <c r="D25" s="35">
        <f t="shared" si="0"/>
        <v>0</v>
      </c>
      <c r="E25" s="35">
        <v>0</v>
      </c>
      <c r="F25" s="35">
        <v>0</v>
      </c>
      <c r="G25" s="35">
        <f t="shared" si="15"/>
        <v>0</v>
      </c>
      <c r="H25" s="35">
        <v>0</v>
      </c>
      <c r="I25" s="35">
        <v>0</v>
      </c>
      <c r="J25" s="35">
        <f t="shared" si="16"/>
        <v>0</v>
      </c>
      <c r="K25" s="35"/>
      <c r="L25" s="35"/>
      <c r="M25" s="35">
        <f t="shared" si="17"/>
        <v>0</v>
      </c>
      <c r="N25" s="35">
        <v>0</v>
      </c>
      <c r="O25" s="35">
        <v>0</v>
      </c>
      <c r="P25" s="35">
        <f t="shared" si="18"/>
        <v>0</v>
      </c>
      <c r="Q25" s="35">
        <v>54000</v>
      </c>
      <c r="R25" s="35">
        <v>54000</v>
      </c>
      <c r="S25" s="35">
        <f t="shared" si="19"/>
        <v>0</v>
      </c>
      <c r="T25" s="35">
        <v>0</v>
      </c>
      <c r="U25" s="35">
        <v>0</v>
      </c>
      <c r="V25" s="35">
        <f t="shared" si="20"/>
        <v>0</v>
      </c>
      <c r="W25" s="35">
        <v>0</v>
      </c>
      <c r="X25" s="35">
        <v>0</v>
      </c>
      <c r="Y25" s="35">
        <f t="shared" si="21"/>
        <v>0</v>
      </c>
      <c r="Z25" s="35"/>
      <c r="AA25" s="35"/>
      <c r="AB25" s="35">
        <f t="shared" si="22"/>
        <v>0</v>
      </c>
    </row>
    <row r="26" spans="1:29" s="29" customFormat="1" x14ac:dyDescent="0.25">
      <c r="A26" s="36" t="s">
        <v>41</v>
      </c>
      <c r="B26" s="35">
        <f t="shared" si="0"/>
        <v>39400</v>
      </c>
      <c r="C26" s="35">
        <f t="shared" si="0"/>
        <v>39400</v>
      </c>
      <c r="D26" s="35">
        <f t="shared" si="0"/>
        <v>0</v>
      </c>
      <c r="E26" s="35">
        <v>0</v>
      </c>
      <c r="F26" s="35">
        <v>0</v>
      </c>
      <c r="G26" s="35">
        <f t="shared" si="15"/>
        <v>0</v>
      </c>
      <c r="H26" s="35">
        <v>0</v>
      </c>
      <c r="I26" s="35">
        <v>0</v>
      </c>
      <c r="J26" s="35">
        <f t="shared" si="16"/>
        <v>0</v>
      </c>
      <c r="K26" s="35"/>
      <c r="L26" s="35"/>
      <c r="M26" s="35">
        <f t="shared" si="17"/>
        <v>0</v>
      </c>
      <c r="N26" s="35">
        <v>0</v>
      </c>
      <c r="O26" s="35">
        <v>0</v>
      </c>
      <c r="P26" s="35">
        <f t="shared" si="18"/>
        <v>0</v>
      </c>
      <c r="Q26" s="35">
        <v>39400</v>
      </c>
      <c r="R26" s="35">
        <v>39400</v>
      </c>
      <c r="S26" s="35">
        <f t="shared" si="19"/>
        <v>0</v>
      </c>
      <c r="T26" s="35">
        <v>0</v>
      </c>
      <c r="U26" s="35">
        <v>0</v>
      </c>
      <c r="V26" s="35">
        <f t="shared" si="20"/>
        <v>0</v>
      </c>
      <c r="W26" s="35">
        <v>0</v>
      </c>
      <c r="X26" s="35">
        <v>0</v>
      </c>
      <c r="Y26" s="35">
        <f t="shared" si="21"/>
        <v>0</v>
      </c>
      <c r="Z26" s="35"/>
      <c r="AA26" s="35"/>
      <c r="AB26" s="35">
        <f t="shared" si="22"/>
        <v>0</v>
      </c>
    </row>
    <row r="27" spans="1:29" s="29" customFormat="1" ht="31.5" x14ac:dyDescent="0.25">
      <c r="A27" s="36" t="s">
        <v>42</v>
      </c>
      <c r="B27" s="35">
        <f t="shared" si="0"/>
        <v>22180</v>
      </c>
      <c r="C27" s="35">
        <f t="shared" si="0"/>
        <v>22180</v>
      </c>
      <c r="D27" s="35">
        <f t="shared" si="0"/>
        <v>0</v>
      </c>
      <c r="E27" s="35">
        <v>0</v>
      </c>
      <c r="F27" s="35">
        <v>0</v>
      </c>
      <c r="G27" s="35">
        <f t="shared" si="15"/>
        <v>0</v>
      </c>
      <c r="H27" s="35">
        <v>0</v>
      </c>
      <c r="I27" s="35">
        <v>0</v>
      </c>
      <c r="J27" s="35">
        <f t="shared" si="16"/>
        <v>0</v>
      </c>
      <c r="K27" s="35"/>
      <c r="L27" s="35"/>
      <c r="M27" s="35">
        <f t="shared" si="17"/>
        <v>0</v>
      </c>
      <c r="N27" s="35">
        <v>0</v>
      </c>
      <c r="O27" s="35">
        <v>0</v>
      </c>
      <c r="P27" s="35">
        <f t="shared" si="18"/>
        <v>0</v>
      </c>
      <c r="Q27" s="35">
        <v>22180</v>
      </c>
      <c r="R27" s="35">
        <v>22180</v>
      </c>
      <c r="S27" s="35">
        <f t="shared" si="19"/>
        <v>0</v>
      </c>
      <c r="T27" s="35">
        <v>0</v>
      </c>
      <c r="U27" s="35">
        <v>0</v>
      </c>
      <c r="V27" s="35">
        <f t="shared" si="20"/>
        <v>0</v>
      </c>
      <c r="W27" s="35">
        <v>0</v>
      </c>
      <c r="X27" s="35">
        <v>0</v>
      </c>
      <c r="Y27" s="35">
        <f t="shared" si="21"/>
        <v>0</v>
      </c>
      <c r="Z27" s="35"/>
      <c r="AA27" s="35"/>
      <c r="AB27" s="35">
        <f t="shared" si="22"/>
        <v>0</v>
      </c>
    </row>
    <row r="28" spans="1:29" s="29" customFormat="1" x14ac:dyDescent="0.25">
      <c r="A28" s="34" t="s">
        <v>43</v>
      </c>
      <c r="B28" s="35">
        <f t="shared" si="0"/>
        <v>10000</v>
      </c>
      <c r="C28" s="35">
        <f t="shared" si="0"/>
        <v>10000</v>
      </c>
      <c r="D28" s="35">
        <f t="shared" si="0"/>
        <v>0</v>
      </c>
      <c r="E28" s="35">
        <v>0</v>
      </c>
      <c r="F28" s="35">
        <v>0</v>
      </c>
      <c r="G28" s="35">
        <f t="shared" si="15"/>
        <v>0</v>
      </c>
      <c r="H28" s="35">
        <v>0</v>
      </c>
      <c r="I28" s="35">
        <v>0</v>
      </c>
      <c r="J28" s="35">
        <f t="shared" si="16"/>
        <v>0</v>
      </c>
      <c r="K28" s="35">
        <v>0</v>
      </c>
      <c r="L28" s="35">
        <v>0</v>
      </c>
      <c r="M28" s="35">
        <f t="shared" si="17"/>
        <v>0</v>
      </c>
      <c r="N28" s="35"/>
      <c r="O28" s="35"/>
      <c r="P28" s="35">
        <f t="shared" si="18"/>
        <v>0</v>
      </c>
      <c r="Q28" s="35">
        <v>10000</v>
      </c>
      <c r="R28" s="35">
        <v>10000</v>
      </c>
      <c r="S28" s="35">
        <f t="shared" si="19"/>
        <v>0</v>
      </c>
      <c r="T28" s="35">
        <v>0</v>
      </c>
      <c r="U28" s="35">
        <v>0</v>
      </c>
      <c r="V28" s="35">
        <f t="shared" si="20"/>
        <v>0</v>
      </c>
      <c r="W28" s="35"/>
      <c r="X28" s="35"/>
      <c r="Y28" s="35">
        <f t="shared" si="21"/>
        <v>0</v>
      </c>
      <c r="Z28" s="35">
        <v>0</v>
      </c>
      <c r="AA28" s="35">
        <v>0</v>
      </c>
      <c r="AB28" s="35">
        <f t="shared" si="22"/>
        <v>0</v>
      </c>
      <c r="AC28" s="9"/>
    </row>
    <row r="29" spans="1:29" s="29" customFormat="1" ht="31.5" x14ac:dyDescent="0.25">
      <c r="A29" s="37" t="s">
        <v>44</v>
      </c>
      <c r="B29" s="35">
        <f t="shared" si="0"/>
        <v>21270</v>
      </c>
      <c r="C29" s="35">
        <f t="shared" si="0"/>
        <v>21270</v>
      </c>
      <c r="D29" s="35">
        <f t="shared" si="0"/>
        <v>0</v>
      </c>
      <c r="E29" s="35">
        <v>0</v>
      </c>
      <c r="F29" s="35">
        <v>0</v>
      </c>
      <c r="G29" s="35">
        <f t="shared" si="15"/>
        <v>0</v>
      </c>
      <c r="H29" s="35">
        <v>0</v>
      </c>
      <c r="I29" s="35">
        <v>0</v>
      </c>
      <c r="J29" s="35">
        <f t="shared" si="16"/>
        <v>0</v>
      </c>
      <c r="K29" s="35">
        <v>0</v>
      </c>
      <c r="L29" s="35">
        <v>0</v>
      </c>
      <c r="M29" s="35">
        <f t="shared" si="17"/>
        <v>0</v>
      </c>
      <c r="N29" s="35"/>
      <c r="O29" s="35"/>
      <c r="P29" s="35">
        <f t="shared" si="18"/>
        <v>0</v>
      </c>
      <c r="Q29" s="35"/>
      <c r="R29" s="35"/>
      <c r="S29" s="35">
        <f t="shared" si="19"/>
        <v>0</v>
      </c>
      <c r="T29" s="35">
        <v>21270</v>
      </c>
      <c r="U29" s="35">
        <v>21270</v>
      </c>
      <c r="V29" s="35">
        <f t="shared" si="20"/>
        <v>0</v>
      </c>
      <c r="W29" s="35"/>
      <c r="X29" s="35"/>
      <c r="Y29" s="35">
        <f t="shared" si="21"/>
        <v>0</v>
      </c>
      <c r="Z29" s="35"/>
      <c r="AA29" s="35"/>
      <c r="AB29" s="35">
        <f t="shared" si="22"/>
        <v>0</v>
      </c>
    </row>
    <row r="30" spans="1:29" s="29" customFormat="1" ht="47.25" x14ac:dyDescent="0.25">
      <c r="A30" s="37" t="s">
        <v>45</v>
      </c>
      <c r="B30" s="35">
        <f t="shared" si="0"/>
        <v>1645</v>
      </c>
      <c r="C30" s="35">
        <f t="shared" si="0"/>
        <v>1645</v>
      </c>
      <c r="D30" s="35">
        <f t="shared" si="0"/>
        <v>0</v>
      </c>
      <c r="E30" s="35">
        <v>0</v>
      </c>
      <c r="F30" s="35">
        <v>0</v>
      </c>
      <c r="G30" s="35">
        <f t="shared" si="15"/>
        <v>0</v>
      </c>
      <c r="H30" s="35">
        <v>0</v>
      </c>
      <c r="I30" s="35">
        <v>0</v>
      </c>
      <c r="J30" s="35">
        <f t="shared" si="16"/>
        <v>0</v>
      </c>
      <c r="K30" s="35">
        <v>0</v>
      </c>
      <c r="L30" s="35">
        <v>0</v>
      </c>
      <c r="M30" s="35">
        <f t="shared" si="17"/>
        <v>0</v>
      </c>
      <c r="N30" s="35"/>
      <c r="O30" s="35"/>
      <c r="P30" s="35">
        <f t="shared" si="18"/>
        <v>0</v>
      </c>
      <c r="Q30" s="35"/>
      <c r="R30" s="35"/>
      <c r="S30" s="35">
        <f t="shared" si="19"/>
        <v>0</v>
      </c>
      <c r="T30" s="35">
        <v>1645</v>
      </c>
      <c r="U30" s="35">
        <v>1645</v>
      </c>
      <c r="V30" s="35">
        <f t="shared" si="20"/>
        <v>0</v>
      </c>
      <c r="W30" s="35"/>
      <c r="X30" s="35"/>
      <c r="Y30" s="35">
        <f t="shared" si="21"/>
        <v>0</v>
      </c>
      <c r="Z30" s="35"/>
      <c r="AA30" s="35"/>
      <c r="AB30" s="35">
        <f t="shared" si="22"/>
        <v>0</v>
      </c>
    </row>
    <row r="31" spans="1:29" s="29" customFormat="1" ht="31.5" x14ac:dyDescent="0.25">
      <c r="A31" s="37" t="s">
        <v>46</v>
      </c>
      <c r="B31" s="35">
        <f t="shared" si="0"/>
        <v>79916</v>
      </c>
      <c r="C31" s="35">
        <f t="shared" si="0"/>
        <v>79916</v>
      </c>
      <c r="D31" s="35">
        <f t="shared" si="0"/>
        <v>0</v>
      </c>
      <c r="E31" s="35">
        <v>0</v>
      </c>
      <c r="F31" s="35">
        <v>0</v>
      </c>
      <c r="G31" s="35">
        <f t="shared" si="15"/>
        <v>0</v>
      </c>
      <c r="H31" s="35">
        <v>0</v>
      </c>
      <c r="I31" s="35">
        <v>0</v>
      </c>
      <c r="J31" s="35">
        <f t="shared" si="16"/>
        <v>0</v>
      </c>
      <c r="K31" s="35">
        <v>0</v>
      </c>
      <c r="L31" s="35">
        <v>0</v>
      </c>
      <c r="M31" s="35">
        <f t="shared" si="17"/>
        <v>0</v>
      </c>
      <c r="N31" s="35"/>
      <c r="O31" s="35"/>
      <c r="P31" s="35">
        <f t="shared" si="18"/>
        <v>0</v>
      </c>
      <c r="Q31" s="35"/>
      <c r="R31" s="35"/>
      <c r="S31" s="35">
        <f t="shared" si="19"/>
        <v>0</v>
      </c>
      <c r="T31" s="35">
        <v>79916</v>
      </c>
      <c r="U31" s="35">
        <v>79916</v>
      </c>
      <c r="V31" s="35">
        <f t="shared" si="20"/>
        <v>0</v>
      </c>
      <c r="W31" s="35"/>
      <c r="X31" s="35"/>
      <c r="Y31" s="35">
        <f t="shared" si="21"/>
        <v>0</v>
      </c>
      <c r="Z31" s="35"/>
      <c r="AA31" s="35"/>
      <c r="AB31" s="35">
        <f t="shared" si="22"/>
        <v>0</v>
      </c>
    </row>
    <row r="32" spans="1:29" s="29" customFormat="1" ht="78.75" x14ac:dyDescent="0.25">
      <c r="A32" s="37" t="s">
        <v>47</v>
      </c>
      <c r="B32" s="35">
        <f t="shared" si="0"/>
        <v>15596</v>
      </c>
      <c r="C32" s="35">
        <f t="shared" si="0"/>
        <v>15596</v>
      </c>
      <c r="D32" s="35">
        <f t="shared" si="0"/>
        <v>0</v>
      </c>
      <c r="E32" s="35">
        <v>0</v>
      </c>
      <c r="F32" s="35">
        <v>0</v>
      </c>
      <c r="G32" s="35">
        <f t="shared" si="15"/>
        <v>0</v>
      </c>
      <c r="H32" s="35">
        <v>0</v>
      </c>
      <c r="I32" s="35">
        <v>0</v>
      </c>
      <c r="J32" s="35">
        <f t="shared" si="16"/>
        <v>0</v>
      </c>
      <c r="K32" s="35">
        <v>0</v>
      </c>
      <c r="L32" s="35">
        <v>0</v>
      </c>
      <c r="M32" s="35">
        <f t="shared" si="17"/>
        <v>0</v>
      </c>
      <c r="N32" s="35"/>
      <c r="O32" s="35"/>
      <c r="P32" s="35">
        <f t="shared" si="18"/>
        <v>0</v>
      </c>
      <c r="Q32" s="35"/>
      <c r="R32" s="35"/>
      <c r="S32" s="35">
        <f t="shared" si="19"/>
        <v>0</v>
      </c>
      <c r="T32" s="35">
        <v>15596</v>
      </c>
      <c r="U32" s="35">
        <v>15596</v>
      </c>
      <c r="V32" s="35">
        <f t="shared" si="20"/>
        <v>0</v>
      </c>
      <c r="W32" s="35"/>
      <c r="X32" s="35"/>
      <c r="Y32" s="35">
        <f t="shared" si="21"/>
        <v>0</v>
      </c>
      <c r="Z32" s="35"/>
      <c r="AA32" s="35"/>
      <c r="AB32" s="35">
        <f t="shared" si="22"/>
        <v>0</v>
      </c>
    </row>
    <row r="33" spans="1:187" s="29" customFormat="1" ht="63" x14ac:dyDescent="0.25">
      <c r="A33" s="34" t="s">
        <v>48</v>
      </c>
      <c r="B33" s="32">
        <f t="shared" si="0"/>
        <v>1526</v>
      </c>
      <c r="C33" s="32">
        <f t="shared" si="0"/>
        <v>1526</v>
      </c>
      <c r="D33" s="32">
        <f t="shared" si="0"/>
        <v>0</v>
      </c>
      <c r="E33" s="32">
        <v>0</v>
      </c>
      <c r="F33" s="32">
        <v>0</v>
      </c>
      <c r="G33" s="32">
        <f t="shared" si="15"/>
        <v>0</v>
      </c>
      <c r="H33" s="32">
        <v>0</v>
      </c>
      <c r="I33" s="32">
        <v>0</v>
      </c>
      <c r="J33" s="32">
        <f t="shared" si="16"/>
        <v>0</v>
      </c>
      <c r="K33" s="32">
        <v>0</v>
      </c>
      <c r="L33" s="32">
        <v>0</v>
      </c>
      <c r="M33" s="32">
        <f t="shared" si="17"/>
        <v>0</v>
      </c>
      <c r="N33" s="32"/>
      <c r="O33" s="32"/>
      <c r="P33" s="32">
        <f t="shared" si="18"/>
        <v>0</v>
      </c>
      <c r="Q33" s="32"/>
      <c r="R33" s="32"/>
      <c r="S33" s="32">
        <f t="shared" si="19"/>
        <v>0</v>
      </c>
      <c r="T33" s="32">
        <f>9516-7990</f>
        <v>1526</v>
      </c>
      <c r="U33" s="32">
        <f>9516-7990</f>
        <v>1526</v>
      </c>
      <c r="V33" s="32">
        <f t="shared" si="20"/>
        <v>0</v>
      </c>
      <c r="W33" s="32"/>
      <c r="X33" s="32"/>
      <c r="Y33" s="32">
        <f t="shared" si="21"/>
        <v>0</v>
      </c>
      <c r="Z33" s="32"/>
      <c r="AA33" s="32"/>
      <c r="AB33" s="32">
        <f t="shared" si="22"/>
        <v>0</v>
      </c>
    </row>
    <row r="34" spans="1:187" s="29" customFormat="1" ht="94.5" x14ac:dyDescent="0.25">
      <c r="A34" s="37" t="s">
        <v>49</v>
      </c>
      <c r="B34" s="35">
        <f t="shared" si="0"/>
        <v>122493</v>
      </c>
      <c r="C34" s="35">
        <f t="shared" si="0"/>
        <v>122493</v>
      </c>
      <c r="D34" s="35">
        <f t="shared" si="0"/>
        <v>0</v>
      </c>
      <c r="E34" s="35">
        <f>50000-50000</f>
        <v>0</v>
      </c>
      <c r="F34" s="35">
        <f>50000-50000</f>
        <v>0</v>
      </c>
      <c r="G34" s="35">
        <f t="shared" si="15"/>
        <v>0</v>
      </c>
      <c r="H34" s="35">
        <v>0</v>
      </c>
      <c r="I34" s="35">
        <v>0</v>
      </c>
      <c r="J34" s="35">
        <f t="shared" si="16"/>
        <v>0</v>
      </c>
      <c r="K34" s="35">
        <v>0</v>
      </c>
      <c r="L34" s="35">
        <v>0</v>
      </c>
      <c r="M34" s="35">
        <f t="shared" si="17"/>
        <v>0</v>
      </c>
      <c r="N34" s="35"/>
      <c r="O34" s="35"/>
      <c r="P34" s="35">
        <f t="shared" si="18"/>
        <v>0</v>
      </c>
      <c r="Q34" s="35"/>
      <c r="R34" s="35"/>
      <c r="S34" s="35">
        <f t="shared" si="19"/>
        <v>0</v>
      </c>
      <c r="T34" s="35">
        <f>72493+50000</f>
        <v>122493</v>
      </c>
      <c r="U34" s="35">
        <f>72493+50000</f>
        <v>122493</v>
      </c>
      <c r="V34" s="35">
        <f t="shared" si="20"/>
        <v>0</v>
      </c>
      <c r="W34" s="35"/>
      <c r="X34" s="35"/>
      <c r="Y34" s="35">
        <f t="shared" si="21"/>
        <v>0</v>
      </c>
      <c r="Z34" s="35"/>
      <c r="AA34" s="35"/>
      <c r="AB34" s="35">
        <f t="shared" si="22"/>
        <v>0</v>
      </c>
    </row>
    <row r="35" spans="1:187" s="29" customFormat="1" ht="47.25" x14ac:dyDescent="0.25">
      <c r="A35" s="34" t="s">
        <v>50</v>
      </c>
      <c r="B35" s="32">
        <f t="shared" si="0"/>
        <v>52377</v>
      </c>
      <c r="C35" s="32">
        <f t="shared" si="0"/>
        <v>52377</v>
      </c>
      <c r="D35" s="32">
        <f t="shared" si="0"/>
        <v>0</v>
      </c>
      <c r="E35" s="32">
        <v>0</v>
      </c>
      <c r="F35" s="32">
        <v>0</v>
      </c>
      <c r="G35" s="32">
        <f t="shared" si="15"/>
        <v>0</v>
      </c>
      <c r="H35" s="32">
        <v>0</v>
      </c>
      <c r="I35" s="32">
        <v>0</v>
      </c>
      <c r="J35" s="32">
        <f t="shared" si="16"/>
        <v>0</v>
      </c>
      <c r="K35" s="32">
        <v>0</v>
      </c>
      <c r="L35" s="32">
        <v>0</v>
      </c>
      <c r="M35" s="32">
        <f t="shared" si="17"/>
        <v>0</v>
      </c>
      <c r="N35" s="32"/>
      <c r="O35" s="32"/>
      <c r="P35" s="32">
        <f t="shared" si="18"/>
        <v>0</v>
      </c>
      <c r="Q35" s="32"/>
      <c r="R35" s="32"/>
      <c r="S35" s="32">
        <f t="shared" si="19"/>
        <v>0</v>
      </c>
      <c r="T35" s="32">
        <f>2066+50311</f>
        <v>52377</v>
      </c>
      <c r="U35" s="32">
        <f>2066+50311</f>
        <v>52377</v>
      </c>
      <c r="V35" s="32">
        <f t="shared" si="20"/>
        <v>0</v>
      </c>
      <c r="W35" s="32">
        <f>50311-50311</f>
        <v>0</v>
      </c>
      <c r="X35" s="32">
        <f>50311-50311</f>
        <v>0</v>
      </c>
      <c r="Y35" s="32">
        <f t="shared" si="21"/>
        <v>0</v>
      </c>
      <c r="Z35" s="32">
        <f>50312-50312</f>
        <v>0</v>
      </c>
      <c r="AA35" s="32">
        <f>50312-50312</f>
        <v>0</v>
      </c>
      <c r="AB35" s="32">
        <f t="shared" si="22"/>
        <v>0</v>
      </c>
    </row>
    <row r="36" spans="1:187" s="29" customFormat="1" x14ac:dyDescent="0.25">
      <c r="A36" s="27" t="s">
        <v>51</v>
      </c>
      <c r="B36" s="28">
        <f t="shared" si="0"/>
        <v>2567192</v>
      </c>
      <c r="C36" s="28">
        <f t="shared" si="0"/>
        <v>2567192</v>
      </c>
      <c r="D36" s="28">
        <f t="shared" si="0"/>
        <v>0</v>
      </c>
      <c r="E36" s="28">
        <f t="shared" ref="E36:AA36" si="35">SUM(E37)</f>
        <v>0</v>
      </c>
      <c r="F36" s="28">
        <f t="shared" si="35"/>
        <v>0</v>
      </c>
      <c r="G36" s="28">
        <f t="shared" si="15"/>
        <v>0</v>
      </c>
      <c r="H36" s="28">
        <f t="shared" si="35"/>
        <v>0</v>
      </c>
      <c r="I36" s="28">
        <f t="shared" si="35"/>
        <v>0</v>
      </c>
      <c r="J36" s="28">
        <f t="shared" si="16"/>
        <v>0</v>
      </c>
      <c r="K36" s="28">
        <f t="shared" si="35"/>
        <v>0</v>
      </c>
      <c r="L36" s="28">
        <f t="shared" si="35"/>
        <v>0</v>
      </c>
      <c r="M36" s="28">
        <f t="shared" si="17"/>
        <v>0</v>
      </c>
      <c r="N36" s="28">
        <f t="shared" si="35"/>
        <v>0</v>
      </c>
      <c r="O36" s="28">
        <f t="shared" si="35"/>
        <v>0</v>
      </c>
      <c r="P36" s="28">
        <f t="shared" si="18"/>
        <v>0</v>
      </c>
      <c r="Q36" s="28">
        <f t="shared" si="35"/>
        <v>436571</v>
      </c>
      <c r="R36" s="28">
        <f t="shared" si="35"/>
        <v>436571</v>
      </c>
      <c r="S36" s="28">
        <f t="shared" si="19"/>
        <v>0</v>
      </c>
      <c r="T36" s="28">
        <f t="shared" si="35"/>
        <v>17769</v>
      </c>
      <c r="U36" s="28">
        <f t="shared" si="35"/>
        <v>17769</v>
      </c>
      <c r="V36" s="28">
        <f t="shared" si="20"/>
        <v>0</v>
      </c>
      <c r="W36" s="28">
        <f t="shared" si="35"/>
        <v>0</v>
      </c>
      <c r="X36" s="28">
        <f t="shared" si="35"/>
        <v>299953</v>
      </c>
      <c r="Y36" s="28">
        <f t="shared" si="21"/>
        <v>299953</v>
      </c>
      <c r="Z36" s="28">
        <f t="shared" si="35"/>
        <v>2112852</v>
      </c>
      <c r="AA36" s="28">
        <f t="shared" si="35"/>
        <v>1812899</v>
      </c>
      <c r="AB36" s="28">
        <f t="shared" si="22"/>
        <v>-299953</v>
      </c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</row>
    <row r="37" spans="1:187" s="29" customFormat="1" x14ac:dyDescent="0.25">
      <c r="A37" s="27" t="s">
        <v>27</v>
      </c>
      <c r="B37" s="28">
        <f t="shared" si="0"/>
        <v>2567192</v>
      </c>
      <c r="C37" s="28">
        <f t="shared" si="0"/>
        <v>2567192</v>
      </c>
      <c r="D37" s="28">
        <f t="shared" si="0"/>
        <v>0</v>
      </c>
      <c r="E37" s="28">
        <f t="shared" ref="E37:F37" si="36">SUM(E38:E41)</f>
        <v>0</v>
      </c>
      <c r="F37" s="28">
        <f t="shared" si="36"/>
        <v>0</v>
      </c>
      <c r="G37" s="28">
        <f t="shared" si="15"/>
        <v>0</v>
      </c>
      <c r="H37" s="28">
        <f t="shared" ref="H37:X37" si="37">SUM(H38:H41)</f>
        <v>0</v>
      </c>
      <c r="I37" s="28">
        <f t="shared" si="37"/>
        <v>0</v>
      </c>
      <c r="J37" s="28">
        <f t="shared" si="16"/>
        <v>0</v>
      </c>
      <c r="K37" s="28">
        <f t="shared" ref="K37:L37" si="38">SUM(K38:K41)</f>
        <v>0</v>
      </c>
      <c r="L37" s="28">
        <f t="shared" si="38"/>
        <v>0</v>
      </c>
      <c r="M37" s="28">
        <f t="shared" si="17"/>
        <v>0</v>
      </c>
      <c r="N37" s="28">
        <f t="shared" ref="N37:O37" si="39">SUM(N38:N41)</f>
        <v>0</v>
      </c>
      <c r="O37" s="28">
        <f t="shared" si="39"/>
        <v>0</v>
      </c>
      <c r="P37" s="28">
        <f t="shared" si="18"/>
        <v>0</v>
      </c>
      <c r="Q37" s="28">
        <f t="shared" ref="Q37:R37" si="40">SUM(Q38:Q41)</f>
        <v>436571</v>
      </c>
      <c r="R37" s="28">
        <f t="shared" si="40"/>
        <v>436571</v>
      </c>
      <c r="S37" s="28">
        <f t="shared" si="19"/>
        <v>0</v>
      </c>
      <c r="T37" s="28">
        <f t="shared" ref="T37:U37" si="41">SUM(T38:T41)</f>
        <v>17769</v>
      </c>
      <c r="U37" s="28">
        <f t="shared" si="41"/>
        <v>17769</v>
      </c>
      <c r="V37" s="28">
        <f t="shared" si="20"/>
        <v>0</v>
      </c>
      <c r="W37" s="28">
        <f t="shared" si="37"/>
        <v>0</v>
      </c>
      <c r="X37" s="28">
        <f t="shared" si="37"/>
        <v>299953</v>
      </c>
      <c r="Y37" s="28">
        <f t="shared" si="21"/>
        <v>299953</v>
      </c>
      <c r="Z37" s="28">
        <f t="shared" ref="Z37:AA37" si="42">SUM(Z38:Z41)</f>
        <v>2112852</v>
      </c>
      <c r="AA37" s="28">
        <f t="shared" si="42"/>
        <v>1812899</v>
      </c>
      <c r="AB37" s="28">
        <f t="shared" si="22"/>
        <v>-299953</v>
      </c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</row>
    <row r="38" spans="1:187" s="29" customFormat="1" ht="31.5" x14ac:dyDescent="0.25">
      <c r="A38" s="38" t="s">
        <v>0</v>
      </c>
      <c r="B38" s="35">
        <f t="shared" si="0"/>
        <v>1365800</v>
      </c>
      <c r="C38" s="35">
        <f t="shared" si="0"/>
        <v>1365800</v>
      </c>
      <c r="D38" s="35">
        <f t="shared" si="0"/>
        <v>0</v>
      </c>
      <c r="E38" s="35">
        <v>0</v>
      </c>
      <c r="F38" s="35">
        <v>0</v>
      </c>
      <c r="G38" s="35">
        <f t="shared" si="15"/>
        <v>0</v>
      </c>
      <c r="H38" s="35"/>
      <c r="I38" s="35"/>
      <c r="J38" s="35">
        <f t="shared" si="16"/>
        <v>0</v>
      </c>
      <c r="K38" s="35">
        <v>0</v>
      </c>
      <c r="L38" s="35">
        <v>0</v>
      </c>
      <c r="M38" s="35">
        <f t="shared" si="17"/>
        <v>0</v>
      </c>
      <c r="N38" s="35"/>
      <c r="O38" s="35"/>
      <c r="P38" s="35">
        <f t="shared" si="18"/>
        <v>0</v>
      </c>
      <c r="Q38" s="35"/>
      <c r="R38" s="35"/>
      <c r="S38" s="35">
        <f t="shared" si="19"/>
        <v>0</v>
      </c>
      <c r="T38" s="35"/>
      <c r="U38" s="35"/>
      <c r="V38" s="35">
        <f t="shared" si="20"/>
        <v>0</v>
      </c>
      <c r="W38" s="35"/>
      <c r="X38" s="35">
        <f>299953</f>
        <v>299953</v>
      </c>
      <c r="Y38" s="35">
        <f t="shared" si="21"/>
        <v>299953</v>
      </c>
      <c r="Z38" s="35">
        <v>1365800</v>
      </c>
      <c r="AA38" s="35">
        <f>1365800-299953</f>
        <v>1065847</v>
      </c>
      <c r="AB38" s="35">
        <f t="shared" si="22"/>
        <v>-299953</v>
      </c>
    </row>
    <row r="39" spans="1:187" s="29" customFormat="1" ht="31.5" x14ac:dyDescent="0.25">
      <c r="A39" s="38" t="s">
        <v>52</v>
      </c>
      <c r="B39" s="35">
        <f t="shared" si="0"/>
        <v>100000</v>
      </c>
      <c r="C39" s="35">
        <f t="shared" si="0"/>
        <v>100000</v>
      </c>
      <c r="D39" s="35">
        <f t="shared" si="0"/>
        <v>0</v>
      </c>
      <c r="E39" s="35">
        <v>0</v>
      </c>
      <c r="F39" s="35">
        <v>0</v>
      </c>
      <c r="G39" s="35">
        <f t="shared" si="15"/>
        <v>0</v>
      </c>
      <c r="H39" s="35"/>
      <c r="I39" s="35"/>
      <c r="J39" s="35">
        <f t="shared" si="16"/>
        <v>0</v>
      </c>
      <c r="K39" s="35">
        <v>0</v>
      </c>
      <c r="L39" s="35">
        <v>0</v>
      </c>
      <c r="M39" s="35">
        <f t="shared" si="17"/>
        <v>0</v>
      </c>
      <c r="N39" s="35"/>
      <c r="O39" s="35"/>
      <c r="P39" s="35">
        <f t="shared" si="18"/>
        <v>0</v>
      </c>
      <c r="Q39" s="35"/>
      <c r="R39" s="35"/>
      <c r="S39" s="35">
        <f t="shared" si="19"/>
        <v>0</v>
      </c>
      <c r="T39" s="35"/>
      <c r="U39" s="35"/>
      <c r="V39" s="35">
        <f t="shared" si="20"/>
        <v>0</v>
      </c>
      <c r="W39" s="35"/>
      <c r="X39" s="35"/>
      <c r="Y39" s="35">
        <f t="shared" si="21"/>
        <v>0</v>
      </c>
      <c r="Z39" s="35">
        <v>100000</v>
      </c>
      <c r="AA39" s="35">
        <v>100000</v>
      </c>
      <c r="AB39" s="35">
        <f t="shared" si="22"/>
        <v>0</v>
      </c>
    </row>
    <row r="40" spans="1:187" s="29" customFormat="1" ht="47.25" x14ac:dyDescent="0.25">
      <c r="A40" s="38" t="s">
        <v>53</v>
      </c>
      <c r="B40" s="35">
        <f t="shared" si="0"/>
        <v>962096</v>
      </c>
      <c r="C40" s="35">
        <f t="shared" si="0"/>
        <v>962096</v>
      </c>
      <c r="D40" s="35">
        <f t="shared" si="0"/>
        <v>0</v>
      </c>
      <c r="E40" s="35">
        <f>15233-15233</f>
        <v>0</v>
      </c>
      <c r="F40" s="35">
        <f>15233-15233</f>
        <v>0</v>
      </c>
      <c r="G40" s="35">
        <f t="shared" si="15"/>
        <v>0</v>
      </c>
      <c r="H40" s="35"/>
      <c r="I40" s="35"/>
      <c r="J40" s="35">
        <f t="shared" si="16"/>
        <v>0</v>
      </c>
      <c r="K40" s="35"/>
      <c r="L40" s="35"/>
      <c r="M40" s="35">
        <f t="shared" si="17"/>
        <v>0</v>
      </c>
      <c r="N40" s="35"/>
      <c r="O40" s="35"/>
      <c r="P40" s="35">
        <f t="shared" si="18"/>
        <v>0</v>
      </c>
      <c r="Q40" s="35">
        <v>297275</v>
      </c>
      <c r="R40" s="35">
        <v>297275</v>
      </c>
      <c r="S40" s="35">
        <f t="shared" si="19"/>
        <v>0</v>
      </c>
      <c r="T40" s="35">
        <f>15233+2534+2</f>
        <v>17769</v>
      </c>
      <c r="U40" s="35">
        <f>15233+2534+2</f>
        <v>17769</v>
      </c>
      <c r="V40" s="35">
        <f t="shared" si="20"/>
        <v>0</v>
      </c>
      <c r="W40" s="35"/>
      <c r="X40" s="35"/>
      <c r="Y40" s="35">
        <f t="shared" si="21"/>
        <v>0</v>
      </c>
      <c r="Z40" s="35">
        <v>647052</v>
      </c>
      <c r="AA40" s="35">
        <v>647052</v>
      </c>
      <c r="AB40" s="35">
        <f t="shared" si="22"/>
        <v>0</v>
      </c>
    </row>
    <row r="41" spans="1:187" s="29" customFormat="1" ht="31.5" x14ac:dyDescent="0.25">
      <c r="A41" s="38" t="s">
        <v>54</v>
      </c>
      <c r="B41" s="35">
        <f t="shared" si="0"/>
        <v>139296</v>
      </c>
      <c r="C41" s="35">
        <f t="shared" si="0"/>
        <v>139296</v>
      </c>
      <c r="D41" s="35">
        <f t="shared" si="0"/>
        <v>0</v>
      </c>
      <c r="E41" s="35">
        <v>0</v>
      </c>
      <c r="F41" s="35">
        <v>0</v>
      </c>
      <c r="G41" s="35">
        <f t="shared" si="15"/>
        <v>0</v>
      </c>
      <c r="H41" s="35"/>
      <c r="I41" s="35"/>
      <c r="J41" s="35">
        <f t="shared" si="16"/>
        <v>0</v>
      </c>
      <c r="K41" s="35">
        <v>0</v>
      </c>
      <c r="L41" s="35">
        <v>0</v>
      </c>
      <c r="M41" s="35">
        <f t="shared" si="17"/>
        <v>0</v>
      </c>
      <c r="N41" s="35"/>
      <c r="O41" s="35"/>
      <c r="P41" s="35">
        <f t="shared" si="18"/>
        <v>0</v>
      </c>
      <c r="Q41" s="35">
        <v>139296</v>
      </c>
      <c r="R41" s="35">
        <v>139296</v>
      </c>
      <c r="S41" s="35">
        <f t="shared" si="19"/>
        <v>0</v>
      </c>
      <c r="T41" s="35"/>
      <c r="U41" s="35"/>
      <c r="V41" s="35">
        <f t="shared" si="20"/>
        <v>0</v>
      </c>
      <c r="W41" s="35"/>
      <c r="X41" s="35"/>
      <c r="Y41" s="35">
        <f t="shared" si="21"/>
        <v>0</v>
      </c>
      <c r="Z41" s="35"/>
      <c r="AA41" s="35"/>
      <c r="AB41" s="35">
        <f t="shared" si="22"/>
        <v>0</v>
      </c>
    </row>
    <row r="42" spans="1:187" s="29" customFormat="1" x14ac:dyDescent="0.25">
      <c r="A42" s="27" t="s">
        <v>55</v>
      </c>
      <c r="B42" s="28">
        <f t="shared" si="0"/>
        <v>605422</v>
      </c>
      <c r="C42" s="28">
        <f t="shared" si="0"/>
        <v>605422</v>
      </c>
      <c r="D42" s="28">
        <f t="shared" si="0"/>
        <v>0</v>
      </c>
      <c r="E42" s="28">
        <f t="shared" ref="E42:AA42" si="43">SUM(E43)</f>
        <v>0</v>
      </c>
      <c r="F42" s="28">
        <f t="shared" si="43"/>
        <v>0</v>
      </c>
      <c r="G42" s="28">
        <f t="shared" si="15"/>
        <v>0</v>
      </c>
      <c r="H42" s="28">
        <f t="shared" si="43"/>
        <v>0</v>
      </c>
      <c r="I42" s="28">
        <f t="shared" si="43"/>
        <v>0</v>
      </c>
      <c r="J42" s="28">
        <f t="shared" si="16"/>
        <v>0</v>
      </c>
      <c r="K42" s="28">
        <f t="shared" si="43"/>
        <v>0</v>
      </c>
      <c r="L42" s="28">
        <f t="shared" si="43"/>
        <v>0</v>
      </c>
      <c r="M42" s="28">
        <f t="shared" si="17"/>
        <v>0</v>
      </c>
      <c r="N42" s="28">
        <f t="shared" si="43"/>
        <v>0</v>
      </c>
      <c r="O42" s="28">
        <f t="shared" si="43"/>
        <v>0</v>
      </c>
      <c r="P42" s="28">
        <f t="shared" si="18"/>
        <v>0</v>
      </c>
      <c r="Q42" s="28">
        <f t="shared" si="43"/>
        <v>426323</v>
      </c>
      <c r="R42" s="28">
        <f t="shared" si="43"/>
        <v>426323</v>
      </c>
      <c r="S42" s="28">
        <f t="shared" si="19"/>
        <v>0</v>
      </c>
      <c r="T42" s="28">
        <f t="shared" si="43"/>
        <v>0</v>
      </c>
      <c r="U42" s="28">
        <f t="shared" si="43"/>
        <v>0</v>
      </c>
      <c r="V42" s="28">
        <f t="shared" si="20"/>
        <v>0</v>
      </c>
      <c r="W42" s="28">
        <f t="shared" si="43"/>
        <v>0</v>
      </c>
      <c r="X42" s="28">
        <f t="shared" si="43"/>
        <v>0</v>
      </c>
      <c r="Y42" s="28">
        <f t="shared" si="21"/>
        <v>0</v>
      </c>
      <c r="Z42" s="28">
        <f t="shared" si="43"/>
        <v>179099</v>
      </c>
      <c r="AA42" s="28">
        <f t="shared" si="43"/>
        <v>179099</v>
      </c>
      <c r="AB42" s="28">
        <f t="shared" si="22"/>
        <v>0</v>
      </c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</row>
    <row r="43" spans="1:187" s="26" customFormat="1" x14ac:dyDescent="0.25">
      <c r="A43" s="27" t="s">
        <v>27</v>
      </c>
      <c r="B43" s="28">
        <f t="shared" si="0"/>
        <v>605422</v>
      </c>
      <c r="C43" s="28">
        <f t="shared" si="0"/>
        <v>605422</v>
      </c>
      <c r="D43" s="28">
        <f t="shared" si="0"/>
        <v>0</v>
      </c>
      <c r="E43" s="28">
        <f t="shared" ref="E43" si="44">SUM(E44:E46)</f>
        <v>0</v>
      </c>
      <c r="F43" s="28">
        <f t="shared" ref="F43:AA43" si="45">SUM(F44:F46)</f>
        <v>0</v>
      </c>
      <c r="G43" s="28">
        <f t="shared" si="15"/>
        <v>0</v>
      </c>
      <c r="H43" s="28">
        <f t="shared" ref="H43" si="46">SUM(H44:H46)</f>
        <v>0</v>
      </c>
      <c r="I43" s="28">
        <f t="shared" si="45"/>
        <v>0</v>
      </c>
      <c r="J43" s="28">
        <f t="shared" si="16"/>
        <v>0</v>
      </c>
      <c r="K43" s="28">
        <f t="shared" ref="K43" si="47">SUM(K44:K46)</f>
        <v>0</v>
      </c>
      <c r="L43" s="28">
        <f t="shared" si="45"/>
        <v>0</v>
      </c>
      <c r="M43" s="28">
        <f t="shared" si="17"/>
        <v>0</v>
      </c>
      <c r="N43" s="28">
        <f t="shared" ref="N43" si="48">SUM(N44:N46)</f>
        <v>0</v>
      </c>
      <c r="O43" s="28">
        <f t="shared" si="45"/>
        <v>0</v>
      </c>
      <c r="P43" s="28">
        <f t="shared" si="18"/>
        <v>0</v>
      </c>
      <c r="Q43" s="28">
        <f t="shared" ref="Q43" si="49">SUM(Q44:Q46)</f>
        <v>426323</v>
      </c>
      <c r="R43" s="28">
        <f t="shared" si="45"/>
        <v>426323</v>
      </c>
      <c r="S43" s="28">
        <f t="shared" si="19"/>
        <v>0</v>
      </c>
      <c r="T43" s="28">
        <f t="shared" ref="T43" si="50">SUM(T44:T46)</f>
        <v>0</v>
      </c>
      <c r="U43" s="28">
        <f t="shared" si="45"/>
        <v>0</v>
      </c>
      <c r="V43" s="28">
        <f t="shared" si="20"/>
        <v>0</v>
      </c>
      <c r="W43" s="28">
        <f t="shared" si="45"/>
        <v>0</v>
      </c>
      <c r="X43" s="28">
        <f t="shared" si="45"/>
        <v>0</v>
      </c>
      <c r="Y43" s="28">
        <f t="shared" si="21"/>
        <v>0</v>
      </c>
      <c r="Z43" s="28">
        <f t="shared" ref="Z43" si="51">SUM(Z44:Z46)</f>
        <v>179099</v>
      </c>
      <c r="AA43" s="28">
        <f t="shared" si="45"/>
        <v>179099</v>
      </c>
      <c r="AB43" s="28">
        <f t="shared" si="22"/>
        <v>0</v>
      </c>
    </row>
    <row r="44" spans="1:187" s="29" customFormat="1" x14ac:dyDescent="0.25">
      <c r="A44" s="34" t="s">
        <v>56</v>
      </c>
      <c r="B44" s="35">
        <f t="shared" si="0"/>
        <v>350000</v>
      </c>
      <c r="C44" s="35">
        <f t="shared" si="0"/>
        <v>350000</v>
      </c>
      <c r="D44" s="35">
        <f t="shared" si="0"/>
        <v>0</v>
      </c>
      <c r="E44" s="35">
        <v>0</v>
      </c>
      <c r="F44" s="35">
        <v>0</v>
      </c>
      <c r="G44" s="35">
        <f t="shared" si="15"/>
        <v>0</v>
      </c>
      <c r="H44" s="35"/>
      <c r="I44" s="35"/>
      <c r="J44" s="35">
        <f t="shared" si="16"/>
        <v>0</v>
      </c>
      <c r="K44" s="35"/>
      <c r="L44" s="35"/>
      <c r="M44" s="35">
        <f t="shared" si="17"/>
        <v>0</v>
      </c>
      <c r="N44" s="35"/>
      <c r="O44" s="35"/>
      <c r="P44" s="35">
        <f t="shared" si="18"/>
        <v>0</v>
      </c>
      <c r="Q44" s="35">
        <f>170901</f>
        <v>170901</v>
      </c>
      <c r="R44" s="35">
        <f>170901</f>
        <v>170901</v>
      </c>
      <c r="S44" s="35">
        <f t="shared" si="19"/>
        <v>0</v>
      </c>
      <c r="T44" s="35"/>
      <c r="U44" s="35"/>
      <c r="V44" s="35">
        <f t="shared" si="20"/>
        <v>0</v>
      </c>
      <c r="W44" s="35"/>
      <c r="X44" s="35"/>
      <c r="Y44" s="35">
        <f t="shared" si="21"/>
        <v>0</v>
      </c>
      <c r="Z44" s="35">
        <v>179099</v>
      </c>
      <c r="AA44" s="35">
        <v>179099</v>
      </c>
      <c r="AB44" s="35">
        <f t="shared" si="22"/>
        <v>0</v>
      </c>
    </row>
    <row r="45" spans="1:187" s="29" customFormat="1" ht="31.5" x14ac:dyDescent="0.25">
      <c r="A45" s="34" t="s">
        <v>57</v>
      </c>
      <c r="B45" s="35">
        <f t="shared" si="0"/>
        <v>133000</v>
      </c>
      <c r="C45" s="35">
        <f t="shared" si="0"/>
        <v>133000</v>
      </c>
      <c r="D45" s="35">
        <f t="shared" si="0"/>
        <v>0</v>
      </c>
      <c r="E45" s="35"/>
      <c r="F45" s="35"/>
      <c r="G45" s="35">
        <f t="shared" si="15"/>
        <v>0</v>
      </c>
      <c r="H45" s="35"/>
      <c r="I45" s="35"/>
      <c r="J45" s="35">
        <f t="shared" si="16"/>
        <v>0</v>
      </c>
      <c r="K45" s="35"/>
      <c r="L45" s="35"/>
      <c r="M45" s="35">
        <f t="shared" si="17"/>
        <v>0</v>
      </c>
      <c r="N45" s="35"/>
      <c r="O45" s="35"/>
      <c r="P45" s="35">
        <f t="shared" si="18"/>
        <v>0</v>
      </c>
      <c r="Q45" s="35">
        <v>133000</v>
      </c>
      <c r="R45" s="35">
        <v>133000</v>
      </c>
      <c r="S45" s="35">
        <f t="shared" si="19"/>
        <v>0</v>
      </c>
      <c r="T45" s="35"/>
      <c r="U45" s="35"/>
      <c r="V45" s="35">
        <f t="shared" si="20"/>
        <v>0</v>
      </c>
      <c r="W45" s="35"/>
      <c r="X45" s="35"/>
      <c r="Y45" s="35">
        <f t="shared" si="21"/>
        <v>0</v>
      </c>
      <c r="Z45" s="35"/>
      <c r="AA45" s="35"/>
      <c r="AB45" s="35">
        <f t="shared" si="22"/>
        <v>0</v>
      </c>
    </row>
    <row r="46" spans="1:187" s="29" customFormat="1" ht="31.5" x14ac:dyDescent="0.25">
      <c r="A46" s="34" t="s">
        <v>58</v>
      </c>
      <c r="B46" s="35">
        <f t="shared" si="0"/>
        <v>122422</v>
      </c>
      <c r="C46" s="35">
        <f t="shared" si="0"/>
        <v>122422</v>
      </c>
      <c r="D46" s="35">
        <f t="shared" si="0"/>
        <v>0</v>
      </c>
      <c r="E46" s="35">
        <v>0</v>
      </c>
      <c r="F46" s="35">
        <v>0</v>
      </c>
      <c r="G46" s="35">
        <f t="shared" si="15"/>
        <v>0</v>
      </c>
      <c r="H46" s="35"/>
      <c r="I46" s="35"/>
      <c r="J46" s="35">
        <f t="shared" si="16"/>
        <v>0</v>
      </c>
      <c r="K46" s="35"/>
      <c r="L46" s="35"/>
      <c r="M46" s="35">
        <f t="shared" si="17"/>
        <v>0</v>
      </c>
      <c r="N46" s="35"/>
      <c r="O46" s="35"/>
      <c r="P46" s="35">
        <f t="shared" si="18"/>
        <v>0</v>
      </c>
      <c r="Q46" s="35">
        <v>122422</v>
      </c>
      <c r="R46" s="35">
        <v>122422</v>
      </c>
      <c r="S46" s="35">
        <f t="shared" si="19"/>
        <v>0</v>
      </c>
      <c r="T46" s="35"/>
      <c r="U46" s="35"/>
      <c r="V46" s="35">
        <f t="shared" si="20"/>
        <v>0</v>
      </c>
      <c r="W46" s="35"/>
      <c r="X46" s="35"/>
      <c r="Y46" s="35">
        <f t="shared" si="21"/>
        <v>0</v>
      </c>
      <c r="Z46" s="35"/>
      <c r="AA46" s="35"/>
      <c r="AB46" s="35">
        <f t="shared" si="22"/>
        <v>0</v>
      </c>
    </row>
    <row r="47" spans="1:187" s="29" customFormat="1" ht="31.5" x14ac:dyDescent="0.25">
      <c r="A47" s="27" t="s">
        <v>59</v>
      </c>
      <c r="B47" s="28">
        <f t="shared" si="0"/>
        <v>1248000</v>
      </c>
      <c r="C47" s="28">
        <f t="shared" si="0"/>
        <v>1260886</v>
      </c>
      <c r="D47" s="28">
        <f t="shared" si="0"/>
        <v>12886</v>
      </c>
      <c r="E47" s="28">
        <f t="shared" ref="E47:AA47" si="52">SUM(E48)</f>
        <v>0</v>
      </c>
      <c r="F47" s="28">
        <f t="shared" si="52"/>
        <v>0</v>
      </c>
      <c r="G47" s="28">
        <f t="shared" si="15"/>
        <v>0</v>
      </c>
      <c r="H47" s="28">
        <f t="shared" si="52"/>
        <v>0</v>
      </c>
      <c r="I47" s="28">
        <f t="shared" si="52"/>
        <v>0</v>
      </c>
      <c r="J47" s="28">
        <f t="shared" si="16"/>
        <v>0</v>
      </c>
      <c r="K47" s="28">
        <f t="shared" si="52"/>
        <v>2939</v>
      </c>
      <c r="L47" s="28">
        <f t="shared" si="52"/>
        <v>15825</v>
      </c>
      <c r="M47" s="28">
        <f t="shared" si="17"/>
        <v>12886</v>
      </c>
      <c r="N47" s="28">
        <f t="shared" si="52"/>
        <v>1063405</v>
      </c>
      <c r="O47" s="28">
        <f t="shared" si="52"/>
        <v>1063405</v>
      </c>
      <c r="P47" s="28">
        <f t="shared" si="18"/>
        <v>0</v>
      </c>
      <c r="Q47" s="28">
        <f t="shared" si="52"/>
        <v>181656</v>
      </c>
      <c r="R47" s="28">
        <f t="shared" si="52"/>
        <v>181656</v>
      </c>
      <c r="S47" s="28">
        <f t="shared" si="19"/>
        <v>0</v>
      </c>
      <c r="T47" s="28">
        <f t="shared" si="52"/>
        <v>0</v>
      </c>
      <c r="U47" s="28">
        <f t="shared" si="52"/>
        <v>0</v>
      </c>
      <c r="V47" s="28">
        <f t="shared" si="20"/>
        <v>0</v>
      </c>
      <c r="W47" s="28">
        <f t="shared" si="52"/>
        <v>0</v>
      </c>
      <c r="X47" s="28">
        <f t="shared" si="52"/>
        <v>0</v>
      </c>
      <c r="Y47" s="28">
        <f t="shared" si="21"/>
        <v>0</v>
      </c>
      <c r="Z47" s="28">
        <f t="shared" si="52"/>
        <v>0</v>
      </c>
      <c r="AA47" s="28">
        <f t="shared" si="52"/>
        <v>0</v>
      </c>
      <c r="AB47" s="28">
        <f t="shared" si="22"/>
        <v>0</v>
      </c>
    </row>
    <row r="48" spans="1:187" s="29" customFormat="1" x14ac:dyDescent="0.25">
      <c r="A48" s="27" t="s">
        <v>27</v>
      </c>
      <c r="B48" s="28">
        <f t="shared" si="0"/>
        <v>1248000</v>
      </c>
      <c r="C48" s="28">
        <f t="shared" si="0"/>
        <v>1260886</v>
      </c>
      <c r="D48" s="28">
        <f t="shared" si="0"/>
        <v>12886</v>
      </c>
      <c r="E48" s="28">
        <f t="shared" ref="E48:F48" si="53">SUM(E49:E54)</f>
        <v>0</v>
      </c>
      <c r="F48" s="28">
        <f t="shared" si="53"/>
        <v>0</v>
      </c>
      <c r="G48" s="28">
        <f t="shared" si="15"/>
        <v>0</v>
      </c>
      <c r="H48" s="28">
        <f t="shared" ref="H48:I48" si="54">SUM(H49:H54)</f>
        <v>0</v>
      </c>
      <c r="I48" s="28">
        <f t="shared" si="54"/>
        <v>0</v>
      </c>
      <c r="J48" s="28">
        <f t="shared" si="16"/>
        <v>0</v>
      </c>
      <c r="K48" s="28">
        <f t="shared" ref="K48:L48" si="55">SUM(K49:K54)</f>
        <v>2939</v>
      </c>
      <c r="L48" s="28">
        <f t="shared" si="55"/>
        <v>15825</v>
      </c>
      <c r="M48" s="28">
        <f t="shared" si="17"/>
        <v>12886</v>
      </c>
      <c r="N48" s="28">
        <f t="shared" ref="N48:O48" si="56">SUM(N49:N54)</f>
        <v>1063405</v>
      </c>
      <c r="O48" s="28">
        <f t="shared" si="56"/>
        <v>1063405</v>
      </c>
      <c r="P48" s="28">
        <f t="shared" si="18"/>
        <v>0</v>
      </c>
      <c r="Q48" s="28">
        <f t="shared" ref="Q48:R48" si="57">SUM(Q49:Q54)</f>
        <v>181656</v>
      </c>
      <c r="R48" s="28">
        <f t="shared" si="57"/>
        <v>181656</v>
      </c>
      <c r="S48" s="28">
        <f t="shared" si="19"/>
        <v>0</v>
      </c>
      <c r="T48" s="28">
        <f t="shared" ref="T48:U48" si="58">SUM(T49:T54)</f>
        <v>0</v>
      </c>
      <c r="U48" s="28">
        <f t="shared" si="58"/>
        <v>0</v>
      </c>
      <c r="V48" s="28">
        <f t="shared" si="20"/>
        <v>0</v>
      </c>
      <c r="W48" s="28">
        <f t="shared" ref="W48:X48" si="59">SUM(W49:W54)</f>
        <v>0</v>
      </c>
      <c r="X48" s="28">
        <f t="shared" si="59"/>
        <v>0</v>
      </c>
      <c r="Y48" s="28">
        <f t="shared" si="21"/>
        <v>0</v>
      </c>
      <c r="Z48" s="28">
        <f t="shared" ref="Z48:AA48" si="60">SUM(Z49:Z54)</f>
        <v>0</v>
      </c>
      <c r="AA48" s="28">
        <f t="shared" si="60"/>
        <v>0</v>
      </c>
      <c r="AB48" s="28">
        <f t="shared" si="22"/>
        <v>0</v>
      </c>
    </row>
    <row r="49" spans="1:187" s="26" customFormat="1" ht="110.25" x14ac:dyDescent="0.25">
      <c r="A49" s="37" t="s">
        <v>60</v>
      </c>
      <c r="B49" s="39">
        <f t="shared" si="0"/>
        <v>399465</v>
      </c>
      <c r="C49" s="39">
        <f t="shared" si="0"/>
        <v>399465</v>
      </c>
      <c r="D49" s="39">
        <f t="shared" si="0"/>
        <v>0</v>
      </c>
      <c r="E49" s="39">
        <v>0</v>
      </c>
      <c r="F49" s="39">
        <v>0</v>
      </c>
      <c r="G49" s="39">
        <f t="shared" si="15"/>
        <v>0</v>
      </c>
      <c r="H49" s="39"/>
      <c r="I49" s="39"/>
      <c r="J49" s="39">
        <f t="shared" si="16"/>
        <v>0</v>
      </c>
      <c r="K49" s="39">
        <v>0</v>
      </c>
      <c r="L49" s="39">
        <v>0</v>
      </c>
      <c r="M49" s="39">
        <f t="shared" si="17"/>
        <v>0</v>
      </c>
      <c r="N49" s="39">
        <v>399465</v>
      </c>
      <c r="O49" s="39">
        <v>399465</v>
      </c>
      <c r="P49" s="39">
        <f t="shared" si="18"/>
        <v>0</v>
      </c>
      <c r="Q49" s="39"/>
      <c r="R49" s="39"/>
      <c r="S49" s="39">
        <f t="shared" si="19"/>
        <v>0</v>
      </c>
      <c r="T49" s="39"/>
      <c r="U49" s="39"/>
      <c r="V49" s="39">
        <f t="shared" si="20"/>
        <v>0</v>
      </c>
      <c r="W49" s="39"/>
      <c r="X49" s="39"/>
      <c r="Y49" s="39">
        <f t="shared" si="21"/>
        <v>0</v>
      </c>
      <c r="Z49" s="39"/>
      <c r="AA49" s="39"/>
      <c r="AB49" s="39">
        <f t="shared" si="22"/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</row>
    <row r="50" spans="1:187" s="29" customFormat="1" ht="63" x14ac:dyDescent="0.25">
      <c r="A50" s="37" t="s">
        <v>61</v>
      </c>
      <c r="B50" s="32">
        <f t="shared" si="0"/>
        <v>106380</v>
      </c>
      <c r="C50" s="32">
        <f t="shared" si="0"/>
        <v>106380</v>
      </c>
      <c r="D50" s="32">
        <f t="shared" si="0"/>
        <v>0</v>
      </c>
      <c r="E50" s="32">
        <v>0</v>
      </c>
      <c r="F50" s="32">
        <v>0</v>
      </c>
      <c r="G50" s="32">
        <f t="shared" si="15"/>
        <v>0</v>
      </c>
      <c r="H50" s="32"/>
      <c r="I50" s="32"/>
      <c r="J50" s="32">
        <f t="shared" si="16"/>
        <v>0</v>
      </c>
      <c r="K50" s="32">
        <v>0</v>
      </c>
      <c r="L50" s="32">
        <v>0</v>
      </c>
      <c r="M50" s="32">
        <f t="shared" si="17"/>
        <v>0</v>
      </c>
      <c r="N50" s="32">
        <v>106380</v>
      </c>
      <c r="O50" s="32">
        <v>106380</v>
      </c>
      <c r="P50" s="32">
        <f t="shared" si="18"/>
        <v>0</v>
      </c>
      <c r="Q50" s="32"/>
      <c r="R50" s="32"/>
      <c r="S50" s="32">
        <f t="shared" si="19"/>
        <v>0</v>
      </c>
      <c r="T50" s="32"/>
      <c r="U50" s="32"/>
      <c r="V50" s="32">
        <f t="shared" si="20"/>
        <v>0</v>
      </c>
      <c r="W50" s="32"/>
      <c r="X50" s="32"/>
      <c r="Y50" s="32">
        <f t="shared" si="21"/>
        <v>0</v>
      </c>
      <c r="Z50" s="32"/>
      <c r="AA50" s="32"/>
      <c r="AB50" s="32">
        <f t="shared" si="22"/>
        <v>0</v>
      </c>
    </row>
    <row r="51" spans="1:187" s="29" customFormat="1" ht="41.25" customHeight="1" x14ac:dyDescent="0.25">
      <c r="A51" s="37" t="s">
        <v>62</v>
      </c>
      <c r="B51" s="32">
        <f t="shared" si="0"/>
        <v>2939</v>
      </c>
      <c r="C51" s="32">
        <f t="shared" si="0"/>
        <v>2939</v>
      </c>
      <c r="D51" s="32">
        <f t="shared" si="0"/>
        <v>0</v>
      </c>
      <c r="E51" s="32">
        <v>0</v>
      </c>
      <c r="F51" s="32">
        <v>0</v>
      </c>
      <c r="G51" s="32">
        <f t="shared" si="15"/>
        <v>0</v>
      </c>
      <c r="H51" s="32"/>
      <c r="I51" s="32"/>
      <c r="J51" s="32">
        <f t="shared" si="16"/>
        <v>0</v>
      </c>
      <c r="K51" s="32">
        <v>2939</v>
      </c>
      <c r="L51" s="32">
        <v>2939</v>
      </c>
      <c r="M51" s="32">
        <f t="shared" si="17"/>
        <v>0</v>
      </c>
      <c r="N51" s="32"/>
      <c r="O51" s="32"/>
      <c r="P51" s="32">
        <f t="shared" si="18"/>
        <v>0</v>
      </c>
      <c r="Q51" s="32"/>
      <c r="R51" s="32"/>
      <c r="S51" s="32">
        <f t="shared" si="19"/>
        <v>0</v>
      </c>
      <c r="T51" s="32"/>
      <c r="U51" s="32"/>
      <c r="V51" s="32">
        <f t="shared" si="20"/>
        <v>0</v>
      </c>
      <c r="W51" s="32"/>
      <c r="X51" s="32"/>
      <c r="Y51" s="32">
        <f t="shared" si="21"/>
        <v>0</v>
      </c>
      <c r="Z51" s="32"/>
      <c r="AA51" s="32"/>
      <c r="AB51" s="32">
        <f t="shared" si="22"/>
        <v>0</v>
      </c>
    </row>
    <row r="52" spans="1:187" s="29" customFormat="1" ht="47.25" x14ac:dyDescent="0.25">
      <c r="A52" s="31" t="s">
        <v>63</v>
      </c>
      <c r="B52" s="32">
        <f>E52+H52+K52+N52+Q52+T52+W52+Z52</f>
        <v>0</v>
      </c>
      <c r="C52" s="32">
        <f>F52+I52+L52+O52+R52+U52+X52+AA52</f>
        <v>12886</v>
      </c>
      <c r="D52" s="32">
        <f>G52+J52+M52+P52+S52+V52+Y52+AB52</f>
        <v>12886</v>
      </c>
      <c r="E52" s="32">
        <v>0</v>
      </c>
      <c r="F52" s="32">
        <v>0</v>
      </c>
      <c r="G52" s="32">
        <f>F52-E52</f>
        <v>0</v>
      </c>
      <c r="H52" s="32">
        <v>0</v>
      </c>
      <c r="I52" s="32">
        <v>0</v>
      </c>
      <c r="J52" s="32">
        <f>I52-H52</f>
        <v>0</v>
      </c>
      <c r="K52" s="32">
        <f t="shared" si="24"/>
        <v>0</v>
      </c>
      <c r="L52" s="32">
        <v>12886</v>
      </c>
      <c r="M52" s="32">
        <f>L52-K52</f>
        <v>12886</v>
      </c>
      <c r="N52" s="32"/>
      <c r="O52" s="32"/>
      <c r="P52" s="32">
        <f>O52-N52</f>
        <v>0</v>
      </c>
      <c r="Q52" s="32"/>
      <c r="R52" s="32"/>
      <c r="S52" s="32">
        <f>R52-Q52</f>
        <v>0</v>
      </c>
      <c r="T52" s="32"/>
      <c r="U52" s="32"/>
      <c r="V52" s="32">
        <f>U52-T52</f>
        <v>0</v>
      </c>
      <c r="W52" s="32"/>
      <c r="X52" s="32"/>
      <c r="Y52" s="32">
        <f>X52-W52</f>
        <v>0</v>
      </c>
      <c r="Z52" s="32"/>
      <c r="AA52" s="32"/>
      <c r="AB52" s="32">
        <f>AA52-Z52</f>
        <v>0</v>
      </c>
    </row>
    <row r="53" spans="1:187" s="29" customFormat="1" ht="31.5" x14ac:dyDescent="0.25">
      <c r="A53" s="31" t="s">
        <v>64</v>
      </c>
      <c r="B53" s="32">
        <f t="shared" si="0"/>
        <v>181656</v>
      </c>
      <c r="C53" s="32">
        <f t="shared" si="0"/>
        <v>181656</v>
      </c>
      <c r="D53" s="32">
        <f t="shared" si="0"/>
        <v>0</v>
      </c>
      <c r="E53" s="32">
        <v>0</v>
      </c>
      <c r="F53" s="32">
        <v>0</v>
      </c>
      <c r="G53" s="32">
        <f t="shared" si="15"/>
        <v>0</v>
      </c>
      <c r="H53" s="32"/>
      <c r="I53" s="32"/>
      <c r="J53" s="32">
        <f t="shared" si="16"/>
        <v>0</v>
      </c>
      <c r="K53" s="32">
        <v>0</v>
      </c>
      <c r="L53" s="32">
        <v>0</v>
      </c>
      <c r="M53" s="32">
        <f t="shared" si="17"/>
        <v>0</v>
      </c>
      <c r="N53" s="32"/>
      <c r="O53" s="32"/>
      <c r="P53" s="32">
        <f t="shared" si="18"/>
        <v>0</v>
      </c>
      <c r="Q53" s="32">
        <v>181656</v>
      </c>
      <c r="R53" s="32">
        <v>181656</v>
      </c>
      <c r="S53" s="32">
        <f t="shared" si="19"/>
        <v>0</v>
      </c>
      <c r="T53" s="32"/>
      <c r="U53" s="32"/>
      <c r="V53" s="32">
        <f t="shared" si="20"/>
        <v>0</v>
      </c>
      <c r="W53" s="32"/>
      <c r="X53" s="32"/>
      <c r="Y53" s="32">
        <f t="shared" si="21"/>
        <v>0</v>
      </c>
      <c r="Z53" s="32"/>
      <c r="AA53" s="32"/>
      <c r="AB53" s="32">
        <f t="shared" si="22"/>
        <v>0</v>
      </c>
    </row>
    <row r="54" spans="1:187" s="29" customFormat="1" ht="78.75" x14ac:dyDescent="0.25">
      <c r="A54" s="37" t="s">
        <v>65</v>
      </c>
      <c r="B54" s="32">
        <f t="shared" si="0"/>
        <v>557560</v>
      </c>
      <c r="C54" s="32">
        <f t="shared" si="0"/>
        <v>557560</v>
      </c>
      <c r="D54" s="32">
        <f t="shared" si="0"/>
        <v>0</v>
      </c>
      <c r="E54" s="32">
        <v>0</v>
      </c>
      <c r="F54" s="32">
        <v>0</v>
      </c>
      <c r="G54" s="32">
        <f t="shared" si="15"/>
        <v>0</v>
      </c>
      <c r="H54" s="32"/>
      <c r="I54" s="32"/>
      <c r="J54" s="32">
        <f t="shared" si="16"/>
        <v>0</v>
      </c>
      <c r="K54" s="32">
        <v>0</v>
      </c>
      <c r="L54" s="32">
        <v>0</v>
      </c>
      <c r="M54" s="32">
        <f t="shared" si="17"/>
        <v>0</v>
      </c>
      <c r="N54" s="32">
        <v>557560</v>
      </c>
      <c r="O54" s="32">
        <v>557560</v>
      </c>
      <c r="P54" s="32">
        <f t="shared" si="18"/>
        <v>0</v>
      </c>
      <c r="Q54" s="32"/>
      <c r="R54" s="32"/>
      <c r="S54" s="32">
        <f t="shared" si="19"/>
        <v>0</v>
      </c>
      <c r="T54" s="32"/>
      <c r="U54" s="32"/>
      <c r="V54" s="32">
        <f t="shared" si="20"/>
        <v>0</v>
      </c>
      <c r="W54" s="32"/>
      <c r="X54" s="32"/>
      <c r="Y54" s="32">
        <f t="shared" si="21"/>
        <v>0</v>
      </c>
      <c r="Z54" s="32"/>
      <c r="AA54" s="32"/>
      <c r="AB54" s="32">
        <f t="shared" si="22"/>
        <v>0</v>
      </c>
    </row>
    <row r="55" spans="1:187" s="29" customFormat="1" ht="31.5" x14ac:dyDescent="0.25">
      <c r="A55" s="27" t="s">
        <v>66</v>
      </c>
      <c r="B55" s="28">
        <f t="shared" si="0"/>
        <v>16650149</v>
      </c>
      <c r="C55" s="28">
        <f t="shared" si="0"/>
        <v>16650149</v>
      </c>
      <c r="D55" s="28">
        <f t="shared" si="0"/>
        <v>0</v>
      </c>
      <c r="E55" s="28">
        <f t="shared" ref="E55:AA55" si="61">SUM(E56)</f>
        <v>622420</v>
      </c>
      <c r="F55" s="28">
        <f t="shared" si="61"/>
        <v>622420</v>
      </c>
      <c r="G55" s="28">
        <f t="shared" si="15"/>
        <v>0</v>
      </c>
      <c r="H55" s="28">
        <f t="shared" si="61"/>
        <v>948355</v>
      </c>
      <c r="I55" s="28">
        <f t="shared" si="61"/>
        <v>948355</v>
      </c>
      <c r="J55" s="28">
        <f t="shared" si="16"/>
        <v>0</v>
      </c>
      <c r="K55" s="28">
        <f t="shared" si="61"/>
        <v>5152388</v>
      </c>
      <c r="L55" s="28">
        <f t="shared" si="61"/>
        <v>5152388</v>
      </c>
      <c r="M55" s="28">
        <f t="shared" si="17"/>
        <v>0</v>
      </c>
      <c r="N55" s="28">
        <f t="shared" si="61"/>
        <v>7754338</v>
      </c>
      <c r="O55" s="28">
        <f t="shared" si="61"/>
        <v>7754338</v>
      </c>
      <c r="P55" s="28">
        <f t="shared" si="18"/>
        <v>0</v>
      </c>
      <c r="Q55" s="28">
        <f t="shared" si="61"/>
        <v>0</v>
      </c>
      <c r="R55" s="28">
        <f t="shared" si="61"/>
        <v>0</v>
      </c>
      <c r="S55" s="28">
        <f t="shared" si="19"/>
        <v>0</v>
      </c>
      <c r="T55" s="28">
        <f t="shared" si="61"/>
        <v>2172648</v>
      </c>
      <c r="U55" s="28">
        <f t="shared" si="61"/>
        <v>2172648</v>
      </c>
      <c r="V55" s="28">
        <f t="shared" si="20"/>
        <v>0</v>
      </c>
      <c r="W55" s="28">
        <f t="shared" si="61"/>
        <v>0</v>
      </c>
      <c r="X55" s="28">
        <f t="shared" si="61"/>
        <v>0</v>
      </c>
      <c r="Y55" s="28">
        <f t="shared" si="21"/>
        <v>0</v>
      </c>
      <c r="Z55" s="28">
        <f t="shared" si="61"/>
        <v>0</v>
      </c>
      <c r="AA55" s="28">
        <f t="shared" si="61"/>
        <v>0</v>
      </c>
      <c r="AB55" s="28">
        <f t="shared" si="22"/>
        <v>0</v>
      </c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</row>
    <row r="56" spans="1:187" s="29" customFormat="1" x14ac:dyDescent="0.25">
      <c r="A56" s="27" t="s">
        <v>27</v>
      </c>
      <c r="B56" s="28">
        <f t="shared" si="0"/>
        <v>16650149</v>
      </c>
      <c r="C56" s="28">
        <f t="shared" si="0"/>
        <v>16650149</v>
      </c>
      <c r="D56" s="28">
        <f t="shared" si="0"/>
        <v>0</v>
      </c>
      <c r="E56" s="28">
        <f>SUM(E57:E67)</f>
        <v>622420</v>
      </c>
      <c r="F56" s="28">
        <f>SUM(F57:F67)</f>
        <v>622420</v>
      </c>
      <c r="G56" s="28">
        <f t="shared" si="15"/>
        <v>0</v>
      </c>
      <c r="H56" s="28">
        <f>SUM(H57:H67)</f>
        <v>948355</v>
      </c>
      <c r="I56" s="28">
        <f>SUM(I57:I67)</f>
        <v>948355</v>
      </c>
      <c r="J56" s="28">
        <f t="shared" si="16"/>
        <v>0</v>
      </c>
      <c r="K56" s="28">
        <f>SUM(K57:K67)</f>
        <v>5152388</v>
      </c>
      <c r="L56" s="28">
        <f>SUM(L57:L67)</f>
        <v>5152388</v>
      </c>
      <c r="M56" s="28">
        <f t="shared" si="17"/>
        <v>0</v>
      </c>
      <c r="N56" s="28">
        <f>SUM(N57:N67)</f>
        <v>7754338</v>
      </c>
      <c r="O56" s="28">
        <f>SUM(O57:O67)</f>
        <v>7754338</v>
      </c>
      <c r="P56" s="28">
        <f t="shared" si="18"/>
        <v>0</v>
      </c>
      <c r="Q56" s="28">
        <f>SUM(Q57:Q67)</f>
        <v>0</v>
      </c>
      <c r="R56" s="28">
        <f>SUM(R57:R67)</f>
        <v>0</v>
      </c>
      <c r="S56" s="28">
        <f t="shared" si="19"/>
        <v>0</v>
      </c>
      <c r="T56" s="28">
        <f>SUM(T57:T67)</f>
        <v>2172648</v>
      </c>
      <c r="U56" s="28">
        <f>SUM(U57:U67)</f>
        <v>2172648</v>
      </c>
      <c r="V56" s="28">
        <f t="shared" si="20"/>
        <v>0</v>
      </c>
      <c r="W56" s="28">
        <f>SUM(W57:W67)</f>
        <v>0</v>
      </c>
      <c r="X56" s="28">
        <f>SUM(X57:X67)</f>
        <v>0</v>
      </c>
      <c r="Y56" s="28">
        <f t="shared" si="21"/>
        <v>0</v>
      </c>
      <c r="Z56" s="28">
        <f>SUM(Z57:Z67)</f>
        <v>0</v>
      </c>
      <c r="AA56" s="28">
        <f>SUM(AA57:AA67)</f>
        <v>0</v>
      </c>
      <c r="AB56" s="28">
        <f t="shared" si="22"/>
        <v>0</v>
      </c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</row>
    <row r="57" spans="1:187" s="29" customFormat="1" ht="31.5" x14ac:dyDescent="0.25">
      <c r="A57" s="36" t="s">
        <v>67</v>
      </c>
      <c r="B57" s="35">
        <f t="shared" si="0"/>
        <v>46230</v>
      </c>
      <c r="C57" s="35">
        <f t="shared" si="0"/>
        <v>46230</v>
      </c>
      <c r="D57" s="35">
        <f t="shared" si="0"/>
        <v>0</v>
      </c>
      <c r="E57" s="35">
        <v>0</v>
      </c>
      <c r="F57" s="35">
        <v>0</v>
      </c>
      <c r="G57" s="35">
        <f t="shared" si="15"/>
        <v>0</v>
      </c>
      <c r="H57" s="35">
        <v>0</v>
      </c>
      <c r="I57" s="35">
        <v>0</v>
      </c>
      <c r="J57" s="35">
        <f t="shared" si="16"/>
        <v>0</v>
      </c>
      <c r="K57" s="35">
        <f>41100+5130</f>
        <v>46230</v>
      </c>
      <c r="L57" s="35">
        <f>41100+5130</f>
        <v>46230</v>
      </c>
      <c r="M57" s="35">
        <f t="shared" si="17"/>
        <v>0</v>
      </c>
      <c r="N57" s="35">
        <v>0</v>
      </c>
      <c r="O57" s="35">
        <v>0</v>
      </c>
      <c r="P57" s="35">
        <f t="shared" si="18"/>
        <v>0</v>
      </c>
      <c r="Q57" s="35">
        <v>0</v>
      </c>
      <c r="R57" s="35">
        <v>0</v>
      </c>
      <c r="S57" s="35">
        <f t="shared" si="19"/>
        <v>0</v>
      </c>
      <c r="T57" s="35">
        <v>0</v>
      </c>
      <c r="U57" s="35">
        <v>0</v>
      </c>
      <c r="V57" s="35">
        <f t="shared" si="20"/>
        <v>0</v>
      </c>
      <c r="W57" s="35">
        <v>0</v>
      </c>
      <c r="X57" s="35">
        <v>0</v>
      </c>
      <c r="Y57" s="35">
        <f t="shared" si="21"/>
        <v>0</v>
      </c>
      <c r="Z57" s="35"/>
      <c r="AA57" s="35"/>
      <c r="AB57" s="35">
        <f t="shared" si="22"/>
        <v>0</v>
      </c>
    </row>
    <row r="58" spans="1:187" s="29" customFormat="1" ht="47.25" x14ac:dyDescent="0.25">
      <c r="A58" s="36" t="s">
        <v>68</v>
      </c>
      <c r="B58" s="35">
        <f t="shared" si="0"/>
        <v>292420</v>
      </c>
      <c r="C58" s="35">
        <f t="shared" si="0"/>
        <v>292420</v>
      </c>
      <c r="D58" s="35">
        <f t="shared" si="0"/>
        <v>0</v>
      </c>
      <c r="E58" s="35">
        <v>292420</v>
      </c>
      <c r="F58" s="35">
        <v>292420</v>
      </c>
      <c r="G58" s="35">
        <f t="shared" si="15"/>
        <v>0</v>
      </c>
      <c r="H58" s="35">
        <v>0</v>
      </c>
      <c r="I58" s="35">
        <v>0</v>
      </c>
      <c r="J58" s="35">
        <f t="shared" si="16"/>
        <v>0</v>
      </c>
      <c r="K58" s="35"/>
      <c r="L58" s="35"/>
      <c r="M58" s="35">
        <f t="shared" si="17"/>
        <v>0</v>
      </c>
      <c r="N58" s="35">
        <v>0</v>
      </c>
      <c r="O58" s="35">
        <v>0</v>
      </c>
      <c r="P58" s="35">
        <f t="shared" si="18"/>
        <v>0</v>
      </c>
      <c r="Q58" s="35">
        <v>0</v>
      </c>
      <c r="R58" s="35">
        <v>0</v>
      </c>
      <c r="S58" s="35">
        <f t="shared" si="19"/>
        <v>0</v>
      </c>
      <c r="T58" s="35">
        <v>0</v>
      </c>
      <c r="U58" s="35">
        <v>0</v>
      </c>
      <c r="V58" s="35">
        <f t="shared" si="20"/>
        <v>0</v>
      </c>
      <c r="W58" s="35">
        <v>0</v>
      </c>
      <c r="X58" s="35">
        <v>0</v>
      </c>
      <c r="Y58" s="35">
        <f t="shared" si="21"/>
        <v>0</v>
      </c>
      <c r="Z58" s="35"/>
      <c r="AA58" s="35"/>
      <c r="AB58" s="35">
        <f t="shared" si="22"/>
        <v>0</v>
      </c>
    </row>
    <row r="59" spans="1:187" s="29" customFormat="1" ht="126" x14ac:dyDescent="0.25">
      <c r="A59" s="37" t="s">
        <v>69</v>
      </c>
      <c r="B59" s="35">
        <f t="shared" si="0"/>
        <v>805296</v>
      </c>
      <c r="C59" s="35">
        <f t="shared" si="0"/>
        <v>805296</v>
      </c>
      <c r="D59" s="35">
        <f t="shared" si="0"/>
        <v>0</v>
      </c>
      <c r="E59" s="35">
        <v>0</v>
      </c>
      <c r="F59" s="35">
        <v>0</v>
      </c>
      <c r="G59" s="35">
        <f t="shared" si="15"/>
        <v>0</v>
      </c>
      <c r="H59" s="35"/>
      <c r="I59" s="35"/>
      <c r="J59" s="35">
        <f t="shared" si="16"/>
        <v>0</v>
      </c>
      <c r="K59" s="35">
        <v>0</v>
      </c>
      <c r="L59" s="35">
        <v>0</v>
      </c>
      <c r="M59" s="35">
        <f t="shared" si="17"/>
        <v>0</v>
      </c>
      <c r="N59" s="35">
        <v>805296</v>
      </c>
      <c r="O59" s="35">
        <v>805296</v>
      </c>
      <c r="P59" s="35">
        <f t="shared" si="18"/>
        <v>0</v>
      </c>
      <c r="Q59" s="35"/>
      <c r="R59" s="35"/>
      <c r="S59" s="35">
        <f t="shared" si="19"/>
        <v>0</v>
      </c>
      <c r="T59" s="35"/>
      <c r="U59" s="35"/>
      <c r="V59" s="35">
        <f t="shared" si="20"/>
        <v>0</v>
      </c>
      <c r="W59" s="35"/>
      <c r="X59" s="35"/>
      <c r="Y59" s="35">
        <f t="shared" si="21"/>
        <v>0</v>
      </c>
      <c r="Z59" s="35"/>
      <c r="AA59" s="35"/>
      <c r="AB59" s="35">
        <f t="shared" si="22"/>
        <v>0</v>
      </c>
    </row>
    <row r="60" spans="1:187" s="29" customFormat="1" x14ac:dyDescent="0.25">
      <c r="A60" s="36" t="s">
        <v>70</v>
      </c>
      <c r="B60" s="35">
        <f t="shared" si="0"/>
        <v>130942</v>
      </c>
      <c r="C60" s="35">
        <f t="shared" si="0"/>
        <v>130942</v>
      </c>
      <c r="D60" s="35">
        <f t="shared" si="0"/>
        <v>0</v>
      </c>
      <c r="E60" s="35">
        <f>130942-130942</f>
        <v>0</v>
      </c>
      <c r="F60" s="35">
        <f>130942-130942</f>
        <v>0</v>
      </c>
      <c r="G60" s="35">
        <f t="shared" si="15"/>
        <v>0</v>
      </c>
      <c r="H60" s="35"/>
      <c r="I60" s="35"/>
      <c r="J60" s="35">
        <f t="shared" si="16"/>
        <v>0</v>
      </c>
      <c r="K60" s="35">
        <v>0</v>
      </c>
      <c r="L60" s="35">
        <v>0</v>
      </c>
      <c r="M60" s="35">
        <f t="shared" si="17"/>
        <v>0</v>
      </c>
      <c r="N60" s="35"/>
      <c r="O60" s="35"/>
      <c r="P60" s="35">
        <f t="shared" si="18"/>
        <v>0</v>
      </c>
      <c r="Q60" s="35"/>
      <c r="R60" s="35"/>
      <c r="S60" s="35">
        <f t="shared" si="19"/>
        <v>0</v>
      </c>
      <c r="T60" s="35">
        <f>130942</f>
        <v>130942</v>
      </c>
      <c r="U60" s="35">
        <f>130942</f>
        <v>130942</v>
      </c>
      <c r="V60" s="35">
        <f t="shared" si="20"/>
        <v>0</v>
      </c>
      <c r="W60" s="35"/>
      <c r="X60" s="35"/>
      <c r="Y60" s="35">
        <f t="shared" si="21"/>
        <v>0</v>
      </c>
      <c r="Z60" s="35"/>
      <c r="AA60" s="35"/>
      <c r="AB60" s="35">
        <f t="shared" si="22"/>
        <v>0</v>
      </c>
    </row>
    <row r="61" spans="1:187" s="29" customFormat="1" ht="63" x14ac:dyDescent="0.25">
      <c r="A61" s="31" t="s">
        <v>71</v>
      </c>
      <c r="B61" s="35">
        <f t="shared" si="0"/>
        <v>2936444</v>
      </c>
      <c r="C61" s="35">
        <f t="shared" si="0"/>
        <v>2936444</v>
      </c>
      <c r="D61" s="35">
        <f t="shared" si="0"/>
        <v>0</v>
      </c>
      <c r="E61" s="35">
        <v>0</v>
      </c>
      <c r="F61" s="35">
        <v>0</v>
      </c>
      <c r="G61" s="35">
        <f t="shared" si="15"/>
        <v>0</v>
      </c>
      <c r="H61" s="35"/>
      <c r="I61" s="35"/>
      <c r="J61" s="35">
        <f t="shared" si="16"/>
        <v>0</v>
      </c>
      <c r="K61" s="35">
        <v>2936444</v>
      </c>
      <c r="L61" s="35">
        <v>2936444</v>
      </c>
      <c r="M61" s="35">
        <f t="shared" si="17"/>
        <v>0</v>
      </c>
      <c r="N61" s="35"/>
      <c r="O61" s="35"/>
      <c r="P61" s="35">
        <f t="shared" si="18"/>
        <v>0</v>
      </c>
      <c r="Q61" s="35"/>
      <c r="R61" s="35"/>
      <c r="S61" s="35">
        <f t="shared" si="19"/>
        <v>0</v>
      </c>
      <c r="T61" s="35">
        <f>2534-2534</f>
        <v>0</v>
      </c>
      <c r="U61" s="35">
        <f>2534-2534</f>
        <v>0</v>
      </c>
      <c r="V61" s="35">
        <f t="shared" si="20"/>
        <v>0</v>
      </c>
      <c r="W61" s="35"/>
      <c r="X61" s="35"/>
      <c r="Y61" s="35">
        <f t="shared" si="21"/>
        <v>0</v>
      </c>
      <c r="Z61" s="35"/>
      <c r="AA61" s="35"/>
      <c r="AB61" s="35">
        <f t="shared" si="22"/>
        <v>0</v>
      </c>
    </row>
    <row r="62" spans="1:187" s="29" customFormat="1" ht="31.5" x14ac:dyDescent="0.25">
      <c r="A62" s="31" t="s">
        <v>72</v>
      </c>
      <c r="B62" s="35">
        <f t="shared" si="0"/>
        <v>2169714</v>
      </c>
      <c r="C62" s="35">
        <f t="shared" si="0"/>
        <v>2169714</v>
      </c>
      <c r="D62" s="35">
        <f t="shared" si="0"/>
        <v>0</v>
      </c>
      <c r="E62" s="35">
        <v>0</v>
      </c>
      <c r="F62" s="35">
        <v>0</v>
      </c>
      <c r="G62" s="35">
        <f t="shared" si="15"/>
        <v>0</v>
      </c>
      <c r="H62" s="35"/>
      <c r="I62" s="35"/>
      <c r="J62" s="35">
        <f t="shared" si="16"/>
        <v>0</v>
      </c>
      <c r="K62" s="35">
        <v>2169714</v>
      </c>
      <c r="L62" s="35">
        <v>2169714</v>
      </c>
      <c r="M62" s="35">
        <f t="shared" si="17"/>
        <v>0</v>
      </c>
      <c r="N62" s="35"/>
      <c r="O62" s="35"/>
      <c r="P62" s="35">
        <f t="shared" si="18"/>
        <v>0</v>
      </c>
      <c r="Q62" s="35"/>
      <c r="R62" s="35"/>
      <c r="S62" s="35">
        <f t="shared" si="19"/>
        <v>0</v>
      </c>
      <c r="T62" s="35">
        <v>0</v>
      </c>
      <c r="U62" s="35">
        <v>0</v>
      </c>
      <c r="V62" s="35">
        <f t="shared" si="20"/>
        <v>0</v>
      </c>
      <c r="W62" s="35"/>
      <c r="X62" s="35"/>
      <c r="Y62" s="35">
        <f t="shared" si="21"/>
        <v>0</v>
      </c>
      <c r="Z62" s="35"/>
      <c r="AA62" s="35"/>
      <c r="AB62" s="35">
        <f t="shared" si="22"/>
        <v>0</v>
      </c>
    </row>
    <row r="63" spans="1:187" s="29" customFormat="1" ht="157.5" x14ac:dyDescent="0.25">
      <c r="A63" s="31" t="s">
        <v>73</v>
      </c>
      <c r="B63" s="35">
        <f t="shared" si="0"/>
        <v>6949042</v>
      </c>
      <c r="C63" s="35">
        <f t="shared" si="0"/>
        <v>6949042</v>
      </c>
      <c r="D63" s="35">
        <f t="shared" si="0"/>
        <v>0</v>
      </c>
      <c r="E63" s="35">
        <v>0</v>
      </c>
      <c r="F63" s="35">
        <v>0</v>
      </c>
      <c r="G63" s="35">
        <f t="shared" si="15"/>
        <v>0</v>
      </c>
      <c r="H63" s="35"/>
      <c r="I63" s="35"/>
      <c r="J63" s="35">
        <f t="shared" si="16"/>
        <v>0</v>
      </c>
      <c r="K63" s="35">
        <v>0</v>
      </c>
      <c r="L63" s="35">
        <v>0</v>
      </c>
      <c r="M63" s="35">
        <f t="shared" si="17"/>
        <v>0</v>
      </c>
      <c r="N63" s="35">
        <v>6949042</v>
      </c>
      <c r="O63" s="35">
        <v>6949042</v>
      </c>
      <c r="P63" s="35">
        <f t="shared" si="18"/>
        <v>0</v>
      </c>
      <c r="Q63" s="35"/>
      <c r="R63" s="35"/>
      <c r="S63" s="35">
        <f t="shared" si="19"/>
        <v>0</v>
      </c>
      <c r="T63" s="35">
        <v>0</v>
      </c>
      <c r="U63" s="35">
        <v>0</v>
      </c>
      <c r="V63" s="35">
        <f t="shared" si="20"/>
        <v>0</v>
      </c>
      <c r="W63" s="35"/>
      <c r="X63" s="35"/>
      <c r="Y63" s="35">
        <f t="shared" si="21"/>
        <v>0</v>
      </c>
      <c r="Z63" s="35"/>
      <c r="AA63" s="35"/>
      <c r="AB63" s="35">
        <f t="shared" si="22"/>
        <v>0</v>
      </c>
    </row>
    <row r="64" spans="1:187" s="29" customFormat="1" ht="31.5" x14ac:dyDescent="0.25">
      <c r="A64" s="34" t="s">
        <v>74</v>
      </c>
      <c r="B64" s="35">
        <f t="shared" si="0"/>
        <v>50000</v>
      </c>
      <c r="C64" s="35">
        <f t="shared" si="0"/>
        <v>50000</v>
      </c>
      <c r="D64" s="35">
        <f t="shared" si="0"/>
        <v>0</v>
      </c>
      <c r="E64" s="35">
        <f>18700-18700</f>
        <v>0</v>
      </c>
      <c r="F64" s="35">
        <f>18700-18700</f>
        <v>0</v>
      </c>
      <c r="G64" s="35">
        <f t="shared" si="15"/>
        <v>0</v>
      </c>
      <c r="H64" s="35"/>
      <c r="I64" s="35"/>
      <c r="J64" s="35">
        <f t="shared" si="16"/>
        <v>0</v>
      </c>
      <c r="K64" s="35">
        <v>0</v>
      </c>
      <c r="L64" s="35">
        <v>0</v>
      </c>
      <c r="M64" s="35">
        <f t="shared" si="17"/>
        <v>0</v>
      </c>
      <c r="N64" s="35"/>
      <c r="O64" s="35"/>
      <c r="P64" s="35">
        <f t="shared" si="18"/>
        <v>0</v>
      </c>
      <c r="Q64" s="35"/>
      <c r="R64" s="35"/>
      <c r="S64" s="35">
        <f t="shared" si="19"/>
        <v>0</v>
      </c>
      <c r="T64" s="35">
        <f>31300+18700</f>
        <v>50000</v>
      </c>
      <c r="U64" s="35">
        <f>31300+18700</f>
        <v>50000</v>
      </c>
      <c r="V64" s="35">
        <f t="shared" si="20"/>
        <v>0</v>
      </c>
      <c r="W64" s="35"/>
      <c r="X64" s="35"/>
      <c r="Y64" s="35">
        <f t="shared" si="21"/>
        <v>0</v>
      </c>
      <c r="Z64" s="35"/>
      <c r="AA64" s="35"/>
      <c r="AB64" s="35">
        <f t="shared" si="22"/>
        <v>0</v>
      </c>
    </row>
    <row r="65" spans="1:187" s="29" customFormat="1" ht="31.5" x14ac:dyDescent="0.25">
      <c r="A65" s="36" t="s">
        <v>75</v>
      </c>
      <c r="B65" s="35">
        <f t="shared" si="0"/>
        <v>330000</v>
      </c>
      <c r="C65" s="35">
        <f t="shared" si="0"/>
        <v>330000</v>
      </c>
      <c r="D65" s="35">
        <f t="shared" si="0"/>
        <v>0</v>
      </c>
      <c r="E65" s="35">
        <v>330000</v>
      </c>
      <c r="F65" s="35">
        <v>330000</v>
      </c>
      <c r="G65" s="35">
        <f t="shared" si="15"/>
        <v>0</v>
      </c>
      <c r="H65" s="35">
        <v>0</v>
      </c>
      <c r="I65" s="35">
        <v>0</v>
      </c>
      <c r="J65" s="35">
        <f t="shared" si="16"/>
        <v>0</v>
      </c>
      <c r="K65" s="35"/>
      <c r="L65" s="35"/>
      <c r="M65" s="35">
        <f t="shared" si="17"/>
        <v>0</v>
      </c>
      <c r="N65" s="35">
        <v>0</v>
      </c>
      <c r="O65" s="35">
        <v>0</v>
      </c>
      <c r="P65" s="35">
        <f t="shared" si="18"/>
        <v>0</v>
      </c>
      <c r="Q65" s="35"/>
      <c r="R65" s="35"/>
      <c r="S65" s="35">
        <f t="shared" si="19"/>
        <v>0</v>
      </c>
      <c r="T65" s="35">
        <v>0</v>
      </c>
      <c r="U65" s="35">
        <v>0</v>
      </c>
      <c r="V65" s="35">
        <f t="shared" si="20"/>
        <v>0</v>
      </c>
      <c r="W65" s="35">
        <v>0</v>
      </c>
      <c r="X65" s="35">
        <v>0</v>
      </c>
      <c r="Y65" s="35">
        <f t="shared" si="21"/>
        <v>0</v>
      </c>
      <c r="Z65" s="35"/>
      <c r="AA65" s="35"/>
      <c r="AB65" s="35">
        <f t="shared" si="22"/>
        <v>0</v>
      </c>
    </row>
    <row r="66" spans="1:187" s="29" customFormat="1" ht="47.25" x14ac:dyDescent="0.25">
      <c r="A66" s="34" t="s">
        <v>76</v>
      </c>
      <c r="B66" s="35">
        <f t="shared" si="0"/>
        <v>2755061</v>
      </c>
      <c r="C66" s="35">
        <f t="shared" si="0"/>
        <v>2755061</v>
      </c>
      <c r="D66" s="35">
        <f t="shared" si="0"/>
        <v>0</v>
      </c>
      <c r="E66" s="35">
        <v>0</v>
      </c>
      <c r="F66" s="35">
        <v>0</v>
      </c>
      <c r="G66" s="35">
        <f t="shared" si="15"/>
        <v>0</v>
      </c>
      <c r="H66" s="35">
        <f>698588+44818+19949</f>
        <v>763355</v>
      </c>
      <c r="I66" s="35">
        <f>698588+44818+19949</f>
        <v>763355</v>
      </c>
      <c r="J66" s="35">
        <f t="shared" si="16"/>
        <v>0</v>
      </c>
      <c r="K66" s="35">
        <f>763355-698588-44818-19949</f>
        <v>0</v>
      </c>
      <c r="L66" s="35">
        <f>763355-698588-44818-19949</f>
        <v>0</v>
      </c>
      <c r="M66" s="35">
        <f t="shared" si="17"/>
        <v>0</v>
      </c>
      <c r="N66" s="35"/>
      <c r="O66" s="35"/>
      <c r="P66" s="35">
        <f t="shared" si="18"/>
        <v>0</v>
      </c>
      <c r="Q66" s="35"/>
      <c r="R66" s="35"/>
      <c r="S66" s="35">
        <f t="shared" si="19"/>
        <v>0</v>
      </c>
      <c r="T66" s="35">
        <v>1991706</v>
      </c>
      <c r="U66" s="35">
        <v>1991706</v>
      </c>
      <c r="V66" s="35">
        <f t="shared" si="20"/>
        <v>0</v>
      </c>
      <c r="W66" s="35"/>
      <c r="X66" s="35"/>
      <c r="Y66" s="35">
        <f t="shared" si="21"/>
        <v>0</v>
      </c>
      <c r="Z66" s="35"/>
      <c r="AA66" s="35"/>
      <c r="AB66" s="35">
        <f t="shared" si="22"/>
        <v>0</v>
      </c>
    </row>
    <row r="67" spans="1:187" s="29" customFormat="1" ht="31.5" x14ac:dyDescent="0.25">
      <c r="A67" s="36" t="s">
        <v>77</v>
      </c>
      <c r="B67" s="35">
        <f t="shared" si="0"/>
        <v>185000</v>
      </c>
      <c r="C67" s="35">
        <f t="shared" si="0"/>
        <v>185000</v>
      </c>
      <c r="D67" s="35">
        <f t="shared" si="0"/>
        <v>0</v>
      </c>
      <c r="E67" s="35">
        <f>185000-185000</f>
        <v>0</v>
      </c>
      <c r="F67" s="35">
        <f>185000-185000</f>
        <v>0</v>
      </c>
      <c r="G67" s="35">
        <f t="shared" si="15"/>
        <v>0</v>
      </c>
      <c r="H67" s="35">
        <v>185000</v>
      </c>
      <c r="I67" s="35">
        <v>185000</v>
      </c>
      <c r="J67" s="35">
        <f t="shared" si="16"/>
        <v>0</v>
      </c>
      <c r="K67" s="35">
        <f>185000-185000</f>
        <v>0</v>
      </c>
      <c r="L67" s="35">
        <f>185000-185000</f>
        <v>0</v>
      </c>
      <c r="M67" s="35">
        <f t="shared" si="17"/>
        <v>0</v>
      </c>
      <c r="N67" s="35">
        <v>0</v>
      </c>
      <c r="O67" s="35">
        <v>0</v>
      </c>
      <c r="P67" s="35">
        <f t="shared" si="18"/>
        <v>0</v>
      </c>
      <c r="Q67" s="35"/>
      <c r="R67" s="35"/>
      <c r="S67" s="35">
        <f t="shared" si="19"/>
        <v>0</v>
      </c>
      <c r="T67" s="35">
        <v>0</v>
      </c>
      <c r="U67" s="35">
        <v>0</v>
      </c>
      <c r="V67" s="35">
        <f t="shared" si="20"/>
        <v>0</v>
      </c>
      <c r="W67" s="35">
        <v>0</v>
      </c>
      <c r="X67" s="35">
        <v>0</v>
      </c>
      <c r="Y67" s="35">
        <f t="shared" si="21"/>
        <v>0</v>
      </c>
      <c r="Z67" s="35"/>
      <c r="AA67" s="35"/>
      <c r="AB67" s="35">
        <f t="shared" si="22"/>
        <v>0</v>
      </c>
    </row>
    <row r="68" spans="1:187" s="26" customFormat="1" ht="31.5" x14ac:dyDescent="0.25">
      <c r="A68" s="27" t="s">
        <v>78</v>
      </c>
      <c r="B68" s="28">
        <f t="shared" si="0"/>
        <v>2988025</v>
      </c>
      <c r="C68" s="28">
        <f t="shared" si="0"/>
        <v>3040025</v>
      </c>
      <c r="D68" s="28">
        <f t="shared" si="0"/>
        <v>52000</v>
      </c>
      <c r="E68" s="28">
        <f t="shared" ref="E68:AA68" si="62">SUM(E69)</f>
        <v>214000</v>
      </c>
      <c r="F68" s="28">
        <f t="shared" si="62"/>
        <v>214000</v>
      </c>
      <c r="G68" s="28">
        <f t="shared" si="15"/>
        <v>0</v>
      </c>
      <c r="H68" s="28">
        <f t="shared" si="62"/>
        <v>13080</v>
      </c>
      <c r="I68" s="28">
        <f t="shared" si="62"/>
        <v>13080</v>
      </c>
      <c r="J68" s="28">
        <f t="shared" si="16"/>
        <v>0</v>
      </c>
      <c r="K68" s="28">
        <f t="shared" si="62"/>
        <v>7000</v>
      </c>
      <c r="L68" s="28">
        <f t="shared" si="62"/>
        <v>59000</v>
      </c>
      <c r="M68" s="28">
        <f t="shared" si="17"/>
        <v>52000</v>
      </c>
      <c r="N68" s="28">
        <f t="shared" si="62"/>
        <v>2657945</v>
      </c>
      <c r="O68" s="28">
        <f t="shared" si="62"/>
        <v>2657945</v>
      </c>
      <c r="P68" s="28">
        <f t="shared" si="18"/>
        <v>0</v>
      </c>
      <c r="Q68" s="28">
        <f t="shared" si="62"/>
        <v>96000</v>
      </c>
      <c r="R68" s="28">
        <f t="shared" si="62"/>
        <v>96000</v>
      </c>
      <c r="S68" s="28">
        <f t="shared" si="19"/>
        <v>0</v>
      </c>
      <c r="T68" s="28">
        <f t="shared" si="62"/>
        <v>0</v>
      </c>
      <c r="U68" s="28">
        <f t="shared" si="62"/>
        <v>0</v>
      </c>
      <c r="V68" s="28">
        <f t="shared" si="20"/>
        <v>0</v>
      </c>
      <c r="W68" s="28">
        <f t="shared" si="62"/>
        <v>0</v>
      </c>
      <c r="X68" s="28">
        <f t="shared" si="62"/>
        <v>0</v>
      </c>
      <c r="Y68" s="28">
        <f t="shared" si="21"/>
        <v>0</v>
      </c>
      <c r="Z68" s="28">
        <f t="shared" si="62"/>
        <v>0</v>
      </c>
      <c r="AA68" s="28">
        <f t="shared" si="62"/>
        <v>0</v>
      </c>
      <c r="AB68" s="28">
        <f t="shared" si="22"/>
        <v>0</v>
      </c>
    </row>
    <row r="69" spans="1:187" s="29" customFormat="1" x14ac:dyDescent="0.25">
      <c r="A69" s="27" t="s">
        <v>27</v>
      </c>
      <c r="B69" s="28">
        <f t="shared" si="0"/>
        <v>2988025</v>
      </c>
      <c r="C69" s="28">
        <f t="shared" si="0"/>
        <v>3040025</v>
      </c>
      <c r="D69" s="28">
        <f t="shared" si="0"/>
        <v>52000</v>
      </c>
      <c r="E69" s="28">
        <f>SUM(E70:E78)</f>
        <v>214000</v>
      </c>
      <c r="F69" s="28">
        <f>SUM(F70:F78)</f>
        <v>214000</v>
      </c>
      <c r="G69" s="28">
        <f t="shared" si="15"/>
        <v>0</v>
      </c>
      <c r="H69" s="28">
        <f>SUM(H70:H78)</f>
        <v>13080</v>
      </c>
      <c r="I69" s="28">
        <f>SUM(I70:I78)</f>
        <v>13080</v>
      </c>
      <c r="J69" s="28">
        <f t="shared" si="16"/>
        <v>0</v>
      </c>
      <c r="K69" s="28">
        <f>SUM(K70:K78)</f>
        <v>7000</v>
      </c>
      <c r="L69" s="28">
        <f>SUM(L70:L78)</f>
        <v>59000</v>
      </c>
      <c r="M69" s="28">
        <f t="shared" si="17"/>
        <v>52000</v>
      </c>
      <c r="N69" s="28">
        <f>SUM(N70:N78)</f>
        <v>2657945</v>
      </c>
      <c r="O69" s="28">
        <f>SUM(O70:O78)</f>
        <v>2657945</v>
      </c>
      <c r="P69" s="28">
        <f t="shared" si="18"/>
        <v>0</v>
      </c>
      <c r="Q69" s="28">
        <f>SUM(Q70:Q78)</f>
        <v>96000</v>
      </c>
      <c r="R69" s="28">
        <f>SUM(R70:R78)</f>
        <v>96000</v>
      </c>
      <c r="S69" s="28">
        <f t="shared" si="19"/>
        <v>0</v>
      </c>
      <c r="T69" s="28">
        <f>SUM(T70:T78)</f>
        <v>0</v>
      </c>
      <c r="U69" s="28">
        <f>SUM(U70:U78)</f>
        <v>0</v>
      </c>
      <c r="V69" s="28">
        <f t="shared" si="20"/>
        <v>0</v>
      </c>
      <c r="W69" s="28">
        <f>SUM(W70:W78)</f>
        <v>0</v>
      </c>
      <c r="X69" s="28">
        <f>SUM(X70:X78)</f>
        <v>0</v>
      </c>
      <c r="Y69" s="28">
        <f t="shared" si="21"/>
        <v>0</v>
      </c>
      <c r="Z69" s="28">
        <f>SUM(Z70:Z78)</f>
        <v>0</v>
      </c>
      <c r="AA69" s="28">
        <f>SUM(AA70:AA78)</f>
        <v>0</v>
      </c>
      <c r="AB69" s="28">
        <f t="shared" si="22"/>
        <v>0</v>
      </c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</row>
    <row r="70" spans="1:187" s="29" customFormat="1" x14ac:dyDescent="0.25">
      <c r="A70" s="36" t="s">
        <v>79</v>
      </c>
      <c r="B70" s="35">
        <f t="shared" si="0"/>
        <v>33000</v>
      </c>
      <c r="C70" s="35">
        <f t="shared" si="0"/>
        <v>33000</v>
      </c>
      <c r="D70" s="35">
        <f t="shared" si="0"/>
        <v>0</v>
      </c>
      <c r="E70" s="35">
        <v>33000</v>
      </c>
      <c r="F70" s="35">
        <v>33000</v>
      </c>
      <c r="G70" s="35">
        <f t="shared" si="15"/>
        <v>0</v>
      </c>
      <c r="H70" s="35"/>
      <c r="I70" s="35"/>
      <c r="J70" s="35">
        <f t="shared" si="16"/>
        <v>0</v>
      </c>
      <c r="K70" s="35">
        <v>0</v>
      </c>
      <c r="L70" s="35">
        <v>0</v>
      </c>
      <c r="M70" s="35">
        <f t="shared" si="17"/>
        <v>0</v>
      </c>
      <c r="N70" s="35"/>
      <c r="O70" s="35"/>
      <c r="P70" s="35">
        <f t="shared" si="18"/>
        <v>0</v>
      </c>
      <c r="Q70" s="35"/>
      <c r="R70" s="35"/>
      <c r="S70" s="35">
        <f t="shared" si="19"/>
        <v>0</v>
      </c>
      <c r="T70" s="35"/>
      <c r="U70" s="35"/>
      <c r="V70" s="35">
        <f t="shared" si="20"/>
        <v>0</v>
      </c>
      <c r="W70" s="35"/>
      <c r="X70" s="35"/>
      <c r="Y70" s="35">
        <f t="shared" si="21"/>
        <v>0</v>
      </c>
      <c r="Z70" s="35"/>
      <c r="AA70" s="35"/>
      <c r="AB70" s="35">
        <f t="shared" si="22"/>
        <v>0</v>
      </c>
    </row>
    <row r="71" spans="1:187" s="29" customFormat="1" ht="31.5" x14ac:dyDescent="0.25">
      <c r="A71" s="31" t="s">
        <v>80</v>
      </c>
      <c r="B71" s="32">
        <f t="shared" si="0"/>
        <v>0</v>
      </c>
      <c r="C71" s="32">
        <f t="shared" si="0"/>
        <v>32000</v>
      </c>
      <c r="D71" s="32">
        <f t="shared" si="0"/>
        <v>32000</v>
      </c>
      <c r="E71" s="32">
        <v>0</v>
      </c>
      <c r="F71" s="32">
        <v>0</v>
      </c>
      <c r="G71" s="32">
        <f t="shared" si="15"/>
        <v>0</v>
      </c>
      <c r="H71" s="32"/>
      <c r="I71" s="32"/>
      <c r="J71" s="32">
        <f t="shared" si="16"/>
        <v>0</v>
      </c>
      <c r="K71" s="32">
        <f>6497-6497</f>
        <v>0</v>
      </c>
      <c r="L71" s="32">
        <v>32000</v>
      </c>
      <c r="M71" s="32">
        <f t="shared" si="17"/>
        <v>32000</v>
      </c>
      <c r="N71" s="32"/>
      <c r="O71" s="32"/>
      <c r="P71" s="32">
        <f t="shared" si="18"/>
        <v>0</v>
      </c>
      <c r="Q71" s="32"/>
      <c r="R71" s="32"/>
      <c r="S71" s="32">
        <f t="shared" si="19"/>
        <v>0</v>
      </c>
      <c r="T71" s="32"/>
      <c r="U71" s="32"/>
      <c r="V71" s="32">
        <f t="shared" si="20"/>
        <v>0</v>
      </c>
      <c r="W71" s="32"/>
      <c r="X71" s="32"/>
      <c r="Y71" s="32">
        <f t="shared" si="21"/>
        <v>0</v>
      </c>
      <c r="Z71" s="32"/>
      <c r="AA71" s="32"/>
      <c r="AB71" s="32">
        <f t="shared" si="22"/>
        <v>0</v>
      </c>
    </row>
    <row r="72" spans="1:187" s="29" customFormat="1" x14ac:dyDescent="0.25">
      <c r="A72" s="31" t="s">
        <v>81</v>
      </c>
      <c r="B72" s="32">
        <f t="shared" si="0"/>
        <v>96000</v>
      </c>
      <c r="C72" s="32">
        <f t="shared" si="0"/>
        <v>96000</v>
      </c>
      <c r="D72" s="32">
        <f t="shared" si="0"/>
        <v>0</v>
      </c>
      <c r="E72" s="32">
        <v>0</v>
      </c>
      <c r="F72" s="32">
        <v>0</v>
      </c>
      <c r="G72" s="32">
        <f t="shared" si="15"/>
        <v>0</v>
      </c>
      <c r="H72" s="32"/>
      <c r="I72" s="32"/>
      <c r="J72" s="32">
        <f t="shared" si="16"/>
        <v>0</v>
      </c>
      <c r="K72" s="32">
        <v>0</v>
      </c>
      <c r="L72" s="32">
        <v>0</v>
      </c>
      <c r="M72" s="32">
        <f t="shared" si="17"/>
        <v>0</v>
      </c>
      <c r="N72" s="32"/>
      <c r="O72" s="32"/>
      <c r="P72" s="32">
        <f t="shared" si="18"/>
        <v>0</v>
      </c>
      <c r="Q72" s="32">
        <v>96000</v>
      </c>
      <c r="R72" s="32">
        <v>96000</v>
      </c>
      <c r="S72" s="32">
        <f t="shared" si="19"/>
        <v>0</v>
      </c>
      <c r="T72" s="32"/>
      <c r="U72" s="32"/>
      <c r="V72" s="32">
        <f t="shared" si="20"/>
        <v>0</v>
      </c>
      <c r="W72" s="32"/>
      <c r="X72" s="32"/>
      <c r="Y72" s="32">
        <f t="shared" si="21"/>
        <v>0</v>
      </c>
      <c r="Z72" s="32"/>
      <c r="AA72" s="32"/>
      <c r="AB72" s="32">
        <f t="shared" si="22"/>
        <v>0</v>
      </c>
    </row>
    <row r="73" spans="1:187" s="29" customFormat="1" ht="47.25" x14ac:dyDescent="0.25">
      <c r="A73" s="31" t="s">
        <v>82</v>
      </c>
      <c r="B73" s="32">
        <f t="shared" si="0"/>
        <v>13080</v>
      </c>
      <c r="C73" s="32">
        <f t="shared" si="0"/>
        <v>13080</v>
      </c>
      <c r="D73" s="32">
        <f t="shared" si="0"/>
        <v>0</v>
      </c>
      <c r="E73" s="32">
        <v>0</v>
      </c>
      <c r="F73" s="32">
        <v>0</v>
      </c>
      <c r="G73" s="32">
        <f t="shared" si="15"/>
        <v>0</v>
      </c>
      <c r="H73" s="32">
        <v>13080</v>
      </c>
      <c r="I73" s="32">
        <v>13080</v>
      </c>
      <c r="J73" s="32">
        <f t="shared" si="16"/>
        <v>0</v>
      </c>
      <c r="K73" s="32">
        <v>0</v>
      </c>
      <c r="L73" s="32">
        <v>0</v>
      </c>
      <c r="M73" s="32">
        <f t="shared" si="17"/>
        <v>0</v>
      </c>
      <c r="N73" s="32"/>
      <c r="O73" s="32"/>
      <c r="P73" s="32">
        <f t="shared" si="18"/>
        <v>0</v>
      </c>
      <c r="Q73" s="32"/>
      <c r="R73" s="32"/>
      <c r="S73" s="32">
        <f t="shared" si="19"/>
        <v>0</v>
      </c>
      <c r="T73" s="32"/>
      <c r="U73" s="32"/>
      <c r="V73" s="32">
        <f t="shared" si="20"/>
        <v>0</v>
      </c>
      <c r="W73" s="32"/>
      <c r="X73" s="32"/>
      <c r="Y73" s="32">
        <f t="shared" si="21"/>
        <v>0</v>
      </c>
      <c r="Z73" s="32"/>
      <c r="AA73" s="32"/>
      <c r="AB73" s="32">
        <f t="shared" si="22"/>
        <v>0</v>
      </c>
    </row>
    <row r="74" spans="1:187" s="29" customFormat="1" ht="47.25" x14ac:dyDescent="0.25">
      <c r="A74" s="36" t="s">
        <v>83</v>
      </c>
      <c r="B74" s="35">
        <f t="shared" si="0"/>
        <v>130000</v>
      </c>
      <c r="C74" s="35">
        <f t="shared" si="0"/>
        <v>150000</v>
      </c>
      <c r="D74" s="35">
        <f t="shared" si="0"/>
        <v>20000</v>
      </c>
      <c r="E74" s="35">
        <v>130000</v>
      </c>
      <c r="F74" s="35">
        <v>130000</v>
      </c>
      <c r="G74" s="35">
        <f t="shared" si="15"/>
        <v>0</v>
      </c>
      <c r="H74" s="35"/>
      <c r="I74" s="35"/>
      <c r="J74" s="35">
        <f t="shared" si="16"/>
        <v>0</v>
      </c>
      <c r="K74" s="35"/>
      <c r="L74" s="35">
        <v>20000</v>
      </c>
      <c r="M74" s="35">
        <f t="shared" si="17"/>
        <v>20000</v>
      </c>
      <c r="N74" s="35"/>
      <c r="O74" s="35"/>
      <c r="P74" s="35">
        <f t="shared" si="18"/>
        <v>0</v>
      </c>
      <c r="Q74" s="35"/>
      <c r="R74" s="35"/>
      <c r="S74" s="35">
        <f t="shared" si="19"/>
        <v>0</v>
      </c>
      <c r="T74" s="35"/>
      <c r="U74" s="35"/>
      <c r="V74" s="35">
        <f t="shared" si="20"/>
        <v>0</v>
      </c>
      <c r="W74" s="35"/>
      <c r="X74" s="35"/>
      <c r="Y74" s="35">
        <f t="shared" si="21"/>
        <v>0</v>
      </c>
      <c r="Z74" s="35"/>
      <c r="AA74" s="35"/>
      <c r="AB74" s="35">
        <f t="shared" si="22"/>
        <v>0</v>
      </c>
    </row>
    <row r="75" spans="1:187" s="29" customFormat="1" ht="31.5" x14ac:dyDescent="0.25">
      <c r="A75" s="36" t="s">
        <v>84</v>
      </c>
      <c r="B75" s="35">
        <f t="shared" ref="B75:D150" si="63">E75+H75+K75+N75+Q75+T75+W75+Z75</f>
        <v>51000</v>
      </c>
      <c r="C75" s="35">
        <f t="shared" si="63"/>
        <v>51000</v>
      </c>
      <c r="D75" s="35">
        <f t="shared" si="63"/>
        <v>0</v>
      </c>
      <c r="E75" s="35">
        <v>51000</v>
      </c>
      <c r="F75" s="35">
        <v>51000</v>
      </c>
      <c r="G75" s="35">
        <f t="shared" si="15"/>
        <v>0</v>
      </c>
      <c r="H75" s="35">
        <v>0</v>
      </c>
      <c r="I75" s="35">
        <v>0</v>
      </c>
      <c r="J75" s="35">
        <f t="shared" si="16"/>
        <v>0</v>
      </c>
      <c r="K75" s="35"/>
      <c r="L75" s="35"/>
      <c r="M75" s="35">
        <f t="shared" si="17"/>
        <v>0</v>
      </c>
      <c r="N75" s="35"/>
      <c r="O75" s="35"/>
      <c r="P75" s="35">
        <f t="shared" si="18"/>
        <v>0</v>
      </c>
      <c r="Q75" s="35"/>
      <c r="R75" s="35"/>
      <c r="S75" s="35">
        <f t="shared" si="19"/>
        <v>0</v>
      </c>
      <c r="T75" s="35"/>
      <c r="U75" s="35"/>
      <c r="V75" s="35">
        <f t="shared" si="20"/>
        <v>0</v>
      </c>
      <c r="W75" s="35"/>
      <c r="X75" s="35"/>
      <c r="Y75" s="35">
        <f t="shared" si="21"/>
        <v>0</v>
      </c>
      <c r="Z75" s="35"/>
      <c r="AA75" s="35"/>
      <c r="AB75" s="35">
        <f t="shared" si="22"/>
        <v>0</v>
      </c>
    </row>
    <row r="76" spans="1:187" s="29" customFormat="1" ht="63" x14ac:dyDescent="0.25">
      <c r="A76" s="40" t="s">
        <v>85</v>
      </c>
      <c r="B76" s="35">
        <f t="shared" si="63"/>
        <v>316301</v>
      </c>
      <c r="C76" s="35">
        <f t="shared" si="63"/>
        <v>316301</v>
      </c>
      <c r="D76" s="35">
        <f t="shared" si="63"/>
        <v>0</v>
      </c>
      <c r="E76" s="35">
        <v>0</v>
      </c>
      <c r="F76" s="35">
        <v>0</v>
      </c>
      <c r="G76" s="35">
        <f t="shared" ref="G76:G151" si="64">F76-E76</f>
        <v>0</v>
      </c>
      <c r="H76" s="35">
        <v>0</v>
      </c>
      <c r="I76" s="35">
        <v>0</v>
      </c>
      <c r="J76" s="35">
        <f t="shared" ref="J76:J151" si="65">I76-H76</f>
        <v>0</v>
      </c>
      <c r="K76" s="35">
        <v>0</v>
      </c>
      <c r="L76" s="35">
        <v>0</v>
      </c>
      <c r="M76" s="35">
        <f t="shared" ref="M76:M151" si="66">L76-K76</f>
        <v>0</v>
      </c>
      <c r="N76" s="35">
        <v>316301</v>
      </c>
      <c r="O76" s="35">
        <v>316301</v>
      </c>
      <c r="P76" s="35">
        <f t="shared" ref="P76:P151" si="67">O76-N76</f>
        <v>0</v>
      </c>
      <c r="Q76" s="35"/>
      <c r="R76" s="35"/>
      <c r="S76" s="35">
        <f t="shared" ref="S76:S151" si="68">R76-Q76</f>
        <v>0</v>
      </c>
      <c r="T76" s="35"/>
      <c r="U76" s="35"/>
      <c r="V76" s="35">
        <f t="shared" ref="V76:V151" si="69">U76-T76</f>
        <v>0</v>
      </c>
      <c r="W76" s="35"/>
      <c r="X76" s="35"/>
      <c r="Y76" s="35">
        <f t="shared" ref="Y76:Y151" si="70">X76-W76</f>
        <v>0</v>
      </c>
      <c r="Z76" s="35"/>
      <c r="AA76" s="35"/>
      <c r="AB76" s="35">
        <f t="shared" ref="AB76:AB151" si="71">AA76-Z76</f>
        <v>0</v>
      </c>
    </row>
    <row r="77" spans="1:187" s="29" customFormat="1" ht="78.75" x14ac:dyDescent="0.25">
      <c r="A77" s="40" t="s">
        <v>86</v>
      </c>
      <c r="B77" s="35">
        <f t="shared" si="63"/>
        <v>2341644</v>
      </c>
      <c r="C77" s="35">
        <f t="shared" si="63"/>
        <v>2341644</v>
      </c>
      <c r="D77" s="35">
        <f t="shared" si="63"/>
        <v>0</v>
      </c>
      <c r="E77" s="35">
        <v>0</v>
      </c>
      <c r="F77" s="35">
        <v>0</v>
      </c>
      <c r="G77" s="35">
        <f t="shared" si="64"/>
        <v>0</v>
      </c>
      <c r="H77" s="35">
        <v>0</v>
      </c>
      <c r="I77" s="35">
        <v>0</v>
      </c>
      <c r="J77" s="35">
        <f t="shared" si="65"/>
        <v>0</v>
      </c>
      <c r="K77" s="35">
        <v>0</v>
      </c>
      <c r="L77" s="35">
        <v>0</v>
      </c>
      <c r="M77" s="35">
        <f t="shared" si="66"/>
        <v>0</v>
      </c>
      <c r="N77" s="35">
        <v>2341644</v>
      </c>
      <c r="O77" s="35">
        <v>2341644</v>
      </c>
      <c r="P77" s="35">
        <f t="shared" si="67"/>
        <v>0</v>
      </c>
      <c r="Q77" s="35"/>
      <c r="R77" s="35"/>
      <c r="S77" s="35">
        <f t="shared" si="68"/>
        <v>0</v>
      </c>
      <c r="T77" s="35"/>
      <c r="U77" s="35"/>
      <c r="V77" s="35">
        <f t="shared" si="69"/>
        <v>0</v>
      </c>
      <c r="W77" s="35"/>
      <c r="X77" s="35"/>
      <c r="Y77" s="35">
        <f t="shared" si="70"/>
        <v>0</v>
      </c>
      <c r="Z77" s="35"/>
      <c r="AA77" s="35"/>
      <c r="AB77" s="35">
        <f t="shared" si="71"/>
        <v>0</v>
      </c>
    </row>
    <row r="78" spans="1:187" s="29" customFormat="1" x14ac:dyDescent="0.25">
      <c r="A78" s="40" t="s">
        <v>87</v>
      </c>
      <c r="B78" s="35">
        <f t="shared" si="63"/>
        <v>7000</v>
      </c>
      <c r="C78" s="35">
        <f t="shared" si="63"/>
        <v>7000</v>
      </c>
      <c r="D78" s="35">
        <f t="shared" si="63"/>
        <v>0</v>
      </c>
      <c r="E78" s="35">
        <v>0</v>
      </c>
      <c r="F78" s="35">
        <v>0</v>
      </c>
      <c r="G78" s="35">
        <f t="shared" si="64"/>
        <v>0</v>
      </c>
      <c r="H78" s="35">
        <v>0</v>
      </c>
      <c r="I78" s="35">
        <v>0</v>
      </c>
      <c r="J78" s="35">
        <f t="shared" si="65"/>
        <v>0</v>
      </c>
      <c r="K78" s="35">
        <v>7000</v>
      </c>
      <c r="L78" s="35">
        <v>7000</v>
      </c>
      <c r="M78" s="35">
        <f t="shared" si="66"/>
        <v>0</v>
      </c>
      <c r="N78" s="35">
        <v>0</v>
      </c>
      <c r="O78" s="35">
        <v>0</v>
      </c>
      <c r="P78" s="35">
        <f t="shared" si="67"/>
        <v>0</v>
      </c>
      <c r="Q78" s="35"/>
      <c r="R78" s="35"/>
      <c r="S78" s="35">
        <f t="shared" si="68"/>
        <v>0</v>
      </c>
      <c r="T78" s="35"/>
      <c r="U78" s="35"/>
      <c r="V78" s="35">
        <f t="shared" si="69"/>
        <v>0</v>
      </c>
      <c r="W78" s="35"/>
      <c r="X78" s="35"/>
      <c r="Y78" s="35">
        <f t="shared" si="70"/>
        <v>0</v>
      </c>
      <c r="Z78" s="35"/>
      <c r="AA78" s="35"/>
      <c r="AB78" s="35">
        <f t="shared" si="71"/>
        <v>0</v>
      </c>
    </row>
    <row r="79" spans="1:187" s="29" customFormat="1" x14ac:dyDescent="0.25">
      <c r="A79" s="27" t="s">
        <v>88</v>
      </c>
      <c r="B79" s="28">
        <f t="shared" si="63"/>
        <v>2398071</v>
      </c>
      <c r="C79" s="28">
        <f t="shared" si="63"/>
        <v>2398071</v>
      </c>
      <c r="D79" s="28">
        <f t="shared" si="63"/>
        <v>0</v>
      </c>
      <c r="E79" s="28">
        <f t="shared" ref="E79:AA79" si="72">SUM(E80)</f>
        <v>0</v>
      </c>
      <c r="F79" s="28">
        <f t="shared" si="72"/>
        <v>0</v>
      </c>
      <c r="G79" s="28">
        <f t="shared" si="64"/>
        <v>0</v>
      </c>
      <c r="H79" s="28">
        <f t="shared" si="72"/>
        <v>0</v>
      </c>
      <c r="I79" s="28">
        <f t="shared" si="72"/>
        <v>0</v>
      </c>
      <c r="J79" s="28">
        <f t="shared" si="65"/>
        <v>0</v>
      </c>
      <c r="K79" s="28">
        <f t="shared" si="72"/>
        <v>0</v>
      </c>
      <c r="L79" s="28">
        <f t="shared" si="72"/>
        <v>0</v>
      </c>
      <c r="M79" s="28">
        <f t="shared" si="66"/>
        <v>0</v>
      </c>
      <c r="N79" s="28">
        <f t="shared" si="72"/>
        <v>2398071</v>
      </c>
      <c r="O79" s="28">
        <f t="shared" si="72"/>
        <v>2398071</v>
      </c>
      <c r="P79" s="28">
        <f t="shared" si="67"/>
        <v>0</v>
      </c>
      <c r="Q79" s="28">
        <f t="shared" si="72"/>
        <v>0</v>
      </c>
      <c r="R79" s="28">
        <f t="shared" si="72"/>
        <v>0</v>
      </c>
      <c r="S79" s="28">
        <f t="shared" si="68"/>
        <v>0</v>
      </c>
      <c r="T79" s="28">
        <f t="shared" si="72"/>
        <v>0</v>
      </c>
      <c r="U79" s="28">
        <f t="shared" si="72"/>
        <v>0</v>
      </c>
      <c r="V79" s="28">
        <f t="shared" si="69"/>
        <v>0</v>
      </c>
      <c r="W79" s="28">
        <f t="shared" si="72"/>
        <v>0</v>
      </c>
      <c r="X79" s="28">
        <f t="shared" si="72"/>
        <v>0</v>
      </c>
      <c r="Y79" s="28">
        <f t="shared" si="70"/>
        <v>0</v>
      </c>
      <c r="Z79" s="28">
        <f t="shared" si="72"/>
        <v>0</v>
      </c>
      <c r="AA79" s="28">
        <f t="shared" si="72"/>
        <v>0</v>
      </c>
      <c r="AB79" s="28">
        <f t="shared" si="71"/>
        <v>0</v>
      </c>
    </row>
    <row r="80" spans="1:187" s="29" customFormat="1" x14ac:dyDescent="0.25">
      <c r="A80" s="27" t="s">
        <v>27</v>
      </c>
      <c r="B80" s="28">
        <f t="shared" si="63"/>
        <v>2398071</v>
      </c>
      <c r="C80" s="28">
        <f t="shared" si="63"/>
        <v>2398071</v>
      </c>
      <c r="D80" s="28">
        <f t="shared" si="63"/>
        <v>0</v>
      </c>
      <c r="E80" s="28">
        <f t="shared" ref="E80:AA80" si="73">SUM(E81:E81)</f>
        <v>0</v>
      </c>
      <c r="F80" s="28">
        <f t="shared" si="73"/>
        <v>0</v>
      </c>
      <c r="G80" s="28">
        <f t="shared" si="64"/>
        <v>0</v>
      </c>
      <c r="H80" s="28">
        <f t="shared" si="73"/>
        <v>0</v>
      </c>
      <c r="I80" s="28">
        <f t="shared" si="73"/>
        <v>0</v>
      </c>
      <c r="J80" s="28">
        <f t="shared" si="65"/>
        <v>0</v>
      </c>
      <c r="K80" s="28">
        <f t="shared" si="73"/>
        <v>0</v>
      </c>
      <c r="L80" s="28">
        <f t="shared" si="73"/>
        <v>0</v>
      </c>
      <c r="M80" s="28">
        <f t="shared" si="66"/>
        <v>0</v>
      </c>
      <c r="N80" s="28">
        <f t="shared" si="73"/>
        <v>2398071</v>
      </c>
      <c r="O80" s="28">
        <f t="shared" si="73"/>
        <v>2398071</v>
      </c>
      <c r="P80" s="28">
        <f t="shared" si="67"/>
        <v>0</v>
      </c>
      <c r="Q80" s="28">
        <f t="shared" si="73"/>
        <v>0</v>
      </c>
      <c r="R80" s="28">
        <f t="shared" si="73"/>
        <v>0</v>
      </c>
      <c r="S80" s="28">
        <f t="shared" si="68"/>
        <v>0</v>
      </c>
      <c r="T80" s="28">
        <f t="shared" si="73"/>
        <v>0</v>
      </c>
      <c r="U80" s="28">
        <f t="shared" si="73"/>
        <v>0</v>
      </c>
      <c r="V80" s="28">
        <f t="shared" si="69"/>
        <v>0</v>
      </c>
      <c r="W80" s="28">
        <f t="shared" si="73"/>
        <v>0</v>
      </c>
      <c r="X80" s="28">
        <f t="shared" si="73"/>
        <v>0</v>
      </c>
      <c r="Y80" s="28">
        <f t="shared" si="70"/>
        <v>0</v>
      </c>
      <c r="Z80" s="28">
        <f t="shared" si="73"/>
        <v>0</v>
      </c>
      <c r="AA80" s="28">
        <f t="shared" si="73"/>
        <v>0</v>
      </c>
      <c r="AB80" s="28">
        <f t="shared" si="71"/>
        <v>0</v>
      </c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</row>
    <row r="81" spans="1:187" s="29" customFormat="1" ht="94.5" x14ac:dyDescent="0.25">
      <c r="A81" s="34" t="s">
        <v>89</v>
      </c>
      <c r="B81" s="35">
        <f t="shared" si="63"/>
        <v>2398071</v>
      </c>
      <c r="C81" s="35">
        <f t="shared" si="63"/>
        <v>2398071</v>
      </c>
      <c r="D81" s="35">
        <f t="shared" si="63"/>
        <v>0</v>
      </c>
      <c r="E81" s="35">
        <v>0</v>
      </c>
      <c r="F81" s="35">
        <v>0</v>
      </c>
      <c r="G81" s="35">
        <f t="shared" si="64"/>
        <v>0</v>
      </c>
      <c r="H81" s="35">
        <v>0</v>
      </c>
      <c r="I81" s="35">
        <v>0</v>
      </c>
      <c r="J81" s="35">
        <f t="shared" si="65"/>
        <v>0</v>
      </c>
      <c r="K81" s="35">
        <v>0</v>
      </c>
      <c r="L81" s="35">
        <v>0</v>
      </c>
      <c r="M81" s="35">
        <f t="shared" si="66"/>
        <v>0</v>
      </c>
      <c r="N81" s="35">
        <v>2398071</v>
      </c>
      <c r="O81" s="35">
        <v>2398071</v>
      </c>
      <c r="P81" s="35">
        <f t="shared" si="67"/>
        <v>0</v>
      </c>
      <c r="Q81" s="35"/>
      <c r="R81" s="35"/>
      <c r="S81" s="35">
        <f t="shared" si="68"/>
        <v>0</v>
      </c>
      <c r="T81" s="35"/>
      <c r="U81" s="35"/>
      <c r="V81" s="35">
        <f t="shared" si="69"/>
        <v>0</v>
      </c>
      <c r="W81" s="35"/>
      <c r="X81" s="35"/>
      <c r="Y81" s="35">
        <f t="shared" si="70"/>
        <v>0</v>
      </c>
      <c r="Z81" s="35"/>
      <c r="AA81" s="35"/>
      <c r="AB81" s="35">
        <f t="shared" si="71"/>
        <v>0</v>
      </c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</row>
    <row r="82" spans="1:187" s="29" customFormat="1" x14ac:dyDescent="0.25">
      <c r="A82" s="27" t="s">
        <v>90</v>
      </c>
      <c r="B82" s="28">
        <f t="shared" si="63"/>
        <v>22851711</v>
      </c>
      <c r="C82" s="28">
        <f t="shared" si="63"/>
        <v>22924818</v>
      </c>
      <c r="D82" s="28">
        <f t="shared" si="63"/>
        <v>73107</v>
      </c>
      <c r="E82" s="28">
        <f>SUM(E83,E92,E104,E150,E189,E215,E235,E134)</f>
        <v>1229531</v>
      </c>
      <c r="F82" s="28">
        <f>SUM(F83,F92,F104,F150,F189,F215,F235,F134)</f>
        <v>1229531</v>
      </c>
      <c r="G82" s="28">
        <f t="shared" si="64"/>
        <v>0</v>
      </c>
      <c r="H82" s="28">
        <f>SUM(H83,H92,H104,H150,H189,H215,H235,H134)</f>
        <v>31336</v>
      </c>
      <c r="I82" s="28">
        <f>SUM(I83,I92,I104,I150,I189,I215,I235,I134)</f>
        <v>31336</v>
      </c>
      <c r="J82" s="28">
        <f t="shared" si="65"/>
        <v>0</v>
      </c>
      <c r="K82" s="28">
        <f>SUM(K83,K92,K104,K150,K189,K215,K235,K134)</f>
        <v>875049</v>
      </c>
      <c r="L82" s="28">
        <f>SUM(L83,L92,L104,L150,L189,L215,L235,L134)</f>
        <v>903562</v>
      </c>
      <c r="M82" s="28">
        <f t="shared" si="66"/>
        <v>28513</v>
      </c>
      <c r="N82" s="28">
        <f>SUM(N83,N92,N104,N150,N189,N215,N235,N134)</f>
        <v>11322728</v>
      </c>
      <c r="O82" s="28">
        <f>SUM(O83,O92,O104,O150,O189,O215,O235,O134)</f>
        <v>11354268</v>
      </c>
      <c r="P82" s="28">
        <f t="shared" si="67"/>
        <v>31540</v>
      </c>
      <c r="Q82" s="28">
        <f>SUM(Q83,Q92,Q104,Q150,Q189,Q215,Q235,Q134)</f>
        <v>573831</v>
      </c>
      <c r="R82" s="28">
        <f>SUM(R83,R92,R104,R150,R189,R215,R235,R134)</f>
        <v>586885</v>
      </c>
      <c r="S82" s="28">
        <f t="shared" si="68"/>
        <v>13054</v>
      </c>
      <c r="T82" s="28">
        <f>SUM(T83,T92,T104,T150,T189,T215,T235,T134)</f>
        <v>5024692</v>
      </c>
      <c r="U82" s="28">
        <f>SUM(U83,U92,U104,U150,U189,U215,U235,U134)</f>
        <v>5024692</v>
      </c>
      <c r="V82" s="28">
        <f t="shared" si="69"/>
        <v>0</v>
      </c>
      <c r="W82" s="28">
        <f>SUM(W83,W92,W104,W150,W189,W215,W235,W134)</f>
        <v>0</v>
      </c>
      <c r="X82" s="28">
        <f>SUM(X83,X92,X104,X150,X189,X215,X235,X134)</f>
        <v>0</v>
      </c>
      <c r="Y82" s="28">
        <f t="shared" si="70"/>
        <v>0</v>
      </c>
      <c r="Z82" s="28">
        <f>SUM(Z83,Z92,Z104,Z150,Z189,Z215,Z235,Z134)</f>
        <v>3794544</v>
      </c>
      <c r="AA82" s="28">
        <f>SUM(AA83,AA92,AA104,AA150,AA189,AA215,AA235,AA134)</f>
        <v>3794544</v>
      </c>
      <c r="AB82" s="28">
        <f t="shared" si="71"/>
        <v>0</v>
      </c>
    </row>
    <row r="83" spans="1:187" s="29" customFormat="1" x14ac:dyDescent="0.25">
      <c r="A83" s="27" t="s">
        <v>26</v>
      </c>
      <c r="B83" s="28">
        <f t="shared" si="63"/>
        <v>85023</v>
      </c>
      <c r="C83" s="28">
        <f t="shared" si="63"/>
        <v>86703</v>
      </c>
      <c r="D83" s="28">
        <f t="shared" si="63"/>
        <v>1680</v>
      </c>
      <c r="E83" s="28">
        <f t="shared" ref="E83" si="74">SUM(E84,E88,E90)</f>
        <v>0</v>
      </c>
      <c r="F83" s="28">
        <f>SUM(F84,F88,F90)</f>
        <v>0</v>
      </c>
      <c r="G83" s="28">
        <f t="shared" si="64"/>
        <v>0</v>
      </c>
      <c r="H83" s="28">
        <f t="shared" ref="H83" si="75">SUM(H84,H88,H90)</f>
        <v>0</v>
      </c>
      <c r="I83" s="28">
        <f>SUM(I84,I88,I90)</f>
        <v>0</v>
      </c>
      <c r="J83" s="28">
        <f t="shared" si="65"/>
        <v>0</v>
      </c>
      <c r="K83" s="28">
        <f t="shared" ref="K83" si="76">SUM(K84,K88,K90)</f>
        <v>40879</v>
      </c>
      <c r="L83" s="28">
        <f>SUM(L84,L88,L90)</f>
        <v>42559</v>
      </c>
      <c r="M83" s="28">
        <f t="shared" si="66"/>
        <v>1680</v>
      </c>
      <c r="N83" s="28">
        <f t="shared" ref="N83" si="77">SUM(N84,N88,N90)</f>
        <v>0</v>
      </c>
      <c r="O83" s="28">
        <f>SUM(O84,O88,O90)</f>
        <v>0</v>
      </c>
      <c r="P83" s="28">
        <f t="shared" si="67"/>
        <v>0</v>
      </c>
      <c r="Q83" s="28">
        <f t="shared" ref="Q83" si="78">SUM(Q84,Q88,Q90)</f>
        <v>0</v>
      </c>
      <c r="R83" s="28">
        <f>SUM(R84,R88,R90)</f>
        <v>0</v>
      </c>
      <c r="S83" s="28">
        <f t="shared" si="68"/>
        <v>0</v>
      </c>
      <c r="T83" s="28">
        <f t="shared" ref="T83" si="79">SUM(T84,T88,T90)</f>
        <v>0</v>
      </c>
      <c r="U83" s="28">
        <f>SUM(U84,U88,U90)</f>
        <v>0</v>
      </c>
      <c r="V83" s="28">
        <f t="shared" si="69"/>
        <v>0</v>
      </c>
      <c r="W83" s="28">
        <f>SUM(W84,W88,W90)</f>
        <v>0</v>
      </c>
      <c r="X83" s="28">
        <f>SUM(X84,X88,X90)</f>
        <v>0</v>
      </c>
      <c r="Y83" s="28">
        <f t="shared" si="70"/>
        <v>0</v>
      </c>
      <c r="Z83" s="28">
        <f t="shared" ref="Z83" si="80">SUM(Z84,Z88,Z90)</f>
        <v>44144</v>
      </c>
      <c r="AA83" s="28">
        <f>SUM(AA84,AA88,AA90)</f>
        <v>44144</v>
      </c>
      <c r="AB83" s="28">
        <f t="shared" si="71"/>
        <v>0</v>
      </c>
    </row>
    <row r="84" spans="1:187" s="29" customFormat="1" x14ac:dyDescent="0.25">
      <c r="A84" s="27" t="s">
        <v>91</v>
      </c>
      <c r="B84" s="28">
        <f t="shared" si="63"/>
        <v>20879</v>
      </c>
      <c r="C84" s="28">
        <f t="shared" si="63"/>
        <v>22559</v>
      </c>
      <c r="D84" s="28">
        <f t="shared" si="63"/>
        <v>1680</v>
      </c>
      <c r="E84" s="28">
        <f>SUM(E85:E87)</f>
        <v>0</v>
      </c>
      <c r="F84" s="28">
        <f>SUM(F85:F87)</f>
        <v>0</v>
      </c>
      <c r="G84" s="28">
        <f t="shared" si="64"/>
        <v>0</v>
      </c>
      <c r="H84" s="28">
        <f t="shared" ref="H84" si="81">SUM(H85:H87)</f>
        <v>0</v>
      </c>
      <c r="I84" s="28">
        <f>SUM(I85:I87)</f>
        <v>0</v>
      </c>
      <c r="J84" s="28">
        <f t="shared" si="65"/>
        <v>0</v>
      </c>
      <c r="K84" s="28">
        <f t="shared" ref="K84" si="82">SUM(K85:K87)</f>
        <v>20879</v>
      </c>
      <c r="L84" s="28">
        <f>SUM(L85:L87)</f>
        <v>22559</v>
      </c>
      <c r="M84" s="28">
        <f t="shared" si="66"/>
        <v>1680</v>
      </c>
      <c r="N84" s="28">
        <f t="shared" ref="N84" si="83">SUM(N85:N87)</f>
        <v>0</v>
      </c>
      <c r="O84" s="28">
        <f>SUM(O85:O87)</f>
        <v>0</v>
      </c>
      <c r="P84" s="28">
        <f t="shared" si="67"/>
        <v>0</v>
      </c>
      <c r="Q84" s="28">
        <f t="shared" ref="Q84" si="84">SUM(Q85:Q87)</f>
        <v>0</v>
      </c>
      <c r="R84" s="28">
        <f>SUM(R85:R87)</f>
        <v>0</v>
      </c>
      <c r="S84" s="28">
        <f t="shared" si="68"/>
        <v>0</v>
      </c>
      <c r="T84" s="28">
        <f t="shared" ref="T84" si="85">SUM(T85:T87)</f>
        <v>0</v>
      </c>
      <c r="U84" s="28">
        <f>SUM(U85:U87)</f>
        <v>0</v>
      </c>
      <c r="V84" s="28">
        <f t="shared" si="69"/>
        <v>0</v>
      </c>
      <c r="W84" s="28">
        <f t="shared" ref="W84:X84" si="86">SUM(W85:W87)</f>
        <v>0</v>
      </c>
      <c r="X84" s="28">
        <f t="shared" si="86"/>
        <v>0</v>
      </c>
      <c r="Y84" s="28">
        <f t="shared" si="70"/>
        <v>0</v>
      </c>
      <c r="Z84" s="28">
        <f t="shared" ref="Z84" si="87">SUM(Z85:Z87)</f>
        <v>0</v>
      </c>
      <c r="AA84" s="28">
        <f>SUM(AA85:AA87)</f>
        <v>0</v>
      </c>
      <c r="AB84" s="28">
        <f t="shared" si="71"/>
        <v>0</v>
      </c>
    </row>
    <row r="85" spans="1:187" s="29" customFormat="1" x14ac:dyDescent="0.25">
      <c r="A85" s="34" t="s">
        <v>92</v>
      </c>
      <c r="B85" s="35">
        <f t="shared" si="63"/>
        <v>20000</v>
      </c>
      <c r="C85" s="35">
        <f t="shared" si="63"/>
        <v>20000</v>
      </c>
      <c r="D85" s="35">
        <f t="shared" si="63"/>
        <v>0</v>
      </c>
      <c r="E85" s="35">
        <v>0</v>
      </c>
      <c r="F85" s="35">
        <v>0</v>
      </c>
      <c r="G85" s="35">
        <f t="shared" si="64"/>
        <v>0</v>
      </c>
      <c r="H85" s="35"/>
      <c r="I85" s="35"/>
      <c r="J85" s="35">
        <f t="shared" si="65"/>
        <v>0</v>
      </c>
      <c r="K85" s="35">
        <v>20000</v>
      </c>
      <c r="L85" s="35">
        <v>20000</v>
      </c>
      <c r="M85" s="35">
        <f t="shared" si="66"/>
        <v>0</v>
      </c>
      <c r="N85" s="35"/>
      <c r="O85" s="35"/>
      <c r="P85" s="35">
        <f t="shared" si="67"/>
        <v>0</v>
      </c>
      <c r="Q85" s="35"/>
      <c r="R85" s="35"/>
      <c r="S85" s="35">
        <f t="shared" si="68"/>
        <v>0</v>
      </c>
      <c r="T85" s="35"/>
      <c r="U85" s="35"/>
      <c r="V85" s="35">
        <f t="shared" si="69"/>
        <v>0</v>
      </c>
      <c r="W85" s="35"/>
      <c r="X85" s="35"/>
      <c r="Y85" s="35">
        <f t="shared" si="70"/>
        <v>0</v>
      </c>
      <c r="Z85" s="35"/>
      <c r="AA85" s="35"/>
      <c r="AB85" s="35">
        <f t="shared" si="71"/>
        <v>0</v>
      </c>
    </row>
    <row r="86" spans="1:187" s="29" customFormat="1" x14ac:dyDescent="0.25">
      <c r="A86" s="41" t="s">
        <v>93</v>
      </c>
      <c r="B86" s="35">
        <f t="shared" si="63"/>
        <v>0</v>
      </c>
      <c r="C86" s="35">
        <f t="shared" si="63"/>
        <v>1680</v>
      </c>
      <c r="D86" s="35">
        <f t="shared" si="63"/>
        <v>1680</v>
      </c>
      <c r="E86" s="35">
        <v>0</v>
      </c>
      <c r="F86" s="35">
        <v>0</v>
      </c>
      <c r="G86" s="35">
        <f t="shared" si="64"/>
        <v>0</v>
      </c>
      <c r="H86" s="35">
        <v>0</v>
      </c>
      <c r="I86" s="35">
        <v>0</v>
      </c>
      <c r="J86" s="35">
        <f t="shared" si="65"/>
        <v>0</v>
      </c>
      <c r="K86" s="35"/>
      <c r="L86" s="35">
        <v>1680</v>
      </c>
      <c r="M86" s="35">
        <f t="shared" si="66"/>
        <v>1680</v>
      </c>
      <c r="N86" s="35"/>
      <c r="O86" s="35"/>
      <c r="P86" s="35">
        <f t="shared" si="67"/>
        <v>0</v>
      </c>
      <c r="Q86" s="35"/>
      <c r="R86" s="35"/>
      <c r="S86" s="35">
        <f t="shared" si="68"/>
        <v>0</v>
      </c>
      <c r="T86" s="35"/>
      <c r="U86" s="35"/>
      <c r="V86" s="35">
        <f t="shared" si="69"/>
        <v>0</v>
      </c>
      <c r="W86" s="35"/>
      <c r="X86" s="35"/>
      <c r="Y86" s="35">
        <f t="shared" si="70"/>
        <v>0</v>
      </c>
      <c r="Z86" s="35"/>
      <c r="AA86" s="35"/>
      <c r="AB86" s="35">
        <f t="shared" si="71"/>
        <v>0</v>
      </c>
    </row>
    <row r="87" spans="1:187" s="29" customFormat="1" ht="31.5" x14ac:dyDescent="0.25">
      <c r="A87" s="41" t="s">
        <v>94</v>
      </c>
      <c r="B87" s="35">
        <f t="shared" si="63"/>
        <v>879</v>
      </c>
      <c r="C87" s="35">
        <f t="shared" si="63"/>
        <v>879</v>
      </c>
      <c r="D87" s="35">
        <f t="shared" si="63"/>
        <v>0</v>
      </c>
      <c r="E87" s="35">
        <v>0</v>
      </c>
      <c r="F87" s="35">
        <v>0</v>
      </c>
      <c r="G87" s="35">
        <f t="shared" si="64"/>
        <v>0</v>
      </c>
      <c r="H87" s="35">
        <v>0</v>
      </c>
      <c r="I87" s="35">
        <v>0</v>
      </c>
      <c r="J87" s="35">
        <f t="shared" si="65"/>
        <v>0</v>
      </c>
      <c r="K87" s="35">
        <v>879</v>
      </c>
      <c r="L87" s="35">
        <v>879</v>
      </c>
      <c r="M87" s="35">
        <f t="shared" si="66"/>
        <v>0</v>
      </c>
      <c r="N87" s="35"/>
      <c r="O87" s="35"/>
      <c r="P87" s="35">
        <f t="shared" si="67"/>
        <v>0</v>
      </c>
      <c r="Q87" s="35"/>
      <c r="R87" s="35"/>
      <c r="S87" s="35">
        <f t="shared" si="68"/>
        <v>0</v>
      </c>
      <c r="T87" s="35"/>
      <c r="U87" s="35"/>
      <c r="V87" s="35">
        <f t="shared" si="69"/>
        <v>0</v>
      </c>
      <c r="W87" s="35"/>
      <c r="X87" s="35"/>
      <c r="Y87" s="35">
        <f t="shared" si="70"/>
        <v>0</v>
      </c>
      <c r="Z87" s="35"/>
      <c r="AA87" s="35"/>
      <c r="AB87" s="35">
        <f t="shared" si="71"/>
        <v>0</v>
      </c>
    </row>
    <row r="88" spans="1:187" s="26" customFormat="1" x14ac:dyDescent="0.25">
      <c r="A88" s="27" t="s">
        <v>95</v>
      </c>
      <c r="B88" s="28">
        <f t="shared" si="63"/>
        <v>44144</v>
      </c>
      <c r="C88" s="28">
        <f t="shared" si="63"/>
        <v>44144</v>
      </c>
      <c r="D88" s="28">
        <f t="shared" si="63"/>
        <v>0</v>
      </c>
      <c r="E88" s="28">
        <f t="shared" ref="E88:AA88" si="88">SUM(E89:E89)</f>
        <v>0</v>
      </c>
      <c r="F88" s="28">
        <f t="shared" si="88"/>
        <v>0</v>
      </c>
      <c r="G88" s="28">
        <f t="shared" si="64"/>
        <v>0</v>
      </c>
      <c r="H88" s="28">
        <f t="shared" si="88"/>
        <v>0</v>
      </c>
      <c r="I88" s="28">
        <f t="shared" si="88"/>
        <v>0</v>
      </c>
      <c r="J88" s="28">
        <f t="shared" si="65"/>
        <v>0</v>
      </c>
      <c r="K88" s="28">
        <f t="shared" si="88"/>
        <v>0</v>
      </c>
      <c r="L88" s="28">
        <f t="shared" si="88"/>
        <v>0</v>
      </c>
      <c r="M88" s="28">
        <f t="shared" si="66"/>
        <v>0</v>
      </c>
      <c r="N88" s="28">
        <f t="shared" si="88"/>
        <v>0</v>
      </c>
      <c r="O88" s="28">
        <f t="shared" si="88"/>
        <v>0</v>
      </c>
      <c r="P88" s="28">
        <f t="shared" si="67"/>
        <v>0</v>
      </c>
      <c r="Q88" s="28">
        <f t="shared" si="88"/>
        <v>0</v>
      </c>
      <c r="R88" s="28">
        <f t="shared" si="88"/>
        <v>0</v>
      </c>
      <c r="S88" s="28">
        <f t="shared" si="68"/>
        <v>0</v>
      </c>
      <c r="T88" s="28">
        <f t="shared" si="88"/>
        <v>0</v>
      </c>
      <c r="U88" s="28">
        <f t="shared" si="88"/>
        <v>0</v>
      </c>
      <c r="V88" s="28">
        <f t="shared" si="69"/>
        <v>0</v>
      </c>
      <c r="W88" s="28">
        <f t="shared" si="88"/>
        <v>0</v>
      </c>
      <c r="X88" s="28">
        <f t="shared" si="88"/>
        <v>0</v>
      </c>
      <c r="Y88" s="28">
        <f t="shared" si="70"/>
        <v>0</v>
      </c>
      <c r="Z88" s="28">
        <f t="shared" si="88"/>
        <v>44144</v>
      </c>
      <c r="AA88" s="28">
        <f t="shared" si="88"/>
        <v>44144</v>
      </c>
      <c r="AB88" s="28">
        <f t="shared" si="71"/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</row>
    <row r="89" spans="1:187" s="29" customFormat="1" ht="47.25" x14ac:dyDescent="0.25">
      <c r="A89" s="36" t="s">
        <v>96</v>
      </c>
      <c r="B89" s="35">
        <f t="shared" si="63"/>
        <v>44144</v>
      </c>
      <c r="C89" s="35">
        <f t="shared" si="63"/>
        <v>44144</v>
      </c>
      <c r="D89" s="35">
        <f t="shared" si="63"/>
        <v>0</v>
      </c>
      <c r="E89" s="35">
        <v>0</v>
      </c>
      <c r="F89" s="35">
        <v>0</v>
      </c>
      <c r="G89" s="35">
        <f t="shared" si="64"/>
        <v>0</v>
      </c>
      <c r="H89" s="35"/>
      <c r="I89" s="35"/>
      <c r="J89" s="35">
        <f t="shared" si="65"/>
        <v>0</v>
      </c>
      <c r="K89" s="35"/>
      <c r="L89" s="35"/>
      <c r="M89" s="35">
        <f t="shared" si="66"/>
        <v>0</v>
      </c>
      <c r="N89" s="35"/>
      <c r="O89" s="35"/>
      <c r="P89" s="35">
        <f t="shared" si="67"/>
        <v>0</v>
      </c>
      <c r="Q89" s="35"/>
      <c r="R89" s="35"/>
      <c r="S89" s="35">
        <f t="shared" si="68"/>
        <v>0</v>
      </c>
      <c r="T89" s="35"/>
      <c r="U89" s="35"/>
      <c r="V89" s="35">
        <f t="shared" si="69"/>
        <v>0</v>
      </c>
      <c r="W89" s="35"/>
      <c r="X89" s="35"/>
      <c r="Y89" s="35">
        <f t="shared" si="70"/>
        <v>0</v>
      </c>
      <c r="Z89" s="35">
        <v>44144</v>
      </c>
      <c r="AA89" s="35">
        <v>44144</v>
      </c>
      <c r="AB89" s="35">
        <f t="shared" si="71"/>
        <v>0</v>
      </c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</row>
    <row r="90" spans="1:187" s="29" customFormat="1" ht="31.5" x14ac:dyDescent="0.25">
      <c r="A90" s="27" t="s">
        <v>97</v>
      </c>
      <c r="B90" s="28">
        <f t="shared" si="63"/>
        <v>20000</v>
      </c>
      <c r="C90" s="28">
        <f t="shared" si="63"/>
        <v>20000</v>
      </c>
      <c r="D90" s="28">
        <f t="shared" si="63"/>
        <v>0</v>
      </c>
      <c r="E90" s="28">
        <f>SUM(E91:E91)</f>
        <v>0</v>
      </c>
      <c r="F90" s="28">
        <f>SUM(F91:F91)</f>
        <v>0</v>
      </c>
      <c r="G90" s="28">
        <f t="shared" si="64"/>
        <v>0</v>
      </c>
      <c r="H90" s="28">
        <f>SUM(H91:H91)</f>
        <v>0</v>
      </c>
      <c r="I90" s="28">
        <f>SUM(I91:I91)</f>
        <v>0</v>
      </c>
      <c r="J90" s="28">
        <f t="shared" si="65"/>
        <v>0</v>
      </c>
      <c r="K90" s="28">
        <f>SUM(K91:K91)</f>
        <v>20000</v>
      </c>
      <c r="L90" s="28">
        <f>SUM(L91:L91)</f>
        <v>20000</v>
      </c>
      <c r="M90" s="28">
        <f t="shared" si="66"/>
        <v>0</v>
      </c>
      <c r="N90" s="28">
        <f>SUM(N91:N91)</f>
        <v>0</v>
      </c>
      <c r="O90" s="28">
        <f>SUM(O91:O91)</f>
        <v>0</v>
      </c>
      <c r="P90" s="28">
        <f t="shared" si="67"/>
        <v>0</v>
      </c>
      <c r="Q90" s="28">
        <f>SUM(Q91:Q91)</f>
        <v>0</v>
      </c>
      <c r="R90" s="28">
        <f>SUM(R91:R91)</f>
        <v>0</v>
      </c>
      <c r="S90" s="28">
        <f t="shared" si="68"/>
        <v>0</v>
      </c>
      <c r="T90" s="28">
        <f>SUM(T91:T91)</f>
        <v>0</v>
      </c>
      <c r="U90" s="28">
        <f>SUM(U91:U91)</f>
        <v>0</v>
      </c>
      <c r="V90" s="28">
        <f t="shared" si="69"/>
        <v>0</v>
      </c>
      <c r="W90" s="28">
        <f>SUM(W91:W91)</f>
        <v>0</v>
      </c>
      <c r="X90" s="28">
        <f>SUM(X91:X91)</f>
        <v>0</v>
      </c>
      <c r="Y90" s="28">
        <f t="shared" si="70"/>
        <v>0</v>
      </c>
      <c r="Z90" s="28">
        <f>SUM(Z91:Z91)</f>
        <v>0</v>
      </c>
      <c r="AA90" s="28">
        <f>SUM(AA91:AA91)</f>
        <v>0</v>
      </c>
      <c r="AB90" s="28">
        <f t="shared" si="71"/>
        <v>0</v>
      </c>
    </row>
    <row r="91" spans="1:187" s="29" customFormat="1" x14ac:dyDescent="0.25">
      <c r="A91" s="41" t="s">
        <v>98</v>
      </c>
      <c r="B91" s="35">
        <f t="shared" si="63"/>
        <v>20000</v>
      </c>
      <c r="C91" s="35">
        <f t="shared" si="63"/>
        <v>20000</v>
      </c>
      <c r="D91" s="35">
        <f t="shared" si="63"/>
        <v>0</v>
      </c>
      <c r="E91" s="35">
        <v>0</v>
      </c>
      <c r="F91" s="35">
        <v>0</v>
      </c>
      <c r="G91" s="35">
        <f t="shared" si="64"/>
        <v>0</v>
      </c>
      <c r="H91" s="35"/>
      <c r="I91" s="35"/>
      <c r="J91" s="35">
        <f t="shared" si="65"/>
        <v>0</v>
      </c>
      <c r="K91" s="35">
        <v>20000</v>
      </c>
      <c r="L91" s="35">
        <v>20000</v>
      </c>
      <c r="M91" s="35">
        <f t="shared" si="66"/>
        <v>0</v>
      </c>
      <c r="N91" s="35"/>
      <c r="O91" s="35"/>
      <c r="P91" s="35">
        <f t="shared" si="67"/>
        <v>0</v>
      </c>
      <c r="Q91" s="35"/>
      <c r="R91" s="35"/>
      <c r="S91" s="35">
        <f t="shared" si="68"/>
        <v>0</v>
      </c>
      <c r="T91" s="35"/>
      <c r="U91" s="35"/>
      <c r="V91" s="35">
        <f t="shared" si="69"/>
        <v>0</v>
      </c>
      <c r="W91" s="35"/>
      <c r="X91" s="35"/>
      <c r="Y91" s="35">
        <f t="shared" si="70"/>
        <v>0</v>
      </c>
      <c r="Z91" s="35"/>
      <c r="AA91" s="35"/>
      <c r="AB91" s="35">
        <f t="shared" si="71"/>
        <v>0</v>
      </c>
    </row>
    <row r="92" spans="1:187" s="29" customFormat="1" x14ac:dyDescent="0.25">
      <c r="A92" s="33" t="s">
        <v>38</v>
      </c>
      <c r="B92" s="30">
        <f t="shared" si="63"/>
        <v>70016</v>
      </c>
      <c r="C92" s="30">
        <f t="shared" si="63"/>
        <v>70934</v>
      </c>
      <c r="D92" s="30">
        <f t="shared" si="63"/>
        <v>918</v>
      </c>
      <c r="E92" s="30">
        <f t="shared" ref="E92:AA92" si="89">SUM(E93,E95,E100)</f>
        <v>0</v>
      </c>
      <c r="F92" s="30">
        <f t="shared" si="89"/>
        <v>0</v>
      </c>
      <c r="G92" s="30">
        <f t="shared" si="64"/>
        <v>0</v>
      </c>
      <c r="H92" s="30">
        <f t="shared" ref="H92" si="90">SUM(H93,H95,H100)</f>
        <v>6060</v>
      </c>
      <c r="I92" s="30">
        <f t="shared" si="89"/>
        <v>6060</v>
      </c>
      <c r="J92" s="30">
        <f t="shared" si="65"/>
        <v>0</v>
      </c>
      <c r="K92" s="30">
        <f t="shared" ref="K92" si="91">SUM(K93,K95,K100)</f>
        <v>36439</v>
      </c>
      <c r="L92" s="30">
        <f t="shared" si="89"/>
        <v>37357</v>
      </c>
      <c r="M92" s="30">
        <f t="shared" si="66"/>
        <v>918</v>
      </c>
      <c r="N92" s="30">
        <f t="shared" ref="N92" si="92">SUM(N93,N95,N100)</f>
        <v>0</v>
      </c>
      <c r="O92" s="30">
        <f t="shared" si="89"/>
        <v>0</v>
      </c>
      <c r="P92" s="30">
        <f t="shared" si="67"/>
        <v>0</v>
      </c>
      <c r="Q92" s="30">
        <f t="shared" ref="Q92" si="93">SUM(Q93,Q95,Q100)</f>
        <v>27517</v>
      </c>
      <c r="R92" s="30">
        <f t="shared" si="89"/>
        <v>27517</v>
      </c>
      <c r="S92" s="30">
        <f t="shared" si="68"/>
        <v>0</v>
      </c>
      <c r="T92" s="30">
        <f t="shared" ref="T92" si="94">SUM(T93,T95,T100)</f>
        <v>0</v>
      </c>
      <c r="U92" s="30">
        <f t="shared" si="89"/>
        <v>0</v>
      </c>
      <c r="V92" s="30">
        <f t="shared" si="69"/>
        <v>0</v>
      </c>
      <c r="W92" s="30">
        <f t="shared" si="89"/>
        <v>0</v>
      </c>
      <c r="X92" s="30">
        <f t="shared" si="89"/>
        <v>0</v>
      </c>
      <c r="Y92" s="30">
        <f t="shared" si="70"/>
        <v>0</v>
      </c>
      <c r="Z92" s="30">
        <f t="shared" ref="Z92" si="95">SUM(Z93,Z95,Z100)</f>
        <v>0</v>
      </c>
      <c r="AA92" s="30">
        <f t="shared" si="89"/>
        <v>0</v>
      </c>
      <c r="AB92" s="30">
        <f t="shared" si="71"/>
        <v>0</v>
      </c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</row>
    <row r="93" spans="1:187" s="29" customFormat="1" x14ac:dyDescent="0.25">
      <c r="A93" s="27" t="s">
        <v>91</v>
      </c>
      <c r="B93" s="28">
        <f t="shared" si="63"/>
        <v>7400</v>
      </c>
      <c r="C93" s="28">
        <f t="shared" si="63"/>
        <v>8318</v>
      </c>
      <c r="D93" s="28">
        <f t="shared" si="63"/>
        <v>918</v>
      </c>
      <c r="E93" s="28">
        <f t="shared" ref="E93:AA93" si="96">SUM(E94:E94)</f>
        <v>0</v>
      </c>
      <c r="F93" s="28">
        <f t="shared" si="96"/>
        <v>0</v>
      </c>
      <c r="G93" s="28">
        <f t="shared" si="64"/>
        <v>0</v>
      </c>
      <c r="H93" s="28">
        <f t="shared" si="96"/>
        <v>0</v>
      </c>
      <c r="I93" s="28">
        <f t="shared" si="96"/>
        <v>0</v>
      </c>
      <c r="J93" s="28">
        <f t="shared" si="65"/>
        <v>0</v>
      </c>
      <c r="K93" s="28">
        <f t="shared" si="96"/>
        <v>1744</v>
      </c>
      <c r="L93" s="28">
        <f t="shared" si="96"/>
        <v>2662</v>
      </c>
      <c r="M93" s="28">
        <f t="shared" si="66"/>
        <v>918</v>
      </c>
      <c r="N93" s="28">
        <f t="shared" si="96"/>
        <v>0</v>
      </c>
      <c r="O93" s="28">
        <f t="shared" si="96"/>
        <v>0</v>
      </c>
      <c r="P93" s="28">
        <f t="shared" si="67"/>
        <v>0</v>
      </c>
      <c r="Q93" s="28">
        <f t="shared" si="96"/>
        <v>5656</v>
      </c>
      <c r="R93" s="28">
        <f t="shared" si="96"/>
        <v>5656</v>
      </c>
      <c r="S93" s="28">
        <f t="shared" si="68"/>
        <v>0</v>
      </c>
      <c r="T93" s="28">
        <f t="shared" si="96"/>
        <v>0</v>
      </c>
      <c r="U93" s="28">
        <f t="shared" si="96"/>
        <v>0</v>
      </c>
      <c r="V93" s="28">
        <f t="shared" si="69"/>
        <v>0</v>
      </c>
      <c r="W93" s="28">
        <f t="shared" si="96"/>
        <v>0</v>
      </c>
      <c r="X93" s="28">
        <f t="shared" si="96"/>
        <v>0</v>
      </c>
      <c r="Y93" s="28">
        <f t="shared" si="70"/>
        <v>0</v>
      </c>
      <c r="Z93" s="28">
        <f t="shared" si="96"/>
        <v>0</v>
      </c>
      <c r="AA93" s="28">
        <f t="shared" si="96"/>
        <v>0</v>
      </c>
      <c r="AB93" s="28">
        <f t="shared" si="71"/>
        <v>0</v>
      </c>
    </row>
    <row r="94" spans="1:187" s="29" customFormat="1" ht="31.5" x14ac:dyDescent="0.25">
      <c r="A94" s="34" t="s">
        <v>99</v>
      </c>
      <c r="B94" s="35">
        <f t="shared" si="63"/>
        <v>7400</v>
      </c>
      <c r="C94" s="35">
        <f t="shared" si="63"/>
        <v>8318</v>
      </c>
      <c r="D94" s="35">
        <f t="shared" si="63"/>
        <v>918</v>
      </c>
      <c r="E94" s="35">
        <v>0</v>
      </c>
      <c r="F94" s="35">
        <v>0</v>
      </c>
      <c r="G94" s="35">
        <f t="shared" si="64"/>
        <v>0</v>
      </c>
      <c r="H94" s="35"/>
      <c r="I94" s="35"/>
      <c r="J94" s="35">
        <f t="shared" si="65"/>
        <v>0</v>
      </c>
      <c r="K94" s="35">
        <v>1744</v>
      </c>
      <c r="L94" s="35">
        <f>1744+918</f>
        <v>2662</v>
      </c>
      <c r="M94" s="35">
        <f t="shared" si="66"/>
        <v>918</v>
      </c>
      <c r="N94" s="35"/>
      <c r="O94" s="35"/>
      <c r="P94" s="35">
        <f t="shared" si="67"/>
        <v>0</v>
      </c>
      <c r="Q94" s="35">
        <v>5656</v>
      </c>
      <c r="R94" s="35">
        <v>5656</v>
      </c>
      <c r="S94" s="35">
        <f t="shared" si="68"/>
        <v>0</v>
      </c>
      <c r="T94" s="35"/>
      <c r="U94" s="35"/>
      <c r="V94" s="35">
        <f t="shared" si="69"/>
        <v>0</v>
      </c>
      <c r="W94" s="35"/>
      <c r="X94" s="35"/>
      <c r="Y94" s="35">
        <f t="shared" si="70"/>
        <v>0</v>
      </c>
      <c r="Z94" s="35"/>
      <c r="AA94" s="35"/>
      <c r="AB94" s="35">
        <f t="shared" si="71"/>
        <v>0</v>
      </c>
    </row>
    <row r="95" spans="1:187" s="29" customFormat="1" ht="31.5" x14ac:dyDescent="0.25">
      <c r="A95" s="27" t="s">
        <v>97</v>
      </c>
      <c r="B95" s="30">
        <f t="shared" si="63"/>
        <v>41011</v>
      </c>
      <c r="C95" s="30">
        <f t="shared" si="63"/>
        <v>41011</v>
      </c>
      <c r="D95" s="30">
        <f t="shared" si="63"/>
        <v>0</v>
      </c>
      <c r="E95" s="30">
        <f t="shared" ref="E95:AA95" si="97">SUM(E96:E99)</f>
        <v>0</v>
      </c>
      <c r="F95" s="30">
        <f t="shared" si="97"/>
        <v>0</v>
      </c>
      <c r="G95" s="30">
        <f t="shared" si="64"/>
        <v>0</v>
      </c>
      <c r="H95" s="30">
        <f t="shared" ref="H95" si="98">SUM(H96:H99)</f>
        <v>6060</v>
      </c>
      <c r="I95" s="30">
        <f t="shared" si="97"/>
        <v>6060</v>
      </c>
      <c r="J95" s="30">
        <f t="shared" si="65"/>
        <v>0</v>
      </c>
      <c r="K95" s="30">
        <f t="shared" ref="K95" si="99">SUM(K96:K99)</f>
        <v>14951</v>
      </c>
      <c r="L95" s="30">
        <f t="shared" si="97"/>
        <v>14951</v>
      </c>
      <c r="M95" s="30">
        <f t="shared" si="66"/>
        <v>0</v>
      </c>
      <c r="N95" s="30">
        <f t="shared" ref="N95" si="100">SUM(N96:N99)</f>
        <v>0</v>
      </c>
      <c r="O95" s="30">
        <f t="shared" si="97"/>
        <v>0</v>
      </c>
      <c r="P95" s="30">
        <f t="shared" si="67"/>
        <v>0</v>
      </c>
      <c r="Q95" s="30">
        <f t="shared" ref="Q95" si="101">SUM(Q96:Q99)</f>
        <v>20000</v>
      </c>
      <c r="R95" s="30">
        <f t="shared" si="97"/>
        <v>20000</v>
      </c>
      <c r="S95" s="30">
        <f t="shared" si="68"/>
        <v>0</v>
      </c>
      <c r="T95" s="30">
        <f t="shared" ref="T95" si="102">SUM(T96:T99)</f>
        <v>0</v>
      </c>
      <c r="U95" s="30">
        <f t="shared" si="97"/>
        <v>0</v>
      </c>
      <c r="V95" s="30">
        <f t="shared" si="69"/>
        <v>0</v>
      </c>
      <c r="W95" s="30">
        <f t="shared" si="97"/>
        <v>0</v>
      </c>
      <c r="X95" s="30">
        <f t="shared" si="97"/>
        <v>0</v>
      </c>
      <c r="Y95" s="30">
        <f t="shared" si="70"/>
        <v>0</v>
      </c>
      <c r="Z95" s="30">
        <f t="shared" ref="Z95" si="103">SUM(Z96:Z99)</f>
        <v>0</v>
      </c>
      <c r="AA95" s="30">
        <f t="shared" si="97"/>
        <v>0</v>
      </c>
      <c r="AB95" s="30">
        <f t="shared" si="71"/>
        <v>0</v>
      </c>
    </row>
    <row r="96" spans="1:187" s="29" customFormat="1" x14ac:dyDescent="0.25">
      <c r="A96" s="41" t="s">
        <v>100</v>
      </c>
      <c r="B96" s="35">
        <f t="shared" si="63"/>
        <v>20000</v>
      </c>
      <c r="C96" s="35">
        <f t="shared" si="63"/>
        <v>20000</v>
      </c>
      <c r="D96" s="35">
        <f t="shared" si="63"/>
        <v>0</v>
      </c>
      <c r="E96" s="35">
        <v>0</v>
      </c>
      <c r="F96" s="35">
        <v>0</v>
      </c>
      <c r="G96" s="35">
        <f t="shared" si="64"/>
        <v>0</v>
      </c>
      <c r="H96" s="35">
        <v>0</v>
      </c>
      <c r="I96" s="35">
        <v>0</v>
      </c>
      <c r="J96" s="35">
        <f t="shared" si="65"/>
        <v>0</v>
      </c>
      <c r="K96" s="35"/>
      <c r="L96" s="35"/>
      <c r="M96" s="35">
        <f t="shared" si="66"/>
        <v>0</v>
      </c>
      <c r="N96" s="35"/>
      <c r="O96" s="35"/>
      <c r="P96" s="35">
        <f t="shared" si="67"/>
        <v>0</v>
      </c>
      <c r="Q96" s="35">
        <f>10000+10000</f>
        <v>20000</v>
      </c>
      <c r="R96" s="35">
        <f>10000+10000</f>
        <v>20000</v>
      </c>
      <c r="S96" s="35">
        <f t="shared" si="68"/>
        <v>0</v>
      </c>
      <c r="T96" s="35"/>
      <c r="U96" s="35"/>
      <c r="V96" s="35">
        <f t="shared" si="69"/>
        <v>0</v>
      </c>
      <c r="W96" s="35"/>
      <c r="X96" s="35"/>
      <c r="Y96" s="35">
        <f t="shared" si="70"/>
        <v>0</v>
      </c>
      <c r="Z96" s="35"/>
      <c r="AA96" s="35"/>
      <c r="AB96" s="35">
        <f t="shared" si="71"/>
        <v>0</v>
      </c>
    </row>
    <row r="97" spans="1:187" s="29" customFormat="1" ht="31.5" x14ac:dyDescent="0.25">
      <c r="A97" s="36" t="s">
        <v>101</v>
      </c>
      <c r="B97" s="35">
        <f t="shared" si="63"/>
        <v>7993</v>
      </c>
      <c r="C97" s="35">
        <f t="shared" si="63"/>
        <v>7993</v>
      </c>
      <c r="D97" s="35">
        <f t="shared" si="63"/>
        <v>0</v>
      </c>
      <c r="E97" s="35">
        <v>0</v>
      </c>
      <c r="F97" s="35">
        <v>0</v>
      </c>
      <c r="G97" s="35">
        <f t="shared" si="64"/>
        <v>0</v>
      </c>
      <c r="H97" s="35">
        <v>0</v>
      </c>
      <c r="I97" s="35">
        <v>0</v>
      </c>
      <c r="J97" s="35">
        <f t="shared" si="65"/>
        <v>0</v>
      </c>
      <c r="K97" s="35">
        <v>7993</v>
      </c>
      <c r="L97" s="35">
        <v>7993</v>
      </c>
      <c r="M97" s="35">
        <f t="shared" si="66"/>
        <v>0</v>
      </c>
      <c r="N97" s="35">
        <v>0</v>
      </c>
      <c r="O97" s="35">
        <v>0</v>
      </c>
      <c r="P97" s="35">
        <f t="shared" si="67"/>
        <v>0</v>
      </c>
      <c r="Q97" s="35">
        <v>0</v>
      </c>
      <c r="R97" s="35">
        <v>0</v>
      </c>
      <c r="S97" s="35">
        <f t="shared" si="68"/>
        <v>0</v>
      </c>
      <c r="T97" s="35">
        <v>0</v>
      </c>
      <c r="U97" s="35">
        <v>0</v>
      </c>
      <c r="V97" s="35">
        <f t="shared" si="69"/>
        <v>0</v>
      </c>
      <c r="W97" s="35">
        <v>0</v>
      </c>
      <c r="X97" s="35">
        <v>0</v>
      </c>
      <c r="Y97" s="35">
        <f t="shared" si="70"/>
        <v>0</v>
      </c>
      <c r="Z97" s="35"/>
      <c r="AA97" s="35"/>
      <c r="AB97" s="35">
        <f t="shared" si="71"/>
        <v>0</v>
      </c>
    </row>
    <row r="98" spans="1:187" s="29" customFormat="1" ht="47.25" x14ac:dyDescent="0.25">
      <c r="A98" s="36" t="s">
        <v>102</v>
      </c>
      <c r="B98" s="35">
        <f t="shared" si="63"/>
        <v>6958</v>
      </c>
      <c r="C98" s="35">
        <f t="shared" si="63"/>
        <v>6958</v>
      </c>
      <c r="D98" s="35">
        <f t="shared" si="63"/>
        <v>0</v>
      </c>
      <c r="E98" s="35">
        <v>0</v>
      </c>
      <c r="F98" s="35">
        <v>0</v>
      </c>
      <c r="G98" s="35">
        <f t="shared" si="64"/>
        <v>0</v>
      </c>
      <c r="H98" s="35">
        <v>0</v>
      </c>
      <c r="I98" s="35">
        <v>0</v>
      </c>
      <c r="J98" s="35">
        <f t="shared" si="65"/>
        <v>0</v>
      </c>
      <c r="K98" s="35">
        <f>6958</f>
        <v>6958</v>
      </c>
      <c r="L98" s="35">
        <f>6958</f>
        <v>6958</v>
      </c>
      <c r="M98" s="35">
        <f t="shared" si="66"/>
        <v>0</v>
      </c>
      <c r="N98" s="35">
        <v>0</v>
      </c>
      <c r="O98" s="35">
        <v>0</v>
      </c>
      <c r="P98" s="35">
        <f t="shared" si="67"/>
        <v>0</v>
      </c>
      <c r="Q98" s="35">
        <v>0</v>
      </c>
      <c r="R98" s="35">
        <v>0</v>
      </c>
      <c r="S98" s="35">
        <f t="shared" si="68"/>
        <v>0</v>
      </c>
      <c r="T98" s="35">
        <v>0</v>
      </c>
      <c r="U98" s="35">
        <v>0</v>
      </c>
      <c r="V98" s="35">
        <f t="shared" si="69"/>
        <v>0</v>
      </c>
      <c r="W98" s="35">
        <v>0</v>
      </c>
      <c r="X98" s="35">
        <v>0</v>
      </c>
      <c r="Y98" s="35">
        <f t="shared" si="70"/>
        <v>0</v>
      </c>
      <c r="Z98" s="35"/>
      <c r="AA98" s="35"/>
      <c r="AB98" s="35">
        <f t="shared" si="71"/>
        <v>0</v>
      </c>
    </row>
    <row r="99" spans="1:187" s="29" customFormat="1" ht="31.5" x14ac:dyDescent="0.25">
      <c r="A99" s="34" t="s">
        <v>103</v>
      </c>
      <c r="B99" s="35">
        <f t="shared" si="63"/>
        <v>6060</v>
      </c>
      <c r="C99" s="35">
        <f t="shared" si="63"/>
        <v>6060</v>
      </c>
      <c r="D99" s="35">
        <f t="shared" si="63"/>
        <v>0</v>
      </c>
      <c r="E99" s="35">
        <v>0</v>
      </c>
      <c r="F99" s="35">
        <v>0</v>
      </c>
      <c r="G99" s="35">
        <f t="shared" si="64"/>
        <v>0</v>
      </c>
      <c r="H99" s="35">
        <v>6060</v>
      </c>
      <c r="I99" s="35">
        <v>6060</v>
      </c>
      <c r="J99" s="35">
        <f t="shared" si="65"/>
        <v>0</v>
      </c>
      <c r="K99" s="35"/>
      <c r="L99" s="35"/>
      <c r="M99" s="35">
        <f t="shared" si="66"/>
        <v>0</v>
      </c>
      <c r="N99" s="35"/>
      <c r="O99" s="35"/>
      <c r="P99" s="35">
        <f t="shared" si="67"/>
        <v>0</v>
      </c>
      <c r="Q99" s="35"/>
      <c r="R99" s="35"/>
      <c r="S99" s="35">
        <f t="shared" si="68"/>
        <v>0</v>
      </c>
      <c r="T99" s="35"/>
      <c r="U99" s="35"/>
      <c r="V99" s="35">
        <f t="shared" si="69"/>
        <v>0</v>
      </c>
      <c r="W99" s="35"/>
      <c r="X99" s="35"/>
      <c r="Y99" s="35">
        <f t="shared" si="70"/>
        <v>0</v>
      </c>
      <c r="Z99" s="35">
        <v>0</v>
      </c>
      <c r="AA99" s="35">
        <v>0</v>
      </c>
      <c r="AB99" s="35">
        <f t="shared" si="71"/>
        <v>0</v>
      </c>
    </row>
    <row r="100" spans="1:187" s="29" customFormat="1" x14ac:dyDescent="0.25">
      <c r="A100" s="27" t="s">
        <v>104</v>
      </c>
      <c r="B100" s="28">
        <f t="shared" si="63"/>
        <v>21605</v>
      </c>
      <c r="C100" s="28">
        <f t="shared" si="63"/>
        <v>21605</v>
      </c>
      <c r="D100" s="28">
        <f t="shared" si="63"/>
        <v>0</v>
      </c>
      <c r="E100" s="28">
        <f t="shared" ref="E100:AA100" si="104">SUM(E101:E103)</f>
        <v>0</v>
      </c>
      <c r="F100" s="28">
        <f t="shared" si="104"/>
        <v>0</v>
      </c>
      <c r="G100" s="28">
        <f t="shared" si="64"/>
        <v>0</v>
      </c>
      <c r="H100" s="28">
        <f t="shared" ref="H100" si="105">SUM(H101:H103)</f>
        <v>0</v>
      </c>
      <c r="I100" s="28">
        <f t="shared" si="104"/>
        <v>0</v>
      </c>
      <c r="J100" s="28">
        <f t="shared" si="65"/>
        <v>0</v>
      </c>
      <c r="K100" s="28">
        <f t="shared" ref="K100" si="106">SUM(K101:K103)</f>
        <v>19744</v>
      </c>
      <c r="L100" s="28">
        <f t="shared" si="104"/>
        <v>19744</v>
      </c>
      <c r="M100" s="28">
        <f t="shared" si="66"/>
        <v>0</v>
      </c>
      <c r="N100" s="28">
        <f t="shared" ref="N100" si="107">SUM(N101:N103)</f>
        <v>0</v>
      </c>
      <c r="O100" s="28">
        <f t="shared" si="104"/>
        <v>0</v>
      </c>
      <c r="P100" s="28">
        <f t="shared" si="67"/>
        <v>0</v>
      </c>
      <c r="Q100" s="28">
        <f t="shared" ref="Q100:R100" si="108">SUM(Q101:Q103)</f>
        <v>1861</v>
      </c>
      <c r="R100" s="28">
        <f t="shared" si="108"/>
        <v>1861</v>
      </c>
      <c r="S100" s="28">
        <f t="shared" si="68"/>
        <v>0</v>
      </c>
      <c r="T100" s="28">
        <f t="shared" ref="T100" si="109">SUM(T101:T103)</f>
        <v>0</v>
      </c>
      <c r="U100" s="28">
        <f t="shared" si="104"/>
        <v>0</v>
      </c>
      <c r="V100" s="28">
        <f t="shared" si="69"/>
        <v>0</v>
      </c>
      <c r="W100" s="28">
        <f t="shared" si="104"/>
        <v>0</v>
      </c>
      <c r="X100" s="28">
        <f t="shared" si="104"/>
        <v>0</v>
      </c>
      <c r="Y100" s="28">
        <f t="shared" si="70"/>
        <v>0</v>
      </c>
      <c r="Z100" s="28">
        <f t="shared" ref="Z100" si="110">SUM(Z101:Z103)</f>
        <v>0</v>
      </c>
      <c r="AA100" s="28">
        <f t="shared" si="104"/>
        <v>0</v>
      </c>
      <c r="AB100" s="28">
        <f t="shared" si="71"/>
        <v>0</v>
      </c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</row>
    <row r="101" spans="1:187" s="29" customFormat="1" ht="78.75" x14ac:dyDescent="0.25">
      <c r="A101" s="34" t="s">
        <v>105</v>
      </c>
      <c r="B101" s="35">
        <f t="shared" si="63"/>
        <v>19744</v>
      </c>
      <c r="C101" s="35">
        <f t="shared" si="63"/>
        <v>19744</v>
      </c>
      <c r="D101" s="35">
        <f t="shared" si="63"/>
        <v>0</v>
      </c>
      <c r="E101" s="35">
        <v>0</v>
      </c>
      <c r="F101" s="35">
        <v>0</v>
      </c>
      <c r="G101" s="35">
        <f t="shared" si="64"/>
        <v>0</v>
      </c>
      <c r="H101" s="35"/>
      <c r="I101" s="35"/>
      <c r="J101" s="35">
        <f t="shared" si="65"/>
        <v>0</v>
      </c>
      <c r="K101" s="35">
        <v>19744</v>
      </c>
      <c r="L101" s="35">
        <v>19744</v>
      </c>
      <c r="M101" s="35">
        <f t="shared" si="66"/>
        <v>0</v>
      </c>
      <c r="N101" s="35"/>
      <c r="O101" s="35"/>
      <c r="P101" s="35">
        <f t="shared" si="67"/>
        <v>0</v>
      </c>
      <c r="Q101" s="35"/>
      <c r="R101" s="35"/>
      <c r="S101" s="35">
        <f t="shared" si="68"/>
        <v>0</v>
      </c>
      <c r="T101" s="35">
        <v>0</v>
      </c>
      <c r="U101" s="35">
        <v>0</v>
      </c>
      <c r="V101" s="35">
        <f t="shared" si="69"/>
        <v>0</v>
      </c>
      <c r="W101" s="35"/>
      <c r="X101" s="35"/>
      <c r="Y101" s="35">
        <f t="shared" si="70"/>
        <v>0</v>
      </c>
      <c r="Z101" s="35"/>
      <c r="AA101" s="35"/>
      <c r="AB101" s="35">
        <f t="shared" si="71"/>
        <v>0</v>
      </c>
    </row>
    <row r="102" spans="1:187" s="29" customFormat="1" ht="31.5" x14ac:dyDescent="0.25">
      <c r="A102" s="37" t="s">
        <v>106</v>
      </c>
      <c r="B102" s="35">
        <f t="shared" si="63"/>
        <v>1593</v>
      </c>
      <c r="C102" s="35">
        <f t="shared" si="63"/>
        <v>1593</v>
      </c>
      <c r="D102" s="35">
        <f t="shared" si="63"/>
        <v>0</v>
      </c>
      <c r="E102" s="35">
        <v>0</v>
      </c>
      <c r="F102" s="35">
        <v>0</v>
      </c>
      <c r="G102" s="35">
        <f t="shared" si="64"/>
        <v>0</v>
      </c>
      <c r="H102" s="35">
        <v>0</v>
      </c>
      <c r="I102" s="35">
        <v>0</v>
      </c>
      <c r="J102" s="35">
        <f t="shared" si="65"/>
        <v>0</v>
      </c>
      <c r="K102" s="35">
        <v>0</v>
      </c>
      <c r="L102" s="35">
        <v>0</v>
      </c>
      <c r="M102" s="35">
        <f t="shared" si="66"/>
        <v>0</v>
      </c>
      <c r="N102" s="35"/>
      <c r="O102" s="35"/>
      <c r="P102" s="35">
        <f t="shared" si="67"/>
        <v>0</v>
      </c>
      <c r="Q102" s="35">
        <v>1593</v>
      </c>
      <c r="R102" s="35">
        <v>1593</v>
      </c>
      <c r="S102" s="35">
        <f t="shared" si="68"/>
        <v>0</v>
      </c>
      <c r="T102" s="35">
        <v>0</v>
      </c>
      <c r="U102" s="35">
        <v>0</v>
      </c>
      <c r="V102" s="35">
        <f t="shared" si="69"/>
        <v>0</v>
      </c>
      <c r="W102" s="35"/>
      <c r="X102" s="35"/>
      <c r="Y102" s="35">
        <f t="shared" si="70"/>
        <v>0</v>
      </c>
      <c r="Z102" s="35"/>
      <c r="AA102" s="35"/>
      <c r="AB102" s="35">
        <f t="shared" si="71"/>
        <v>0</v>
      </c>
    </row>
    <row r="103" spans="1:187" s="29" customFormat="1" ht="31.5" x14ac:dyDescent="0.25">
      <c r="A103" s="37" t="s">
        <v>107</v>
      </c>
      <c r="B103" s="35">
        <f t="shared" si="63"/>
        <v>268</v>
      </c>
      <c r="C103" s="35">
        <f t="shared" si="63"/>
        <v>268</v>
      </c>
      <c r="D103" s="35">
        <f t="shared" si="63"/>
        <v>0</v>
      </c>
      <c r="E103" s="35">
        <v>0</v>
      </c>
      <c r="F103" s="35">
        <v>0</v>
      </c>
      <c r="G103" s="35">
        <f t="shared" si="64"/>
        <v>0</v>
      </c>
      <c r="H103" s="35">
        <v>0</v>
      </c>
      <c r="I103" s="35">
        <v>0</v>
      </c>
      <c r="J103" s="35">
        <f t="shared" si="65"/>
        <v>0</v>
      </c>
      <c r="K103" s="35">
        <v>0</v>
      </c>
      <c r="L103" s="35">
        <v>0</v>
      </c>
      <c r="M103" s="35">
        <f t="shared" si="66"/>
        <v>0</v>
      </c>
      <c r="N103" s="35"/>
      <c r="O103" s="35"/>
      <c r="P103" s="35">
        <f t="shared" si="67"/>
        <v>0</v>
      </c>
      <c r="Q103" s="35">
        <v>268</v>
      </c>
      <c r="R103" s="35">
        <v>268</v>
      </c>
      <c r="S103" s="35">
        <f t="shared" si="68"/>
        <v>0</v>
      </c>
      <c r="T103" s="35">
        <f>3019-3019</f>
        <v>0</v>
      </c>
      <c r="U103" s="35">
        <f>3019-3019</f>
        <v>0</v>
      </c>
      <c r="V103" s="35">
        <f t="shared" si="69"/>
        <v>0</v>
      </c>
      <c r="W103" s="35"/>
      <c r="X103" s="35"/>
      <c r="Y103" s="35">
        <f t="shared" si="70"/>
        <v>0</v>
      </c>
      <c r="Z103" s="35"/>
      <c r="AA103" s="35"/>
      <c r="AB103" s="35">
        <f t="shared" si="71"/>
        <v>0</v>
      </c>
    </row>
    <row r="104" spans="1:187" s="29" customFormat="1" x14ac:dyDescent="0.25">
      <c r="A104" s="27" t="s">
        <v>51</v>
      </c>
      <c r="B104" s="28">
        <f t="shared" si="63"/>
        <v>3200228</v>
      </c>
      <c r="C104" s="28">
        <f t="shared" si="63"/>
        <v>3204148</v>
      </c>
      <c r="D104" s="28">
        <f t="shared" si="63"/>
        <v>3920</v>
      </c>
      <c r="E104" s="28">
        <f t="shared" ref="E104:AA104" si="111">SUM(E105,E119,E128,E116)</f>
        <v>0</v>
      </c>
      <c r="F104" s="28">
        <f t="shared" si="111"/>
        <v>0</v>
      </c>
      <c r="G104" s="28">
        <f t="shared" si="64"/>
        <v>0</v>
      </c>
      <c r="H104" s="28">
        <f t="shared" ref="H104" si="112">SUM(H105,H119,H128,H116)</f>
        <v>0</v>
      </c>
      <c r="I104" s="28">
        <f t="shared" si="111"/>
        <v>0</v>
      </c>
      <c r="J104" s="28">
        <f t="shared" si="65"/>
        <v>0</v>
      </c>
      <c r="K104" s="28">
        <f t="shared" ref="K104" si="113">SUM(K105,K119,K128,K116)</f>
        <v>24552</v>
      </c>
      <c r="L104" s="28">
        <f t="shared" si="111"/>
        <v>26932</v>
      </c>
      <c r="M104" s="28">
        <f t="shared" si="66"/>
        <v>2380</v>
      </c>
      <c r="N104" s="28">
        <f t="shared" ref="N104" si="114">SUM(N105,N119,N128,N116)</f>
        <v>23104</v>
      </c>
      <c r="O104" s="28">
        <f t="shared" si="111"/>
        <v>24644</v>
      </c>
      <c r="P104" s="28">
        <f t="shared" si="67"/>
        <v>1540</v>
      </c>
      <c r="Q104" s="28">
        <f t="shared" ref="Q104" si="115">SUM(Q105,Q119,Q128,Q116)</f>
        <v>180972</v>
      </c>
      <c r="R104" s="28">
        <f t="shared" si="111"/>
        <v>180972</v>
      </c>
      <c r="S104" s="28">
        <f t="shared" si="68"/>
        <v>0</v>
      </c>
      <c r="T104" s="28">
        <f t="shared" ref="T104" si="116">SUM(T105,T119,T128,T116)</f>
        <v>0</v>
      </c>
      <c r="U104" s="28">
        <f t="shared" si="111"/>
        <v>0</v>
      </c>
      <c r="V104" s="28">
        <f t="shared" si="69"/>
        <v>0</v>
      </c>
      <c r="W104" s="28">
        <f t="shared" si="111"/>
        <v>0</v>
      </c>
      <c r="X104" s="28">
        <f t="shared" si="111"/>
        <v>0</v>
      </c>
      <c r="Y104" s="28">
        <f t="shared" si="70"/>
        <v>0</v>
      </c>
      <c r="Z104" s="28">
        <f t="shared" ref="Z104" si="117">SUM(Z105,Z119,Z128,Z116)</f>
        <v>2971600</v>
      </c>
      <c r="AA104" s="28">
        <f t="shared" si="111"/>
        <v>2971600</v>
      </c>
      <c r="AB104" s="28">
        <f t="shared" si="71"/>
        <v>0</v>
      </c>
    </row>
    <row r="105" spans="1:187" s="29" customFormat="1" x14ac:dyDescent="0.25">
      <c r="A105" s="27" t="s">
        <v>91</v>
      </c>
      <c r="B105" s="28">
        <f t="shared" si="63"/>
        <v>95132</v>
      </c>
      <c r="C105" s="28">
        <f t="shared" si="63"/>
        <v>95132</v>
      </c>
      <c r="D105" s="28">
        <f t="shared" si="63"/>
        <v>0</v>
      </c>
      <c r="E105" s="28">
        <f t="shared" ref="E105:AA105" si="118">SUM(E106:E115)</f>
        <v>0</v>
      </c>
      <c r="F105" s="28">
        <f t="shared" si="118"/>
        <v>0</v>
      </c>
      <c r="G105" s="28">
        <f t="shared" si="64"/>
        <v>0</v>
      </c>
      <c r="H105" s="28">
        <f t="shared" ref="H105" si="119">SUM(H106:H115)</f>
        <v>0</v>
      </c>
      <c r="I105" s="28">
        <f t="shared" si="118"/>
        <v>0</v>
      </c>
      <c r="J105" s="28">
        <f t="shared" si="65"/>
        <v>0</v>
      </c>
      <c r="K105" s="28">
        <f t="shared" ref="K105" si="120">SUM(K106:K115)</f>
        <v>9814</v>
      </c>
      <c r="L105" s="28">
        <f t="shared" si="118"/>
        <v>9814</v>
      </c>
      <c r="M105" s="28">
        <f t="shared" si="66"/>
        <v>0</v>
      </c>
      <c r="N105" s="28">
        <f t="shared" ref="N105" si="121">SUM(N106:N115)</f>
        <v>7250</v>
      </c>
      <c r="O105" s="28">
        <f t="shared" si="118"/>
        <v>7250</v>
      </c>
      <c r="P105" s="28">
        <f t="shared" si="67"/>
        <v>0</v>
      </c>
      <c r="Q105" s="28">
        <f t="shared" ref="Q105" si="122">SUM(Q106:Q115)</f>
        <v>78068</v>
      </c>
      <c r="R105" s="28">
        <f t="shared" si="118"/>
        <v>78068</v>
      </c>
      <c r="S105" s="28">
        <f t="shared" si="68"/>
        <v>0</v>
      </c>
      <c r="T105" s="28">
        <f t="shared" ref="T105" si="123">SUM(T106:T115)</f>
        <v>0</v>
      </c>
      <c r="U105" s="28">
        <f t="shared" si="118"/>
        <v>0</v>
      </c>
      <c r="V105" s="28">
        <f t="shared" si="69"/>
        <v>0</v>
      </c>
      <c r="W105" s="28">
        <f t="shared" si="118"/>
        <v>0</v>
      </c>
      <c r="X105" s="28">
        <f t="shared" si="118"/>
        <v>0</v>
      </c>
      <c r="Y105" s="28">
        <f t="shared" si="70"/>
        <v>0</v>
      </c>
      <c r="Z105" s="28">
        <f t="shared" ref="Z105" si="124">SUM(Z106:Z115)</f>
        <v>0</v>
      </c>
      <c r="AA105" s="28">
        <f t="shared" si="118"/>
        <v>0</v>
      </c>
      <c r="AB105" s="28">
        <f t="shared" si="71"/>
        <v>0</v>
      </c>
    </row>
    <row r="106" spans="1:187" s="26" customFormat="1" ht="47.25" x14ac:dyDescent="0.25">
      <c r="A106" s="34" t="s">
        <v>108</v>
      </c>
      <c r="B106" s="35">
        <f t="shared" si="63"/>
        <v>8814</v>
      </c>
      <c r="C106" s="35">
        <f t="shared" si="63"/>
        <v>8814</v>
      </c>
      <c r="D106" s="35">
        <f t="shared" si="63"/>
        <v>0</v>
      </c>
      <c r="E106" s="35">
        <v>0</v>
      </c>
      <c r="F106" s="35">
        <v>0</v>
      </c>
      <c r="G106" s="35">
        <f t="shared" si="64"/>
        <v>0</v>
      </c>
      <c r="H106" s="35"/>
      <c r="I106" s="35"/>
      <c r="J106" s="35">
        <f t="shared" si="65"/>
        <v>0</v>
      </c>
      <c r="K106" s="35">
        <v>0</v>
      </c>
      <c r="L106" s="35">
        <v>0</v>
      </c>
      <c r="M106" s="35">
        <f t="shared" si="66"/>
        <v>0</v>
      </c>
      <c r="N106" s="35"/>
      <c r="O106" s="35"/>
      <c r="P106" s="35">
        <f t="shared" si="67"/>
        <v>0</v>
      </c>
      <c r="Q106" s="35">
        <v>8814</v>
      </c>
      <c r="R106" s="35">
        <v>8814</v>
      </c>
      <c r="S106" s="35">
        <f t="shared" si="68"/>
        <v>0</v>
      </c>
      <c r="T106" s="35">
        <v>0</v>
      </c>
      <c r="U106" s="35">
        <v>0</v>
      </c>
      <c r="V106" s="35">
        <f t="shared" si="69"/>
        <v>0</v>
      </c>
      <c r="W106" s="35"/>
      <c r="X106" s="35"/>
      <c r="Y106" s="35">
        <f t="shared" si="70"/>
        <v>0</v>
      </c>
      <c r="Z106" s="35"/>
      <c r="AA106" s="35"/>
      <c r="AB106" s="35">
        <f t="shared" si="71"/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</row>
    <row r="107" spans="1:187" s="26" customFormat="1" ht="47.25" x14ac:dyDescent="0.25">
      <c r="A107" s="34" t="s">
        <v>109</v>
      </c>
      <c r="B107" s="35">
        <f t="shared" si="63"/>
        <v>19999</v>
      </c>
      <c r="C107" s="35">
        <f t="shared" si="63"/>
        <v>19999</v>
      </c>
      <c r="D107" s="35">
        <f t="shared" si="63"/>
        <v>0</v>
      </c>
      <c r="E107" s="35">
        <v>0</v>
      </c>
      <c r="F107" s="35">
        <v>0</v>
      </c>
      <c r="G107" s="35">
        <f t="shared" si="64"/>
        <v>0</v>
      </c>
      <c r="H107" s="35"/>
      <c r="I107" s="35"/>
      <c r="J107" s="35">
        <f t="shared" si="65"/>
        <v>0</v>
      </c>
      <c r="K107" s="35">
        <v>0</v>
      </c>
      <c r="L107" s="35">
        <v>0</v>
      </c>
      <c r="M107" s="35">
        <f t="shared" si="66"/>
        <v>0</v>
      </c>
      <c r="N107" s="35"/>
      <c r="O107" s="35"/>
      <c r="P107" s="35">
        <f t="shared" si="67"/>
        <v>0</v>
      </c>
      <c r="Q107" s="35">
        <v>19999</v>
      </c>
      <c r="R107" s="35">
        <v>19999</v>
      </c>
      <c r="S107" s="35">
        <f t="shared" si="68"/>
        <v>0</v>
      </c>
      <c r="T107" s="35">
        <v>0</v>
      </c>
      <c r="U107" s="35">
        <v>0</v>
      </c>
      <c r="V107" s="35">
        <f t="shared" si="69"/>
        <v>0</v>
      </c>
      <c r="W107" s="35"/>
      <c r="X107" s="35"/>
      <c r="Y107" s="35">
        <f t="shared" si="70"/>
        <v>0</v>
      </c>
      <c r="Z107" s="35"/>
      <c r="AA107" s="35"/>
      <c r="AB107" s="35">
        <f t="shared" si="71"/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</row>
    <row r="108" spans="1:187" s="26" customFormat="1" ht="31.5" x14ac:dyDescent="0.25">
      <c r="A108" s="34" t="s">
        <v>110</v>
      </c>
      <c r="B108" s="35">
        <f t="shared" si="63"/>
        <v>3280</v>
      </c>
      <c r="C108" s="35">
        <f t="shared" si="63"/>
        <v>3280</v>
      </c>
      <c r="D108" s="35">
        <f t="shared" si="63"/>
        <v>0</v>
      </c>
      <c r="E108" s="35">
        <v>0</v>
      </c>
      <c r="F108" s="35">
        <v>0</v>
      </c>
      <c r="G108" s="35">
        <f t="shared" si="64"/>
        <v>0</v>
      </c>
      <c r="H108" s="35"/>
      <c r="I108" s="35"/>
      <c r="J108" s="35">
        <f t="shared" si="65"/>
        <v>0</v>
      </c>
      <c r="K108" s="35">
        <v>0</v>
      </c>
      <c r="L108" s="35">
        <v>0</v>
      </c>
      <c r="M108" s="35">
        <f t="shared" si="66"/>
        <v>0</v>
      </c>
      <c r="N108" s="35"/>
      <c r="O108" s="35"/>
      <c r="P108" s="35">
        <f t="shared" si="67"/>
        <v>0</v>
      </c>
      <c r="Q108" s="35">
        <v>3280</v>
      </c>
      <c r="R108" s="35">
        <v>3280</v>
      </c>
      <c r="S108" s="35">
        <f t="shared" si="68"/>
        <v>0</v>
      </c>
      <c r="T108" s="35">
        <v>0</v>
      </c>
      <c r="U108" s="35">
        <v>0</v>
      </c>
      <c r="V108" s="35">
        <f t="shared" si="69"/>
        <v>0</v>
      </c>
      <c r="W108" s="35"/>
      <c r="X108" s="35"/>
      <c r="Y108" s="35">
        <f t="shared" si="70"/>
        <v>0</v>
      </c>
      <c r="Z108" s="35"/>
      <c r="AA108" s="35"/>
      <c r="AB108" s="35">
        <f t="shared" si="71"/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</row>
    <row r="109" spans="1:187" s="26" customFormat="1" ht="47.25" x14ac:dyDescent="0.25">
      <c r="A109" s="34" t="s">
        <v>111</v>
      </c>
      <c r="B109" s="35">
        <f t="shared" si="63"/>
        <v>24632</v>
      </c>
      <c r="C109" s="35">
        <f t="shared" si="63"/>
        <v>24632</v>
      </c>
      <c r="D109" s="35">
        <f t="shared" si="63"/>
        <v>0</v>
      </c>
      <c r="E109" s="35">
        <v>0</v>
      </c>
      <c r="F109" s="35">
        <v>0</v>
      </c>
      <c r="G109" s="35">
        <f t="shared" si="64"/>
        <v>0</v>
      </c>
      <c r="H109" s="35"/>
      <c r="I109" s="35"/>
      <c r="J109" s="35">
        <f t="shared" si="65"/>
        <v>0</v>
      </c>
      <c r="K109" s="35">
        <v>0</v>
      </c>
      <c r="L109" s="35">
        <v>0</v>
      </c>
      <c r="M109" s="35">
        <f t="shared" si="66"/>
        <v>0</v>
      </c>
      <c r="N109" s="35"/>
      <c r="O109" s="35"/>
      <c r="P109" s="35">
        <f t="shared" si="67"/>
        <v>0</v>
      </c>
      <c r="Q109" s="35">
        <v>24632</v>
      </c>
      <c r="R109" s="35">
        <v>24632</v>
      </c>
      <c r="S109" s="35">
        <f t="shared" si="68"/>
        <v>0</v>
      </c>
      <c r="T109" s="35">
        <v>0</v>
      </c>
      <c r="U109" s="35">
        <v>0</v>
      </c>
      <c r="V109" s="35">
        <f t="shared" si="69"/>
        <v>0</v>
      </c>
      <c r="W109" s="35"/>
      <c r="X109" s="35"/>
      <c r="Y109" s="35">
        <f t="shared" si="70"/>
        <v>0</v>
      </c>
      <c r="Z109" s="35"/>
      <c r="AA109" s="35"/>
      <c r="AB109" s="35">
        <f t="shared" si="71"/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</row>
    <row r="110" spans="1:187" s="26" customFormat="1" ht="31.5" x14ac:dyDescent="0.25">
      <c r="A110" s="34" t="s">
        <v>112</v>
      </c>
      <c r="B110" s="35">
        <f t="shared" si="63"/>
        <v>18343</v>
      </c>
      <c r="C110" s="35">
        <f t="shared" si="63"/>
        <v>18343</v>
      </c>
      <c r="D110" s="35">
        <f t="shared" si="63"/>
        <v>0</v>
      </c>
      <c r="E110" s="35">
        <v>0</v>
      </c>
      <c r="F110" s="35">
        <v>0</v>
      </c>
      <c r="G110" s="35">
        <f t="shared" si="64"/>
        <v>0</v>
      </c>
      <c r="H110" s="35"/>
      <c r="I110" s="35"/>
      <c r="J110" s="35">
        <f t="shared" si="65"/>
        <v>0</v>
      </c>
      <c r="K110" s="35">
        <v>0</v>
      </c>
      <c r="L110" s="35">
        <v>0</v>
      </c>
      <c r="M110" s="35">
        <f t="shared" si="66"/>
        <v>0</v>
      </c>
      <c r="N110" s="35"/>
      <c r="O110" s="35"/>
      <c r="P110" s="35">
        <f t="shared" si="67"/>
        <v>0</v>
      </c>
      <c r="Q110" s="35">
        <v>18343</v>
      </c>
      <c r="R110" s="35">
        <v>18343</v>
      </c>
      <c r="S110" s="35">
        <f t="shared" si="68"/>
        <v>0</v>
      </c>
      <c r="T110" s="35">
        <v>0</v>
      </c>
      <c r="U110" s="35">
        <v>0</v>
      </c>
      <c r="V110" s="35">
        <f t="shared" si="69"/>
        <v>0</v>
      </c>
      <c r="W110" s="35"/>
      <c r="X110" s="35"/>
      <c r="Y110" s="35">
        <f t="shared" si="70"/>
        <v>0</v>
      </c>
      <c r="Z110" s="35"/>
      <c r="AA110" s="35"/>
      <c r="AB110" s="35">
        <f t="shared" si="71"/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</row>
    <row r="111" spans="1:187" s="26" customFormat="1" ht="63" x14ac:dyDescent="0.25">
      <c r="A111" s="34" t="s">
        <v>113</v>
      </c>
      <c r="B111" s="35">
        <f t="shared" si="63"/>
        <v>1250</v>
      </c>
      <c r="C111" s="35">
        <f t="shared" si="63"/>
        <v>1250</v>
      </c>
      <c r="D111" s="35">
        <f t="shared" si="63"/>
        <v>0</v>
      </c>
      <c r="E111" s="35">
        <v>0</v>
      </c>
      <c r="F111" s="35">
        <v>0</v>
      </c>
      <c r="G111" s="35">
        <f t="shared" si="64"/>
        <v>0</v>
      </c>
      <c r="H111" s="35"/>
      <c r="I111" s="35"/>
      <c r="J111" s="35">
        <f t="shared" si="65"/>
        <v>0</v>
      </c>
      <c r="K111" s="35">
        <v>0</v>
      </c>
      <c r="L111" s="35">
        <v>0</v>
      </c>
      <c r="M111" s="35">
        <f t="shared" si="66"/>
        <v>0</v>
      </c>
      <c r="N111" s="35">
        <v>1250</v>
      </c>
      <c r="O111" s="35">
        <v>1250</v>
      </c>
      <c r="P111" s="35">
        <f t="shared" si="67"/>
        <v>0</v>
      </c>
      <c r="Q111" s="35"/>
      <c r="R111" s="35"/>
      <c r="S111" s="35">
        <f t="shared" si="68"/>
        <v>0</v>
      </c>
      <c r="T111" s="35">
        <v>0</v>
      </c>
      <c r="U111" s="35">
        <v>0</v>
      </c>
      <c r="V111" s="35">
        <f t="shared" si="69"/>
        <v>0</v>
      </c>
      <c r="W111" s="35"/>
      <c r="X111" s="35"/>
      <c r="Y111" s="35">
        <f t="shared" si="70"/>
        <v>0</v>
      </c>
      <c r="Z111" s="35"/>
      <c r="AA111" s="35"/>
      <c r="AB111" s="35">
        <f t="shared" si="71"/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</row>
    <row r="112" spans="1:187" s="29" customFormat="1" ht="31.5" x14ac:dyDescent="0.25">
      <c r="A112" s="34" t="s">
        <v>114</v>
      </c>
      <c r="B112" s="35">
        <f t="shared" si="63"/>
        <v>1500</v>
      </c>
      <c r="C112" s="35">
        <f t="shared" si="63"/>
        <v>1500</v>
      </c>
      <c r="D112" s="35">
        <f t="shared" si="63"/>
        <v>0</v>
      </c>
      <c r="E112" s="35">
        <v>0</v>
      </c>
      <c r="F112" s="35">
        <v>0</v>
      </c>
      <c r="G112" s="35">
        <f t="shared" si="64"/>
        <v>0</v>
      </c>
      <c r="H112" s="35"/>
      <c r="I112" s="35"/>
      <c r="J112" s="35">
        <f t="shared" si="65"/>
        <v>0</v>
      </c>
      <c r="K112" s="35">
        <v>1500</v>
      </c>
      <c r="L112" s="35">
        <v>1500</v>
      </c>
      <c r="M112" s="35">
        <f t="shared" si="66"/>
        <v>0</v>
      </c>
      <c r="N112" s="35"/>
      <c r="O112" s="35"/>
      <c r="P112" s="35">
        <f t="shared" si="67"/>
        <v>0</v>
      </c>
      <c r="Q112" s="35">
        <v>0</v>
      </c>
      <c r="R112" s="35">
        <v>0</v>
      </c>
      <c r="S112" s="35">
        <f t="shared" si="68"/>
        <v>0</v>
      </c>
      <c r="T112" s="35"/>
      <c r="U112" s="35"/>
      <c r="V112" s="35">
        <f t="shared" si="69"/>
        <v>0</v>
      </c>
      <c r="W112" s="35"/>
      <c r="X112" s="35"/>
      <c r="Y112" s="35">
        <f t="shared" si="70"/>
        <v>0</v>
      </c>
      <c r="Z112" s="35"/>
      <c r="AA112" s="35"/>
      <c r="AB112" s="35">
        <f t="shared" si="71"/>
        <v>0</v>
      </c>
    </row>
    <row r="113" spans="1:187" s="29" customFormat="1" ht="31.5" x14ac:dyDescent="0.25">
      <c r="A113" s="34" t="s">
        <v>115</v>
      </c>
      <c r="B113" s="35">
        <f t="shared" si="63"/>
        <v>8314</v>
      </c>
      <c r="C113" s="35">
        <f t="shared" si="63"/>
        <v>8314</v>
      </c>
      <c r="D113" s="35">
        <f t="shared" si="63"/>
        <v>0</v>
      </c>
      <c r="E113" s="35">
        <v>0</v>
      </c>
      <c r="F113" s="35">
        <v>0</v>
      </c>
      <c r="G113" s="35">
        <f t="shared" si="64"/>
        <v>0</v>
      </c>
      <c r="H113" s="35"/>
      <c r="I113" s="35"/>
      <c r="J113" s="35">
        <f t="shared" si="65"/>
        <v>0</v>
      </c>
      <c r="K113" s="35">
        <f>3660+4654</f>
        <v>8314</v>
      </c>
      <c r="L113" s="35">
        <f>3660+4654</f>
        <v>8314</v>
      </c>
      <c r="M113" s="35">
        <f t="shared" si="66"/>
        <v>0</v>
      </c>
      <c r="N113" s="35"/>
      <c r="O113" s="35"/>
      <c r="P113" s="35">
        <f t="shared" si="67"/>
        <v>0</v>
      </c>
      <c r="Q113" s="35">
        <v>0</v>
      </c>
      <c r="R113" s="35">
        <v>0</v>
      </c>
      <c r="S113" s="35">
        <f t="shared" si="68"/>
        <v>0</v>
      </c>
      <c r="T113" s="35"/>
      <c r="U113" s="35"/>
      <c r="V113" s="35">
        <f t="shared" si="69"/>
        <v>0</v>
      </c>
      <c r="W113" s="35"/>
      <c r="X113" s="35"/>
      <c r="Y113" s="35">
        <f t="shared" si="70"/>
        <v>0</v>
      </c>
      <c r="Z113" s="35"/>
      <c r="AA113" s="35"/>
      <c r="AB113" s="35">
        <f t="shared" si="71"/>
        <v>0</v>
      </c>
    </row>
    <row r="114" spans="1:187" s="29" customFormat="1" ht="63" x14ac:dyDescent="0.25">
      <c r="A114" s="34" t="s">
        <v>116</v>
      </c>
      <c r="B114" s="35">
        <f t="shared" si="63"/>
        <v>6000</v>
      </c>
      <c r="C114" s="35">
        <f t="shared" si="63"/>
        <v>6000</v>
      </c>
      <c r="D114" s="35">
        <f t="shared" si="63"/>
        <v>0</v>
      </c>
      <c r="E114" s="35">
        <v>0</v>
      </c>
      <c r="F114" s="35">
        <v>0</v>
      </c>
      <c r="G114" s="35">
        <f t="shared" si="64"/>
        <v>0</v>
      </c>
      <c r="H114" s="35"/>
      <c r="I114" s="35"/>
      <c r="J114" s="35">
        <f t="shared" si="65"/>
        <v>0</v>
      </c>
      <c r="K114" s="35">
        <v>0</v>
      </c>
      <c r="L114" s="35">
        <v>0</v>
      </c>
      <c r="M114" s="35">
        <f t="shared" si="66"/>
        <v>0</v>
      </c>
      <c r="N114" s="35">
        <v>6000</v>
      </c>
      <c r="O114" s="35">
        <v>6000</v>
      </c>
      <c r="P114" s="35">
        <f t="shared" si="67"/>
        <v>0</v>
      </c>
      <c r="Q114" s="35">
        <v>0</v>
      </c>
      <c r="R114" s="35">
        <v>0</v>
      </c>
      <c r="S114" s="35">
        <f t="shared" si="68"/>
        <v>0</v>
      </c>
      <c r="T114" s="35"/>
      <c r="U114" s="35"/>
      <c r="V114" s="35">
        <f t="shared" si="69"/>
        <v>0</v>
      </c>
      <c r="W114" s="35"/>
      <c r="X114" s="35"/>
      <c r="Y114" s="35">
        <f t="shared" si="70"/>
        <v>0</v>
      </c>
      <c r="Z114" s="35"/>
      <c r="AA114" s="35"/>
      <c r="AB114" s="35">
        <f t="shared" si="71"/>
        <v>0</v>
      </c>
    </row>
    <row r="115" spans="1:187" s="26" customFormat="1" x14ac:dyDescent="0.25">
      <c r="A115" s="34" t="s">
        <v>117</v>
      </c>
      <c r="B115" s="35">
        <f t="shared" si="63"/>
        <v>3000</v>
      </c>
      <c r="C115" s="35">
        <f t="shared" si="63"/>
        <v>3000</v>
      </c>
      <c r="D115" s="35">
        <f t="shared" si="63"/>
        <v>0</v>
      </c>
      <c r="E115" s="35">
        <v>0</v>
      </c>
      <c r="F115" s="35">
        <v>0</v>
      </c>
      <c r="G115" s="35">
        <f t="shared" si="64"/>
        <v>0</v>
      </c>
      <c r="H115" s="35"/>
      <c r="I115" s="35"/>
      <c r="J115" s="35">
        <f t="shared" si="65"/>
        <v>0</v>
      </c>
      <c r="K115" s="35">
        <v>0</v>
      </c>
      <c r="L115" s="35">
        <v>0</v>
      </c>
      <c r="M115" s="35">
        <f t="shared" si="66"/>
        <v>0</v>
      </c>
      <c r="N115" s="35"/>
      <c r="O115" s="35"/>
      <c r="P115" s="35">
        <f t="shared" si="67"/>
        <v>0</v>
      </c>
      <c r="Q115" s="35">
        <v>3000</v>
      </c>
      <c r="R115" s="35">
        <v>3000</v>
      </c>
      <c r="S115" s="35">
        <f t="shared" si="68"/>
        <v>0</v>
      </c>
      <c r="T115" s="35">
        <v>0</v>
      </c>
      <c r="U115" s="35">
        <v>0</v>
      </c>
      <c r="V115" s="35">
        <f t="shared" si="69"/>
        <v>0</v>
      </c>
      <c r="W115" s="35"/>
      <c r="X115" s="35"/>
      <c r="Y115" s="35">
        <f t="shared" si="70"/>
        <v>0</v>
      </c>
      <c r="Z115" s="35"/>
      <c r="AA115" s="35"/>
      <c r="AB115" s="35">
        <f t="shared" si="71"/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</row>
    <row r="116" spans="1:187" s="29" customFormat="1" x14ac:dyDescent="0.25">
      <c r="A116" s="27" t="s">
        <v>95</v>
      </c>
      <c r="B116" s="28">
        <f t="shared" si="63"/>
        <v>2976580</v>
      </c>
      <c r="C116" s="28">
        <f t="shared" si="63"/>
        <v>2976580</v>
      </c>
      <c r="D116" s="28">
        <f t="shared" si="63"/>
        <v>0</v>
      </c>
      <c r="E116" s="28">
        <f>SUM(E117:E118)</f>
        <v>0</v>
      </c>
      <c r="F116" s="28">
        <f>SUM(F117:F118)</f>
        <v>0</v>
      </c>
      <c r="G116" s="28">
        <f t="shared" si="64"/>
        <v>0</v>
      </c>
      <c r="H116" s="28">
        <f t="shared" ref="H116:I116" si="125">SUM(H117:H118)</f>
        <v>0</v>
      </c>
      <c r="I116" s="28">
        <f t="shared" si="125"/>
        <v>0</v>
      </c>
      <c r="J116" s="28">
        <f t="shared" si="65"/>
        <v>0</v>
      </c>
      <c r="K116" s="28">
        <f t="shared" ref="K116:L116" si="126">SUM(K117:K118)</f>
        <v>4980</v>
      </c>
      <c r="L116" s="28">
        <f t="shared" si="126"/>
        <v>4980</v>
      </c>
      <c r="M116" s="28">
        <f t="shared" si="66"/>
        <v>0</v>
      </c>
      <c r="N116" s="28">
        <f t="shared" ref="N116:O116" si="127">SUM(N117:N118)</f>
        <v>0</v>
      </c>
      <c r="O116" s="28">
        <f t="shared" si="127"/>
        <v>0</v>
      </c>
      <c r="P116" s="28">
        <f t="shared" si="67"/>
        <v>0</v>
      </c>
      <c r="Q116" s="28">
        <f t="shared" ref="Q116:R116" si="128">SUM(Q117:Q118)</f>
        <v>0</v>
      </c>
      <c r="R116" s="28">
        <f t="shared" si="128"/>
        <v>0</v>
      </c>
      <c r="S116" s="28">
        <f t="shared" si="68"/>
        <v>0</v>
      </c>
      <c r="T116" s="28">
        <f t="shared" ref="T116:U116" si="129">SUM(T117:T118)</f>
        <v>0</v>
      </c>
      <c r="U116" s="28">
        <f t="shared" si="129"/>
        <v>0</v>
      </c>
      <c r="V116" s="28">
        <f t="shared" si="69"/>
        <v>0</v>
      </c>
      <c r="W116" s="28">
        <f t="shared" ref="W116:X116" si="130">SUM(W117:W118)</f>
        <v>0</v>
      </c>
      <c r="X116" s="28">
        <f t="shared" si="130"/>
        <v>0</v>
      </c>
      <c r="Y116" s="28">
        <f t="shared" si="70"/>
        <v>0</v>
      </c>
      <c r="Z116" s="28">
        <f t="shared" ref="Z116:AA116" si="131">SUM(Z117:Z118)</f>
        <v>2971600</v>
      </c>
      <c r="AA116" s="28">
        <f t="shared" si="131"/>
        <v>2971600</v>
      </c>
      <c r="AB116" s="28">
        <f t="shared" si="71"/>
        <v>0</v>
      </c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</row>
    <row r="117" spans="1:187" s="29" customFormat="1" x14ac:dyDescent="0.25">
      <c r="A117" s="34" t="s">
        <v>118</v>
      </c>
      <c r="B117" s="35">
        <f t="shared" si="63"/>
        <v>2971600</v>
      </c>
      <c r="C117" s="35">
        <f t="shared" si="63"/>
        <v>2971600</v>
      </c>
      <c r="D117" s="35">
        <f t="shared" si="63"/>
        <v>0</v>
      </c>
      <c r="E117" s="35">
        <v>0</v>
      </c>
      <c r="F117" s="35">
        <v>0</v>
      </c>
      <c r="G117" s="35">
        <f t="shared" si="64"/>
        <v>0</v>
      </c>
      <c r="H117" s="35"/>
      <c r="I117" s="35"/>
      <c r="J117" s="35">
        <f t="shared" si="65"/>
        <v>0</v>
      </c>
      <c r="K117" s="35">
        <v>0</v>
      </c>
      <c r="L117" s="35">
        <v>0</v>
      </c>
      <c r="M117" s="35">
        <f t="shared" si="66"/>
        <v>0</v>
      </c>
      <c r="N117" s="35">
        <v>0</v>
      </c>
      <c r="O117" s="35">
        <v>0</v>
      </c>
      <c r="P117" s="35">
        <f t="shared" si="67"/>
        <v>0</v>
      </c>
      <c r="Q117" s="35"/>
      <c r="R117" s="35"/>
      <c r="S117" s="35">
        <f t="shared" si="68"/>
        <v>0</v>
      </c>
      <c r="T117" s="35">
        <v>0</v>
      </c>
      <c r="U117" s="35">
        <v>0</v>
      </c>
      <c r="V117" s="35">
        <f t="shared" si="69"/>
        <v>0</v>
      </c>
      <c r="W117" s="35"/>
      <c r="X117" s="35"/>
      <c r="Y117" s="35">
        <f t="shared" si="70"/>
        <v>0</v>
      </c>
      <c r="Z117" s="35">
        <v>2971600</v>
      </c>
      <c r="AA117" s="35">
        <v>2971600</v>
      </c>
      <c r="AB117" s="35">
        <f t="shared" si="71"/>
        <v>0</v>
      </c>
    </row>
    <row r="118" spans="1:187" s="29" customFormat="1" ht="31.5" x14ac:dyDescent="0.25">
      <c r="A118" s="34" t="s">
        <v>119</v>
      </c>
      <c r="B118" s="35">
        <f t="shared" si="63"/>
        <v>4980</v>
      </c>
      <c r="C118" s="35">
        <f t="shared" si="63"/>
        <v>4980</v>
      </c>
      <c r="D118" s="35">
        <f t="shared" si="63"/>
        <v>0</v>
      </c>
      <c r="E118" s="35">
        <v>0</v>
      </c>
      <c r="F118" s="35">
        <v>0</v>
      </c>
      <c r="G118" s="35">
        <f t="shared" si="64"/>
        <v>0</v>
      </c>
      <c r="H118" s="35"/>
      <c r="I118" s="35"/>
      <c r="J118" s="35">
        <f t="shared" si="65"/>
        <v>0</v>
      </c>
      <c r="K118" s="35">
        <v>4980</v>
      </c>
      <c r="L118" s="35">
        <v>4980</v>
      </c>
      <c r="M118" s="35">
        <f t="shared" si="66"/>
        <v>0</v>
      </c>
      <c r="N118" s="35">
        <v>0</v>
      </c>
      <c r="O118" s="35">
        <v>0</v>
      </c>
      <c r="P118" s="35">
        <f t="shared" si="67"/>
        <v>0</v>
      </c>
      <c r="Q118" s="35"/>
      <c r="R118" s="35"/>
      <c r="S118" s="35">
        <f t="shared" si="68"/>
        <v>0</v>
      </c>
      <c r="T118" s="35">
        <v>0</v>
      </c>
      <c r="U118" s="35">
        <v>0</v>
      </c>
      <c r="V118" s="35">
        <f t="shared" si="69"/>
        <v>0</v>
      </c>
      <c r="W118" s="35"/>
      <c r="X118" s="35"/>
      <c r="Y118" s="35">
        <f t="shared" si="70"/>
        <v>0</v>
      </c>
      <c r="Z118" s="35"/>
      <c r="AA118" s="35"/>
      <c r="AB118" s="35">
        <f t="shared" si="71"/>
        <v>0</v>
      </c>
    </row>
    <row r="119" spans="1:187" s="29" customFormat="1" ht="31.5" x14ac:dyDescent="0.25">
      <c r="A119" s="27" t="s">
        <v>97</v>
      </c>
      <c r="B119" s="28">
        <f t="shared" si="63"/>
        <v>116867</v>
      </c>
      <c r="C119" s="28">
        <f t="shared" si="63"/>
        <v>116867</v>
      </c>
      <c r="D119" s="28">
        <f t="shared" si="63"/>
        <v>0</v>
      </c>
      <c r="E119" s="28"/>
      <c r="F119" s="28"/>
      <c r="G119" s="28">
        <f t="shared" si="64"/>
        <v>0</v>
      </c>
      <c r="H119" s="28">
        <f t="shared" ref="H119:AA119" si="132">SUM(H120:H127)</f>
        <v>0</v>
      </c>
      <c r="I119" s="28">
        <f t="shared" si="132"/>
        <v>0</v>
      </c>
      <c r="J119" s="28">
        <f t="shared" si="65"/>
        <v>0</v>
      </c>
      <c r="K119" s="28">
        <f t="shared" ref="K119" si="133">SUM(K120:K127)</f>
        <v>9758</v>
      </c>
      <c r="L119" s="28">
        <f t="shared" si="132"/>
        <v>9758</v>
      </c>
      <c r="M119" s="28">
        <f t="shared" si="66"/>
        <v>0</v>
      </c>
      <c r="N119" s="28">
        <f t="shared" ref="N119" si="134">SUM(N120:N127)</f>
        <v>14455</v>
      </c>
      <c r="O119" s="28">
        <f t="shared" si="132"/>
        <v>14455</v>
      </c>
      <c r="P119" s="28">
        <f t="shared" si="67"/>
        <v>0</v>
      </c>
      <c r="Q119" s="28">
        <f t="shared" ref="Q119" si="135">SUM(Q120:Q127)</f>
        <v>92654</v>
      </c>
      <c r="R119" s="28">
        <f t="shared" si="132"/>
        <v>92654</v>
      </c>
      <c r="S119" s="28">
        <f t="shared" si="68"/>
        <v>0</v>
      </c>
      <c r="T119" s="28">
        <f t="shared" ref="T119" si="136">SUM(T120:T127)</f>
        <v>0</v>
      </c>
      <c r="U119" s="28">
        <f t="shared" si="132"/>
        <v>0</v>
      </c>
      <c r="V119" s="28">
        <f t="shared" si="69"/>
        <v>0</v>
      </c>
      <c r="W119" s="28">
        <f t="shared" si="132"/>
        <v>0</v>
      </c>
      <c r="X119" s="28">
        <f t="shared" si="132"/>
        <v>0</v>
      </c>
      <c r="Y119" s="28">
        <f t="shared" si="70"/>
        <v>0</v>
      </c>
      <c r="Z119" s="28">
        <f t="shared" ref="Z119" si="137">SUM(Z120:Z127)</f>
        <v>0</v>
      </c>
      <c r="AA119" s="28">
        <f t="shared" si="132"/>
        <v>0</v>
      </c>
      <c r="AB119" s="28">
        <f t="shared" si="71"/>
        <v>0</v>
      </c>
    </row>
    <row r="120" spans="1:187" s="29" customFormat="1" ht="63" x14ac:dyDescent="0.25">
      <c r="A120" s="34" t="s">
        <v>120</v>
      </c>
      <c r="B120" s="35">
        <f t="shared" si="63"/>
        <v>14455</v>
      </c>
      <c r="C120" s="35">
        <f t="shared" si="63"/>
        <v>14455</v>
      </c>
      <c r="D120" s="35">
        <f t="shared" si="63"/>
        <v>0</v>
      </c>
      <c r="E120" s="35">
        <v>0</v>
      </c>
      <c r="F120" s="35">
        <v>0</v>
      </c>
      <c r="G120" s="35">
        <f t="shared" si="64"/>
        <v>0</v>
      </c>
      <c r="H120" s="35"/>
      <c r="I120" s="35"/>
      <c r="J120" s="35">
        <f t="shared" si="65"/>
        <v>0</v>
      </c>
      <c r="K120" s="35">
        <v>0</v>
      </c>
      <c r="L120" s="35">
        <v>0</v>
      </c>
      <c r="M120" s="35">
        <f t="shared" si="66"/>
        <v>0</v>
      </c>
      <c r="N120" s="35">
        <v>14455</v>
      </c>
      <c r="O120" s="35">
        <v>14455</v>
      </c>
      <c r="P120" s="35">
        <f t="shared" si="67"/>
        <v>0</v>
      </c>
      <c r="Q120" s="35">
        <v>0</v>
      </c>
      <c r="R120" s="35">
        <v>0</v>
      </c>
      <c r="S120" s="35">
        <f t="shared" si="68"/>
        <v>0</v>
      </c>
      <c r="T120" s="35"/>
      <c r="U120" s="35"/>
      <c r="V120" s="35">
        <f t="shared" si="69"/>
        <v>0</v>
      </c>
      <c r="W120" s="35"/>
      <c r="X120" s="35"/>
      <c r="Y120" s="35">
        <f t="shared" si="70"/>
        <v>0</v>
      </c>
      <c r="Z120" s="35"/>
      <c r="AA120" s="35"/>
      <c r="AB120" s="35">
        <f t="shared" si="71"/>
        <v>0</v>
      </c>
    </row>
    <row r="121" spans="1:187" s="29" customFormat="1" ht="31.5" x14ac:dyDescent="0.25">
      <c r="A121" s="34" t="s">
        <v>121</v>
      </c>
      <c r="B121" s="35">
        <f t="shared" si="63"/>
        <v>1700</v>
      </c>
      <c r="C121" s="35">
        <f t="shared" si="63"/>
        <v>1700</v>
      </c>
      <c r="D121" s="35">
        <f t="shared" si="63"/>
        <v>0</v>
      </c>
      <c r="E121" s="35">
        <v>0</v>
      </c>
      <c r="F121" s="35">
        <v>0</v>
      </c>
      <c r="G121" s="35">
        <f t="shared" si="64"/>
        <v>0</v>
      </c>
      <c r="H121" s="35"/>
      <c r="I121" s="35"/>
      <c r="J121" s="35">
        <f t="shared" si="65"/>
        <v>0</v>
      </c>
      <c r="K121" s="35">
        <v>1700</v>
      </c>
      <c r="L121" s="35">
        <v>1700</v>
      </c>
      <c r="M121" s="35">
        <f t="shared" si="66"/>
        <v>0</v>
      </c>
      <c r="N121" s="35"/>
      <c r="O121" s="35"/>
      <c r="P121" s="35">
        <f t="shared" si="67"/>
        <v>0</v>
      </c>
      <c r="Q121" s="35">
        <v>0</v>
      </c>
      <c r="R121" s="35">
        <v>0</v>
      </c>
      <c r="S121" s="35">
        <f t="shared" si="68"/>
        <v>0</v>
      </c>
      <c r="T121" s="35"/>
      <c r="U121" s="35"/>
      <c r="V121" s="35">
        <f t="shared" si="69"/>
        <v>0</v>
      </c>
      <c r="W121" s="35"/>
      <c r="X121" s="35"/>
      <c r="Y121" s="35">
        <f t="shared" si="70"/>
        <v>0</v>
      </c>
      <c r="Z121" s="35"/>
      <c r="AA121" s="35"/>
      <c r="AB121" s="35">
        <f t="shared" si="71"/>
        <v>0</v>
      </c>
    </row>
    <row r="122" spans="1:187" s="29" customFormat="1" ht="31.5" x14ac:dyDescent="0.25">
      <c r="A122" s="34" t="s">
        <v>122</v>
      </c>
      <c r="B122" s="35">
        <f t="shared" si="63"/>
        <v>3600</v>
      </c>
      <c r="C122" s="35">
        <f t="shared" si="63"/>
        <v>3600</v>
      </c>
      <c r="D122" s="35">
        <f t="shared" si="63"/>
        <v>0</v>
      </c>
      <c r="E122" s="35">
        <v>0</v>
      </c>
      <c r="F122" s="35">
        <v>0</v>
      </c>
      <c r="G122" s="35">
        <f t="shared" si="64"/>
        <v>0</v>
      </c>
      <c r="H122" s="35"/>
      <c r="I122" s="35"/>
      <c r="J122" s="35">
        <f t="shared" si="65"/>
        <v>0</v>
      </c>
      <c r="K122" s="35">
        <v>3600</v>
      </c>
      <c r="L122" s="35">
        <v>3600</v>
      </c>
      <c r="M122" s="35">
        <f t="shared" si="66"/>
        <v>0</v>
      </c>
      <c r="N122" s="35"/>
      <c r="O122" s="35"/>
      <c r="P122" s="35">
        <f t="shared" si="67"/>
        <v>0</v>
      </c>
      <c r="Q122" s="35">
        <v>0</v>
      </c>
      <c r="R122" s="35">
        <v>0</v>
      </c>
      <c r="S122" s="35">
        <f t="shared" si="68"/>
        <v>0</v>
      </c>
      <c r="T122" s="35"/>
      <c r="U122" s="35"/>
      <c r="V122" s="35">
        <f t="shared" si="69"/>
        <v>0</v>
      </c>
      <c r="W122" s="35"/>
      <c r="X122" s="35"/>
      <c r="Y122" s="35">
        <f t="shared" si="70"/>
        <v>0</v>
      </c>
      <c r="Z122" s="35"/>
      <c r="AA122" s="35"/>
      <c r="AB122" s="35">
        <f t="shared" si="71"/>
        <v>0</v>
      </c>
    </row>
    <row r="123" spans="1:187" s="29" customFormat="1" ht="31.5" x14ac:dyDescent="0.25">
      <c r="A123" s="34" t="s">
        <v>123</v>
      </c>
      <c r="B123" s="35">
        <f t="shared" si="63"/>
        <v>1704</v>
      </c>
      <c r="C123" s="35">
        <f t="shared" si="63"/>
        <v>1704</v>
      </c>
      <c r="D123" s="35">
        <f t="shared" si="63"/>
        <v>0</v>
      </c>
      <c r="E123" s="35">
        <v>0</v>
      </c>
      <c r="F123" s="35">
        <v>0</v>
      </c>
      <c r="G123" s="35">
        <f t="shared" si="64"/>
        <v>0</v>
      </c>
      <c r="H123" s="35"/>
      <c r="I123" s="35"/>
      <c r="J123" s="35">
        <f t="shared" si="65"/>
        <v>0</v>
      </c>
      <c r="K123" s="35">
        <v>1704</v>
      </c>
      <c r="L123" s="35">
        <v>1704</v>
      </c>
      <c r="M123" s="35">
        <f t="shared" si="66"/>
        <v>0</v>
      </c>
      <c r="N123" s="35"/>
      <c r="O123" s="35"/>
      <c r="P123" s="35">
        <f t="shared" si="67"/>
        <v>0</v>
      </c>
      <c r="Q123" s="35"/>
      <c r="R123" s="35"/>
      <c r="S123" s="35">
        <f t="shared" si="68"/>
        <v>0</v>
      </c>
      <c r="T123" s="35"/>
      <c r="U123" s="35"/>
      <c r="V123" s="35">
        <f t="shared" si="69"/>
        <v>0</v>
      </c>
      <c r="W123" s="35"/>
      <c r="X123" s="35"/>
      <c r="Y123" s="35">
        <f t="shared" si="70"/>
        <v>0</v>
      </c>
      <c r="Z123" s="35"/>
      <c r="AA123" s="35"/>
      <c r="AB123" s="35">
        <f t="shared" si="71"/>
        <v>0</v>
      </c>
    </row>
    <row r="124" spans="1:187" s="29" customFormat="1" ht="31.5" x14ac:dyDescent="0.25">
      <c r="A124" s="34" t="s">
        <v>124</v>
      </c>
      <c r="B124" s="35">
        <f t="shared" si="63"/>
        <v>21500</v>
      </c>
      <c r="C124" s="35">
        <f t="shared" si="63"/>
        <v>21500</v>
      </c>
      <c r="D124" s="35">
        <f t="shared" si="63"/>
        <v>0</v>
      </c>
      <c r="E124" s="35">
        <v>0</v>
      </c>
      <c r="F124" s="35">
        <v>0</v>
      </c>
      <c r="G124" s="35">
        <f t="shared" si="64"/>
        <v>0</v>
      </c>
      <c r="H124" s="35"/>
      <c r="I124" s="35"/>
      <c r="J124" s="35">
        <f t="shared" si="65"/>
        <v>0</v>
      </c>
      <c r="K124" s="35"/>
      <c r="L124" s="35"/>
      <c r="M124" s="35">
        <f t="shared" si="66"/>
        <v>0</v>
      </c>
      <c r="N124" s="35"/>
      <c r="O124" s="35"/>
      <c r="P124" s="35">
        <f t="shared" si="67"/>
        <v>0</v>
      </c>
      <c r="Q124" s="35">
        <f>21426+74</f>
        <v>21500</v>
      </c>
      <c r="R124" s="35">
        <f>21426+74</f>
        <v>21500</v>
      </c>
      <c r="S124" s="35">
        <f t="shared" si="68"/>
        <v>0</v>
      </c>
      <c r="T124" s="35"/>
      <c r="U124" s="35"/>
      <c r="V124" s="35">
        <f t="shared" si="69"/>
        <v>0</v>
      </c>
      <c r="W124" s="35"/>
      <c r="X124" s="35"/>
      <c r="Y124" s="35">
        <f t="shared" si="70"/>
        <v>0</v>
      </c>
      <c r="Z124" s="35"/>
      <c r="AA124" s="35"/>
      <c r="AB124" s="35">
        <f t="shared" si="71"/>
        <v>0</v>
      </c>
    </row>
    <row r="125" spans="1:187" s="29" customFormat="1" ht="31.5" x14ac:dyDescent="0.25">
      <c r="A125" s="34" t="s">
        <v>125</v>
      </c>
      <c r="B125" s="35">
        <f t="shared" si="63"/>
        <v>2754</v>
      </c>
      <c r="C125" s="35">
        <f t="shared" si="63"/>
        <v>2754</v>
      </c>
      <c r="D125" s="35">
        <f t="shared" si="63"/>
        <v>0</v>
      </c>
      <c r="E125" s="35">
        <v>0</v>
      </c>
      <c r="F125" s="35">
        <v>0</v>
      </c>
      <c r="G125" s="35">
        <f t="shared" si="64"/>
        <v>0</v>
      </c>
      <c r="H125" s="35"/>
      <c r="I125" s="35"/>
      <c r="J125" s="35">
        <f t="shared" si="65"/>
        <v>0</v>
      </c>
      <c r="K125" s="35">
        <v>2754</v>
      </c>
      <c r="L125" s="35">
        <v>2754</v>
      </c>
      <c r="M125" s="35">
        <f t="shared" si="66"/>
        <v>0</v>
      </c>
      <c r="N125" s="35"/>
      <c r="O125" s="35"/>
      <c r="P125" s="35">
        <f t="shared" si="67"/>
        <v>0</v>
      </c>
      <c r="Q125" s="35"/>
      <c r="R125" s="35"/>
      <c r="S125" s="35">
        <f t="shared" si="68"/>
        <v>0</v>
      </c>
      <c r="T125" s="35"/>
      <c r="U125" s="35"/>
      <c r="V125" s="35">
        <f t="shared" si="69"/>
        <v>0</v>
      </c>
      <c r="W125" s="35"/>
      <c r="X125" s="35"/>
      <c r="Y125" s="35">
        <f t="shared" si="70"/>
        <v>0</v>
      </c>
      <c r="Z125" s="35"/>
      <c r="AA125" s="35"/>
      <c r="AB125" s="35">
        <f t="shared" si="71"/>
        <v>0</v>
      </c>
    </row>
    <row r="126" spans="1:187" s="29" customFormat="1" ht="31.5" x14ac:dyDescent="0.25">
      <c r="A126" s="34" t="s">
        <v>126</v>
      </c>
      <c r="B126" s="35">
        <f t="shared" si="63"/>
        <v>60156</v>
      </c>
      <c r="C126" s="35">
        <f t="shared" si="63"/>
        <v>60156</v>
      </c>
      <c r="D126" s="35">
        <f t="shared" si="63"/>
        <v>0</v>
      </c>
      <c r="E126" s="35">
        <v>0</v>
      </c>
      <c r="F126" s="35">
        <v>0</v>
      </c>
      <c r="G126" s="35">
        <f t="shared" si="64"/>
        <v>0</v>
      </c>
      <c r="H126" s="35"/>
      <c r="I126" s="35"/>
      <c r="J126" s="35">
        <f t="shared" si="65"/>
        <v>0</v>
      </c>
      <c r="K126" s="35">
        <v>0</v>
      </c>
      <c r="L126" s="35">
        <v>0</v>
      </c>
      <c r="M126" s="35">
        <f t="shared" si="66"/>
        <v>0</v>
      </c>
      <c r="N126" s="35"/>
      <c r="O126" s="35"/>
      <c r="P126" s="35">
        <f t="shared" si="67"/>
        <v>0</v>
      </c>
      <c r="Q126" s="35">
        <v>60156</v>
      </c>
      <c r="R126" s="35">
        <v>60156</v>
      </c>
      <c r="S126" s="35">
        <f t="shared" si="68"/>
        <v>0</v>
      </c>
      <c r="T126" s="35"/>
      <c r="U126" s="35"/>
      <c r="V126" s="35">
        <f t="shared" si="69"/>
        <v>0</v>
      </c>
      <c r="W126" s="35"/>
      <c r="X126" s="35"/>
      <c r="Y126" s="35">
        <f t="shared" si="70"/>
        <v>0</v>
      </c>
      <c r="Z126" s="35"/>
      <c r="AA126" s="35"/>
      <c r="AB126" s="35">
        <f t="shared" si="71"/>
        <v>0</v>
      </c>
    </row>
    <row r="127" spans="1:187" s="29" customFormat="1" ht="31.5" x14ac:dyDescent="0.25">
      <c r="A127" s="34" t="s">
        <v>127</v>
      </c>
      <c r="B127" s="35">
        <f t="shared" si="63"/>
        <v>10998</v>
      </c>
      <c r="C127" s="35">
        <f t="shared" si="63"/>
        <v>10998</v>
      </c>
      <c r="D127" s="35">
        <f t="shared" si="63"/>
        <v>0</v>
      </c>
      <c r="E127" s="35">
        <v>0</v>
      </c>
      <c r="F127" s="35">
        <v>0</v>
      </c>
      <c r="G127" s="35">
        <f t="shared" si="64"/>
        <v>0</v>
      </c>
      <c r="H127" s="35"/>
      <c r="I127" s="35"/>
      <c r="J127" s="35">
        <f t="shared" si="65"/>
        <v>0</v>
      </c>
      <c r="K127" s="35">
        <v>0</v>
      </c>
      <c r="L127" s="35">
        <v>0</v>
      </c>
      <c r="M127" s="35">
        <f t="shared" si="66"/>
        <v>0</v>
      </c>
      <c r="N127" s="35"/>
      <c r="O127" s="35"/>
      <c r="P127" s="35">
        <f t="shared" si="67"/>
        <v>0</v>
      </c>
      <c r="Q127" s="35">
        <v>10998</v>
      </c>
      <c r="R127" s="35">
        <v>10998</v>
      </c>
      <c r="S127" s="35">
        <f t="shared" si="68"/>
        <v>0</v>
      </c>
      <c r="T127" s="35"/>
      <c r="U127" s="35"/>
      <c r="V127" s="35">
        <f t="shared" si="69"/>
        <v>0</v>
      </c>
      <c r="W127" s="35"/>
      <c r="X127" s="35"/>
      <c r="Y127" s="35">
        <f t="shared" si="70"/>
        <v>0</v>
      </c>
      <c r="Z127" s="35"/>
      <c r="AA127" s="35"/>
      <c r="AB127" s="35">
        <f t="shared" si="71"/>
        <v>0</v>
      </c>
    </row>
    <row r="128" spans="1:187" s="29" customFormat="1" x14ac:dyDescent="0.25">
      <c r="A128" s="27" t="s">
        <v>128</v>
      </c>
      <c r="B128" s="28">
        <f t="shared" si="63"/>
        <v>11649</v>
      </c>
      <c r="C128" s="28">
        <f t="shared" si="63"/>
        <v>15569</v>
      </c>
      <c r="D128" s="28">
        <f t="shared" si="63"/>
        <v>3920</v>
      </c>
      <c r="E128" s="28">
        <f t="shared" ref="E128" si="138">SUM(E129:E133)</f>
        <v>0</v>
      </c>
      <c r="F128" s="28">
        <f>SUM(F129:F133)</f>
        <v>0</v>
      </c>
      <c r="G128" s="28">
        <f t="shared" si="64"/>
        <v>0</v>
      </c>
      <c r="H128" s="28">
        <f t="shared" ref="H128" si="139">SUM(H129:H133)</f>
        <v>0</v>
      </c>
      <c r="I128" s="28">
        <f>SUM(I129:I133)</f>
        <v>0</v>
      </c>
      <c r="J128" s="28">
        <f t="shared" si="65"/>
        <v>0</v>
      </c>
      <c r="K128" s="28">
        <f t="shared" ref="K128" si="140">SUM(K129:K133)</f>
        <v>0</v>
      </c>
      <c r="L128" s="28">
        <f>SUM(L129:L133)</f>
        <v>2380</v>
      </c>
      <c r="M128" s="28">
        <f t="shared" si="66"/>
        <v>2380</v>
      </c>
      <c r="N128" s="28">
        <f t="shared" ref="N128" si="141">SUM(N129:N133)</f>
        <v>1399</v>
      </c>
      <c r="O128" s="28">
        <f>SUM(O129:O133)</f>
        <v>2939</v>
      </c>
      <c r="P128" s="28">
        <f t="shared" si="67"/>
        <v>1540</v>
      </c>
      <c r="Q128" s="28">
        <f t="shared" ref="Q128" si="142">SUM(Q129:Q133)</f>
        <v>10250</v>
      </c>
      <c r="R128" s="28">
        <f>SUM(R129:R133)</f>
        <v>10250</v>
      </c>
      <c r="S128" s="28">
        <f t="shared" si="68"/>
        <v>0</v>
      </c>
      <c r="T128" s="28">
        <f t="shared" ref="T128" si="143">SUM(T129:T133)</f>
        <v>0</v>
      </c>
      <c r="U128" s="28">
        <f>SUM(U129:U133)</f>
        <v>0</v>
      </c>
      <c r="V128" s="28">
        <f t="shared" si="69"/>
        <v>0</v>
      </c>
      <c r="W128" s="28">
        <f>SUM(W129:W133)</f>
        <v>0</v>
      </c>
      <c r="X128" s="28">
        <f>SUM(X129:X133)</f>
        <v>0</v>
      </c>
      <c r="Y128" s="28">
        <f t="shared" si="70"/>
        <v>0</v>
      </c>
      <c r="Z128" s="28">
        <f t="shared" ref="Z128" si="144">SUM(Z129:Z133)</f>
        <v>0</v>
      </c>
      <c r="AA128" s="28">
        <f>SUM(AA129:AA133)</f>
        <v>0</v>
      </c>
      <c r="AB128" s="28">
        <f t="shared" si="71"/>
        <v>0</v>
      </c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</row>
    <row r="129" spans="1:187" s="29" customFormat="1" ht="31.5" x14ac:dyDescent="0.25">
      <c r="A129" s="34" t="s">
        <v>129</v>
      </c>
      <c r="B129" s="35">
        <f t="shared" si="63"/>
        <v>5040</v>
      </c>
      <c r="C129" s="35">
        <f t="shared" si="63"/>
        <v>5040</v>
      </c>
      <c r="D129" s="35">
        <f t="shared" si="63"/>
        <v>0</v>
      </c>
      <c r="E129" s="35"/>
      <c r="F129" s="35"/>
      <c r="G129" s="35">
        <f t="shared" si="64"/>
        <v>0</v>
      </c>
      <c r="H129" s="35"/>
      <c r="I129" s="35"/>
      <c r="J129" s="35">
        <f t="shared" si="65"/>
        <v>0</v>
      </c>
      <c r="K129" s="35">
        <v>0</v>
      </c>
      <c r="L129" s="35">
        <v>0</v>
      </c>
      <c r="M129" s="35">
        <f t="shared" si="66"/>
        <v>0</v>
      </c>
      <c r="N129" s="35">
        <v>0</v>
      </c>
      <c r="O129" s="35">
        <v>0</v>
      </c>
      <c r="P129" s="35">
        <f t="shared" si="67"/>
        <v>0</v>
      </c>
      <c r="Q129" s="35">
        <v>5040</v>
      </c>
      <c r="R129" s="35">
        <v>5040</v>
      </c>
      <c r="S129" s="35">
        <f t="shared" si="68"/>
        <v>0</v>
      </c>
      <c r="T129" s="35"/>
      <c r="U129" s="35"/>
      <c r="V129" s="35">
        <f t="shared" si="69"/>
        <v>0</v>
      </c>
      <c r="W129" s="35"/>
      <c r="X129" s="35"/>
      <c r="Y129" s="35">
        <f t="shared" si="70"/>
        <v>0</v>
      </c>
      <c r="Z129" s="35"/>
      <c r="AA129" s="35"/>
      <c r="AB129" s="35">
        <f t="shared" si="71"/>
        <v>0</v>
      </c>
    </row>
    <row r="130" spans="1:187" s="29" customFormat="1" ht="31.5" x14ac:dyDescent="0.25">
      <c r="A130" s="34" t="s">
        <v>130</v>
      </c>
      <c r="B130" s="35">
        <f t="shared" si="63"/>
        <v>0</v>
      </c>
      <c r="C130" s="35">
        <f t="shared" si="63"/>
        <v>2380</v>
      </c>
      <c r="D130" s="35">
        <f t="shared" si="63"/>
        <v>2380</v>
      </c>
      <c r="E130" s="35"/>
      <c r="F130" s="35"/>
      <c r="G130" s="35">
        <f t="shared" si="64"/>
        <v>0</v>
      </c>
      <c r="H130" s="35"/>
      <c r="I130" s="35"/>
      <c r="J130" s="35">
        <f t="shared" si="65"/>
        <v>0</v>
      </c>
      <c r="K130" s="35">
        <v>0</v>
      </c>
      <c r="L130" s="35">
        <v>2380</v>
      </c>
      <c r="M130" s="35">
        <f t="shared" si="66"/>
        <v>2380</v>
      </c>
      <c r="N130" s="35">
        <v>0</v>
      </c>
      <c r="O130" s="35">
        <v>0</v>
      </c>
      <c r="P130" s="35">
        <f t="shared" si="67"/>
        <v>0</v>
      </c>
      <c r="Q130" s="35"/>
      <c r="R130" s="35"/>
      <c r="S130" s="35">
        <f t="shared" si="68"/>
        <v>0</v>
      </c>
      <c r="T130" s="35"/>
      <c r="U130" s="35"/>
      <c r="V130" s="35">
        <f t="shared" si="69"/>
        <v>0</v>
      </c>
      <c r="W130" s="35"/>
      <c r="X130" s="35"/>
      <c r="Y130" s="35">
        <f t="shared" si="70"/>
        <v>0</v>
      </c>
      <c r="Z130" s="35"/>
      <c r="AA130" s="35"/>
      <c r="AB130" s="35">
        <f t="shared" si="71"/>
        <v>0</v>
      </c>
    </row>
    <row r="131" spans="1:187" s="29" customFormat="1" ht="47.25" x14ac:dyDescent="0.25">
      <c r="A131" s="34" t="s">
        <v>131</v>
      </c>
      <c r="B131" s="35">
        <f t="shared" si="63"/>
        <v>0</v>
      </c>
      <c r="C131" s="35">
        <f t="shared" si="63"/>
        <v>1540</v>
      </c>
      <c r="D131" s="35">
        <f t="shared" si="63"/>
        <v>1540</v>
      </c>
      <c r="E131" s="35"/>
      <c r="F131" s="35"/>
      <c r="G131" s="35">
        <f t="shared" si="64"/>
        <v>0</v>
      </c>
      <c r="H131" s="35"/>
      <c r="I131" s="35"/>
      <c r="J131" s="35">
        <f t="shared" si="65"/>
        <v>0</v>
      </c>
      <c r="K131" s="35">
        <v>0</v>
      </c>
      <c r="L131" s="35">
        <v>0</v>
      </c>
      <c r="M131" s="35">
        <f t="shared" si="66"/>
        <v>0</v>
      </c>
      <c r="N131" s="35"/>
      <c r="O131" s="35">
        <v>1540</v>
      </c>
      <c r="P131" s="35">
        <f t="shared" si="67"/>
        <v>1540</v>
      </c>
      <c r="Q131" s="35"/>
      <c r="R131" s="35"/>
      <c r="S131" s="35">
        <f t="shared" si="68"/>
        <v>0</v>
      </c>
      <c r="T131" s="35"/>
      <c r="U131" s="35"/>
      <c r="V131" s="35">
        <f t="shared" si="69"/>
        <v>0</v>
      </c>
      <c r="W131" s="35"/>
      <c r="X131" s="35"/>
      <c r="Y131" s="35">
        <f t="shared" si="70"/>
        <v>0</v>
      </c>
      <c r="Z131" s="35"/>
      <c r="AA131" s="35"/>
      <c r="AB131" s="35">
        <f t="shared" si="71"/>
        <v>0</v>
      </c>
    </row>
    <row r="132" spans="1:187" s="29" customFormat="1" ht="47.25" x14ac:dyDescent="0.25">
      <c r="A132" s="34" t="s">
        <v>132</v>
      </c>
      <c r="B132" s="35">
        <f t="shared" si="63"/>
        <v>1399</v>
      </c>
      <c r="C132" s="35">
        <f t="shared" si="63"/>
        <v>1399</v>
      </c>
      <c r="D132" s="35">
        <f t="shared" si="63"/>
        <v>0</v>
      </c>
      <c r="E132" s="35"/>
      <c r="F132" s="35"/>
      <c r="G132" s="35">
        <f t="shared" si="64"/>
        <v>0</v>
      </c>
      <c r="H132" s="35"/>
      <c r="I132" s="35"/>
      <c r="J132" s="35">
        <f t="shared" si="65"/>
        <v>0</v>
      </c>
      <c r="K132" s="35">
        <v>0</v>
      </c>
      <c r="L132" s="35">
        <v>0</v>
      </c>
      <c r="M132" s="35">
        <f t="shared" si="66"/>
        <v>0</v>
      </c>
      <c r="N132" s="35">
        <v>1399</v>
      </c>
      <c r="O132" s="35">
        <v>1399</v>
      </c>
      <c r="P132" s="35">
        <f t="shared" si="67"/>
        <v>0</v>
      </c>
      <c r="Q132" s="35"/>
      <c r="R132" s="35"/>
      <c r="S132" s="35">
        <f t="shared" si="68"/>
        <v>0</v>
      </c>
      <c r="T132" s="35"/>
      <c r="U132" s="35"/>
      <c r="V132" s="35">
        <f t="shared" si="69"/>
        <v>0</v>
      </c>
      <c r="W132" s="35"/>
      <c r="X132" s="35"/>
      <c r="Y132" s="35">
        <f t="shared" si="70"/>
        <v>0</v>
      </c>
      <c r="Z132" s="35"/>
      <c r="AA132" s="35"/>
      <c r="AB132" s="35">
        <f t="shared" si="71"/>
        <v>0</v>
      </c>
    </row>
    <row r="133" spans="1:187" s="29" customFormat="1" x14ac:dyDescent="0.25">
      <c r="A133" s="34" t="s">
        <v>133</v>
      </c>
      <c r="B133" s="35">
        <f t="shared" si="63"/>
        <v>5210</v>
      </c>
      <c r="C133" s="35">
        <f t="shared" si="63"/>
        <v>5210</v>
      </c>
      <c r="D133" s="35">
        <f t="shared" si="63"/>
        <v>0</v>
      </c>
      <c r="E133" s="35"/>
      <c r="F133" s="35"/>
      <c r="G133" s="35">
        <f t="shared" si="64"/>
        <v>0</v>
      </c>
      <c r="H133" s="35"/>
      <c r="I133" s="35"/>
      <c r="J133" s="35">
        <f t="shared" si="65"/>
        <v>0</v>
      </c>
      <c r="K133" s="35">
        <v>0</v>
      </c>
      <c r="L133" s="35">
        <v>0</v>
      </c>
      <c r="M133" s="35">
        <f t="shared" si="66"/>
        <v>0</v>
      </c>
      <c r="N133" s="35">
        <v>0</v>
      </c>
      <c r="O133" s="35">
        <v>0</v>
      </c>
      <c r="P133" s="35">
        <f t="shared" si="67"/>
        <v>0</v>
      </c>
      <c r="Q133" s="35">
        <v>5210</v>
      </c>
      <c r="R133" s="35">
        <v>5210</v>
      </c>
      <c r="S133" s="35">
        <f t="shared" si="68"/>
        <v>0</v>
      </c>
      <c r="T133" s="35"/>
      <c r="U133" s="35"/>
      <c r="V133" s="35">
        <f t="shared" si="69"/>
        <v>0</v>
      </c>
      <c r="W133" s="35"/>
      <c r="X133" s="35"/>
      <c r="Y133" s="35">
        <f t="shared" si="70"/>
        <v>0</v>
      </c>
      <c r="Z133" s="35"/>
      <c r="AA133" s="35"/>
      <c r="AB133" s="35">
        <f t="shared" si="71"/>
        <v>0</v>
      </c>
    </row>
    <row r="134" spans="1:187" s="29" customFormat="1" x14ac:dyDescent="0.25">
      <c r="A134" s="27" t="s">
        <v>55</v>
      </c>
      <c r="B134" s="28">
        <f t="shared" si="63"/>
        <v>103490</v>
      </c>
      <c r="C134" s="28">
        <f t="shared" si="63"/>
        <v>103490</v>
      </c>
      <c r="D134" s="28">
        <f t="shared" si="63"/>
        <v>0</v>
      </c>
      <c r="E134" s="28">
        <f t="shared" ref="E134:AA134" si="145">SUM(E135,E139,E143)</f>
        <v>0</v>
      </c>
      <c r="F134" s="28">
        <f t="shared" si="145"/>
        <v>0</v>
      </c>
      <c r="G134" s="28">
        <f t="shared" si="64"/>
        <v>0</v>
      </c>
      <c r="H134" s="28">
        <f t="shared" ref="H134" si="146">SUM(H135,H139,H143)</f>
        <v>0</v>
      </c>
      <c r="I134" s="28">
        <f t="shared" si="145"/>
        <v>0</v>
      </c>
      <c r="J134" s="28">
        <f t="shared" si="65"/>
        <v>0</v>
      </c>
      <c r="K134" s="28">
        <f t="shared" ref="K134" si="147">SUM(K135,K139,K143)</f>
        <v>0</v>
      </c>
      <c r="L134" s="28">
        <f t="shared" si="145"/>
        <v>0</v>
      </c>
      <c r="M134" s="28">
        <f t="shared" si="66"/>
        <v>0</v>
      </c>
      <c r="N134" s="28">
        <f t="shared" ref="N134" si="148">SUM(N135,N139,N143)</f>
        <v>0</v>
      </c>
      <c r="O134" s="28">
        <f t="shared" si="145"/>
        <v>0</v>
      </c>
      <c r="P134" s="28">
        <f t="shared" si="67"/>
        <v>0</v>
      </c>
      <c r="Q134" s="28">
        <f t="shared" ref="Q134" si="149">SUM(Q135,Q139,Q143)</f>
        <v>103490</v>
      </c>
      <c r="R134" s="28">
        <f t="shared" si="145"/>
        <v>103490</v>
      </c>
      <c r="S134" s="28">
        <f t="shared" si="68"/>
        <v>0</v>
      </c>
      <c r="T134" s="28">
        <f t="shared" ref="T134" si="150">SUM(T135,T139,T143)</f>
        <v>0</v>
      </c>
      <c r="U134" s="28">
        <f t="shared" si="145"/>
        <v>0</v>
      </c>
      <c r="V134" s="28">
        <f t="shared" si="69"/>
        <v>0</v>
      </c>
      <c r="W134" s="28">
        <f t="shared" si="145"/>
        <v>0</v>
      </c>
      <c r="X134" s="28">
        <f t="shared" si="145"/>
        <v>0</v>
      </c>
      <c r="Y134" s="28">
        <f t="shared" si="70"/>
        <v>0</v>
      </c>
      <c r="Z134" s="28">
        <f t="shared" ref="Z134" si="151">SUM(Z135,Z139,Z143)</f>
        <v>0</v>
      </c>
      <c r="AA134" s="28">
        <f t="shared" si="145"/>
        <v>0</v>
      </c>
      <c r="AB134" s="28">
        <f t="shared" si="71"/>
        <v>0</v>
      </c>
    </row>
    <row r="135" spans="1:187" s="29" customFormat="1" x14ac:dyDescent="0.25">
      <c r="A135" s="27" t="s">
        <v>91</v>
      </c>
      <c r="B135" s="28">
        <f t="shared" si="63"/>
        <v>13339</v>
      </c>
      <c r="C135" s="28">
        <f t="shared" si="63"/>
        <v>13339</v>
      </c>
      <c r="D135" s="28">
        <f t="shared" si="63"/>
        <v>0</v>
      </c>
      <c r="E135" s="28">
        <f t="shared" ref="E135:AA135" si="152">SUM(E136:E138)</f>
        <v>0</v>
      </c>
      <c r="F135" s="28">
        <f t="shared" si="152"/>
        <v>0</v>
      </c>
      <c r="G135" s="28">
        <f t="shared" si="64"/>
        <v>0</v>
      </c>
      <c r="H135" s="28">
        <f t="shared" ref="H135" si="153">SUM(H136:H138)</f>
        <v>0</v>
      </c>
      <c r="I135" s="28">
        <f t="shared" si="152"/>
        <v>0</v>
      </c>
      <c r="J135" s="28">
        <f t="shared" si="65"/>
        <v>0</v>
      </c>
      <c r="K135" s="28">
        <f t="shared" ref="K135" si="154">SUM(K136:K138)</f>
        <v>0</v>
      </c>
      <c r="L135" s="28">
        <f t="shared" si="152"/>
        <v>0</v>
      </c>
      <c r="M135" s="28">
        <f t="shared" si="66"/>
        <v>0</v>
      </c>
      <c r="N135" s="28">
        <f t="shared" ref="N135" si="155">SUM(N136:N138)</f>
        <v>0</v>
      </c>
      <c r="O135" s="28">
        <f t="shared" si="152"/>
        <v>0</v>
      </c>
      <c r="P135" s="28">
        <f t="shared" si="67"/>
        <v>0</v>
      </c>
      <c r="Q135" s="28">
        <f t="shared" ref="Q135" si="156">SUM(Q136:Q138)</f>
        <v>13339</v>
      </c>
      <c r="R135" s="28">
        <f t="shared" si="152"/>
        <v>13339</v>
      </c>
      <c r="S135" s="28">
        <f t="shared" si="68"/>
        <v>0</v>
      </c>
      <c r="T135" s="28">
        <f t="shared" ref="T135" si="157">SUM(T136:T138)</f>
        <v>0</v>
      </c>
      <c r="U135" s="28">
        <f t="shared" si="152"/>
        <v>0</v>
      </c>
      <c r="V135" s="28">
        <f t="shared" si="69"/>
        <v>0</v>
      </c>
      <c r="W135" s="28">
        <f t="shared" si="152"/>
        <v>0</v>
      </c>
      <c r="X135" s="28">
        <f t="shared" si="152"/>
        <v>0</v>
      </c>
      <c r="Y135" s="28">
        <f t="shared" si="70"/>
        <v>0</v>
      </c>
      <c r="Z135" s="28">
        <f t="shared" ref="Z135" si="158">SUM(Z136:Z138)</f>
        <v>0</v>
      </c>
      <c r="AA135" s="28">
        <f t="shared" si="152"/>
        <v>0</v>
      </c>
      <c r="AB135" s="28">
        <f t="shared" si="71"/>
        <v>0</v>
      </c>
    </row>
    <row r="136" spans="1:187" s="29" customFormat="1" ht="31.5" x14ac:dyDescent="0.25">
      <c r="A136" s="34" t="s">
        <v>134</v>
      </c>
      <c r="B136" s="35">
        <f t="shared" si="63"/>
        <v>10201</v>
      </c>
      <c r="C136" s="35">
        <f t="shared" si="63"/>
        <v>10201</v>
      </c>
      <c r="D136" s="35">
        <f t="shared" si="63"/>
        <v>0</v>
      </c>
      <c r="E136" s="35"/>
      <c r="F136" s="35"/>
      <c r="G136" s="35">
        <f t="shared" si="64"/>
        <v>0</v>
      </c>
      <c r="H136" s="35"/>
      <c r="I136" s="35"/>
      <c r="J136" s="35">
        <f t="shared" si="65"/>
        <v>0</v>
      </c>
      <c r="K136" s="35"/>
      <c r="L136" s="35"/>
      <c r="M136" s="35">
        <f t="shared" si="66"/>
        <v>0</v>
      </c>
      <c r="N136" s="35"/>
      <c r="O136" s="35"/>
      <c r="P136" s="35">
        <f t="shared" si="67"/>
        <v>0</v>
      </c>
      <c r="Q136" s="35">
        <v>10201</v>
      </c>
      <c r="R136" s="35">
        <v>10201</v>
      </c>
      <c r="S136" s="35">
        <f t="shared" si="68"/>
        <v>0</v>
      </c>
      <c r="T136" s="35"/>
      <c r="U136" s="35"/>
      <c r="V136" s="35">
        <f t="shared" si="69"/>
        <v>0</v>
      </c>
      <c r="W136" s="35"/>
      <c r="X136" s="35"/>
      <c r="Y136" s="35">
        <f t="shared" si="70"/>
        <v>0</v>
      </c>
      <c r="Z136" s="35"/>
      <c r="AA136" s="35"/>
      <c r="AB136" s="35">
        <f t="shared" si="71"/>
        <v>0</v>
      </c>
    </row>
    <row r="137" spans="1:187" s="29" customFormat="1" x14ac:dyDescent="0.25">
      <c r="A137" s="34" t="s">
        <v>135</v>
      </c>
      <c r="B137" s="35">
        <f t="shared" si="63"/>
        <v>1836</v>
      </c>
      <c r="C137" s="35">
        <f t="shared" si="63"/>
        <v>1836</v>
      </c>
      <c r="D137" s="35">
        <f t="shared" si="63"/>
        <v>0</v>
      </c>
      <c r="E137" s="35"/>
      <c r="F137" s="35"/>
      <c r="G137" s="35">
        <f t="shared" si="64"/>
        <v>0</v>
      </c>
      <c r="H137" s="35"/>
      <c r="I137" s="35"/>
      <c r="J137" s="35">
        <f t="shared" si="65"/>
        <v>0</v>
      </c>
      <c r="K137" s="35"/>
      <c r="L137" s="35"/>
      <c r="M137" s="35">
        <f t="shared" si="66"/>
        <v>0</v>
      </c>
      <c r="N137" s="35"/>
      <c r="O137" s="35"/>
      <c r="P137" s="35">
        <f t="shared" si="67"/>
        <v>0</v>
      </c>
      <c r="Q137" s="35">
        <v>1836</v>
      </c>
      <c r="R137" s="35">
        <v>1836</v>
      </c>
      <c r="S137" s="35">
        <f t="shared" si="68"/>
        <v>0</v>
      </c>
      <c r="T137" s="35"/>
      <c r="U137" s="35"/>
      <c r="V137" s="35">
        <f t="shared" si="69"/>
        <v>0</v>
      </c>
      <c r="W137" s="35"/>
      <c r="X137" s="35"/>
      <c r="Y137" s="35">
        <f t="shared" si="70"/>
        <v>0</v>
      </c>
      <c r="Z137" s="35"/>
      <c r="AA137" s="35"/>
      <c r="AB137" s="35">
        <f t="shared" si="71"/>
        <v>0</v>
      </c>
    </row>
    <row r="138" spans="1:187" s="29" customFormat="1" x14ac:dyDescent="0.25">
      <c r="A138" s="34" t="s">
        <v>136</v>
      </c>
      <c r="B138" s="35">
        <f t="shared" si="63"/>
        <v>1302</v>
      </c>
      <c r="C138" s="35">
        <f t="shared" si="63"/>
        <v>1302</v>
      </c>
      <c r="D138" s="35">
        <f t="shared" si="63"/>
        <v>0</v>
      </c>
      <c r="E138" s="35"/>
      <c r="F138" s="35"/>
      <c r="G138" s="35">
        <f t="shared" si="64"/>
        <v>0</v>
      </c>
      <c r="H138" s="35"/>
      <c r="I138" s="35"/>
      <c r="J138" s="35">
        <f t="shared" si="65"/>
        <v>0</v>
      </c>
      <c r="K138" s="35"/>
      <c r="L138" s="35"/>
      <c r="M138" s="35">
        <f t="shared" si="66"/>
        <v>0</v>
      </c>
      <c r="N138" s="35"/>
      <c r="O138" s="35"/>
      <c r="P138" s="35">
        <f t="shared" si="67"/>
        <v>0</v>
      </c>
      <c r="Q138" s="35">
        <v>1302</v>
      </c>
      <c r="R138" s="35">
        <v>1302</v>
      </c>
      <c r="S138" s="35">
        <f t="shared" si="68"/>
        <v>0</v>
      </c>
      <c r="T138" s="35"/>
      <c r="U138" s="35"/>
      <c r="V138" s="35">
        <f t="shared" si="69"/>
        <v>0</v>
      </c>
      <c r="W138" s="35"/>
      <c r="X138" s="35"/>
      <c r="Y138" s="35">
        <f t="shared" si="70"/>
        <v>0</v>
      </c>
      <c r="Z138" s="35"/>
      <c r="AA138" s="35"/>
      <c r="AB138" s="35">
        <f t="shared" si="71"/>
        <v>0</v>
      </c>
    </row>
    <row r="139" spans="1:187" s="29" customFormat="1" ht="31.5" x14ac:dyDescent="0.25">
      <c r="A139" s="27" t="s">
        <v>97</v>
      </c>
      <c r="B139" s="28">
        <f t="shared" si="63"/>
        <v>25218</v>
      </c>
      <c r="C139" s="28">
        <f t="shared" si="63"/>
        <v>25218</v>
      </c>
      <c r="D139" s="28">
        <f t="shared" si="63"/>
        <v>0</v>
      </c>
      <c r="E139" s="28">
        <f t="shared" ref="E139:AA139" si="159">SUM(E140:E142)</f>
        <v>0</v>
      </c>
      <c r="F139" s="28">
        <f t="shared" si="159"/>
        <v>0</v>
      </c>
      <c r="G139" s="28">
        <f t="shared" si="64"/>
        <v>0</v>
      </c>
      <c r="H139" s="28">
        <f t="shared" ref="H139" si="160">SUM(H140:H142)</f>
        <v>0</v>
      </c>
      <c r="I139" s="28">
        <f t="shared" si="159"/>
        <v>0</v>
      </c>
      <c r="J139" s="28">
        <f t="shared" si="65"/>
        <v>0</v>
      </c>
      <c r="K139" s="28">
        <f t="shared" ref="K139" si="161">SUM(K140:K142)</f>
        <v>0</v>
      </c>
      <c r="L139" s="28">
        <f t="shared" si="159"/>
        <v>0</v>
      </c>
      <c r="M139" s="28">
        <f t="shared" si="66"/>
        <v>0</v>
      </c>
      <c r="N139" s="28">
        <f t="shared" ref="N139" si="162">SUM(N140:N142)</f>
        <v>0</v>
      </c>
      <c r="O139" s="28">
        <f t="shared" si="159"/>
        <v>0</v>
      </c>
      <c r="P139" s="28">
        <f t="shared" si="67"/>
        <v>0</v>
      </c>
      <c r="Q139" s="28">
        <f t="shared" ref="Q139" si="163">SUM(Q140:Q142)</f>
        <v>25218</v>
      </c>
      <c r="R139" s="28">
        <f t="shared" si="159"/>
        <v>25218</v>
      </c>
      <c r="S139" s="28">
        <f t="shared" si="68"/>
        <v>0</v>
      </c>
      <c r="T139" s="28">
        <f t="shared" ref="T139" si="164">SUM(T140:T142)</f>
        <v>0</v>
      </c>
      <c r="U139" s="28">
        <f t="shared" si="159"/>
        <v>0</v>
      </c>
      <c r="V139" s="28">
        <f t="shared" si="69"/>
        <v>0</v>
      </c>
      <c r="W139" s="28">
        <f t="shared" si="159"/>
        <v>0</v>
      </c>
      <c r="X139" s="28">
        <f t="shared" si="159"/>
        <v>0</v>
      </c>
      <c r="Y139" s="28">
        <f t="shared" si="70"/>
        <v>0</v>
      </c>
      <c r="Z139" s="28">
        <f t="shared" ref="Z139" si="165">SUM(Z140:Z142)</f>
        <v>0</v>
      </c>
      <c r="AA139" s="28">
        <f t="shared" si="159"/>
        <v>0</v>
      </c>
      <c r="AB139" s="28">
        <f t="shared" si="71"/>
        <v>0</v>
      </c>
    </row>
    <row r="140" spans="1:187" s="29" customFormat="1" ht="31.5" x14ac:dyDescent="0.25">
      <c r="A140" s="34" t="s">
        <v>137</v>
      </c>
      <c r="B140" s="35">
        <f t="shared" si="63"/>
        <v>12272</v>
      </c>
      <c r="C140" s="35">
        <f t="shared" si="63"/>
        <v>12272</v>
      </c>
      <c r="D140" s="35">
        <f t="shared" si="63"/>
        <v>0</v>
      </c>
      <c r="E140" s="35">
        <v>0</v>
      </c>
      <c r="F140" s="35">
        <v>0</v>
      </c>
      <c r="G140" s="35">
        <f t="shared" si="64"/>
        <v>0</v>
      </c>
      <c r="H140" s="35"/>
      <c r="I140" s="35"/>
      <c r="J140" s="35">
        <f t="shared" si="65"/>
        <v>0</v>
      </c>
      <c r="K140" s="35"/>
      <c r="L140" s="35"/>
      <c r="M140" s="35">
        <f t="shared" si="66"/>
        <v>0</v>
      </c>
      <c r="N140" s="35"/>
      <c r="O140" s="35"/>
      <c r="P140" s="35">
        <f t="shared" si="67"/>
        <v>0</v>
      </c>
      <c r="Q140" s="35">
        <f>2122+1596+3531+3336+1687</f>
        <v>12272</v>
      </c>
      <c r="R140" s="35">
        <f>2122+1596+3531+3336+1687</f>
        <v>12272</v>
      </c>
      <c r="S140" s="35">
        <f t="shared" si="68"/>
        <v>0</v>
      </c>
      <c r="T140" s="35"/>
      <c r="U140" s="35"/>
      <c r="V140" s="35">
        <f t="shared" si="69"/>
        <v>0</v>
      </c>
      <c r="W140" s="35"/>
      <c r="X140" s="35"/>
      <c r="Y140" s="35">
        <f t="shared" si="70"/>
        <v>0</v>
      </c>
      <c r="Z140" s="35"/>
      <c r="AA140" s="35"/>
      <c r="AB140" s="35">
        <f t="shared" si="71"/>
        <v>0</v>
      </c>
    </row>
    <row r="141" spans="1:187" s="29" customFormat="1" ht="31.5" x14ac:dyDescent="0.25">
      <c r="A141" s="34" t="s">
        <v>138</v>
      </c>
      <c r="B141" s="35">
        <f t="shared" si="63"/>
        <v>3905</v>
      </c>
      <c r="C141" s="35">
        <f t="shared" si="63"/>
        <v>3905</v>
      </c>
      <c r="D141" s="35">
        <f t="shared" si="63"/>
        <v>0</v>
      </c>
      <c r="E141" s="35"/>
      <c r="F141" s="35"/>
      <c r="G141" s="35">
        <f t="shared" si="64"/>
        <v>0</v>
      </c>
      <c r="H141" s="35"/>
      <c r="I141" s="35"/>
      <c r="J141" s="35">
        <f t="shared" si="65"/>
        <v>0</v>
      </c>
      <c r="K141" s="35"/>
      <c r="L141" s="35"/>
      <c r="M141" s="35">
        <f t="shared" si="66"/>
        <v>0</v>
      </c>
      <c r="N141" s="35"/>
      <c r="O141" s="35"/>
      <c r="P141" s="35">
        <f t="shared" si="67"/>
        <v>0</v>
      </c>
      <c r="Q141" s="35">
        <v>3905</v>
      </c>
      <c r="R141" s="35">
        <v>3905</v>
      </c>
      <c r="S141" s="35">
        <f t="shared" si="68"/>
        <v>0</v>
      </c>
      <c r="T141" s="35"/>
      <c r="U141" s="35"/>
      <c r="V141" s="35">
        <f t="shared" si="69"/>
        <v>0</v>
      </c>
      <c r="W141" s="35"/>
      <c r="X141" s="35"/>
      <c r="Y141" s="35">
        <f t="shared" si="70"/>
        <v>0</v>
      </c>
      <c r="Z141" s="35"/>
      <c r="AA141" s="35"/>
      <c r="AB141" s="35">
        <f t="shared" si="71"/>
        <v>0</v>
      </c>
    </row>
    <row r="142" spans="1:187" s="29" customFormat="1" x14ac:dyDescent="0.25">
      <c r="A142" s="34" t="s">
        <v>139</v>
      </c>
      <c r="B142" s="35">
        <f t="shared" si="63"/>
        <v>9041</v>
      </c>
      <c r="C142" s="35">
        <f t="shared" si="63"/>
        <v>9041</v>
      </c>
      <c r="D142" s="35">
        <f t="shared" si="63"/>
        <v>0</v>
      </c>
      <c r="E142" s="35"/>
      <c r="F142" s="35"/>
      <c r="G142" s="35">
        <f t="shared" si="64"/>
        <v>0</v>
      </c>
      <c r="H142" s="35"/>
      <c r="I142" s="35"/>
      <c r="J142" s="35">
        <f t="shared" si="65"/>
        <v>0</v>
      </c>
      <c r="K142" s="35"/>
      <c r="L142" s="35"/>
      <c r="M142" s="35">
        <f t="shared" si="66"/>
        <v>0</v>
      </c>
      <c r="N142" s="35"/>
      <c r="O142" s="35"/>
      <c r="P142" s="35">
        <f t="shared" si="67"/>
        <v>0</v>
      </c>
      <c r="Q142" s="35">
        <f>11170-2129</f>
        <v>9041</v>
      </c>
      <c r="R142" s="35">
        <f>11170-2129</f>
        <v>9041</v>
      </c>
      <c r="S142" s="35">
        <f t="shared" si="68"/>
        <v>0</v>
      </c>
      <c r="T142" s="35"/>
      <c r="U142" s="35"/>
      <c r="V142" s="35">
        <f t="shared" si="69"/>
        <v>0</v>
      </c>
      <c r="W142" s="35"/>
      <c r="X142" s="35"/>
      <c r="Y142" s="35">
        <f t="shared" si="70"/>
        <v>0</v>
      </c>
      <c r="Z142" s="35"/>
      <c r="AA142" s="35"/>
      <c r="AB142" s="35">
        <f t="shared" si="71"/>
        <v>0</v>
      </c>
    </row>
    <row r="143" spans="1:187" s="29" customFormat="1" x14ac:dyDescent="0.25">
      <c r="A143" s="27" t="s">
        <v>128</v>
      </c>
      <c r="B143" s="28">
        <f t="shared" si="63"/>
        <v>64933</v>
      </c>
      <c r="C143" s="28">
        <f t="shared" si="63"/>
        <v>64933</v>
      </c>
      <c r="D143" s="28">
        <f t="shared" si="63"/>
        <v>0</v>
      </c>
      <c r="E143" s="28">
        <f t="shared" ref="E143:AA143" si="166">SUM(E144:E149)</f>
        <v>0</v>
      </c>
      <c r="F143" s="28">
        <f t="shared" si="166"/>
        <v>0</v>
      </c>
      <c r="G143" s="28">
        <f t="shared" si="64"/>
        <v>0</v>
      </c>
      <c r="H143" s="28">
        <f t="shared" ref="H143" si="167">SUM(H144:H149)</f>
        <v>0</v>
      </c>
      <c r="I143" s="28">
        <f t="shared" si="166"/>
        <v>0</v>
      </c>
      <c r="J143" s="28">
        <f t="shared" si="65"/>
        <v>0</v>
      </c>
      <c r="K143" s="28">
        <f t="shared" ref="K143" si="168">SUM(K144:K149)</f>
        <v>0</v>
      </c>
      <c r="L143" s="28">
        <f t="shared" si="166"/>
        <v>0</v>
      </c>
      <c r="M143" s="28">
        <f t="shared" si="66"/>
        <v>0</v>
      </c>
      <c r="N143" s="28">
        <f t="shared" ref="N143" si="169">SUM(N144:N149)</f>
        <v>0</v>
      </c>
      <c r="O143" s="28">
        <f t="shared" si="166"/>
        <v>0</v>
      </c>
      <c r="P143" s="28">
        <f t="shared" si="67"/>
        <v>0</v>
      </c>
      <c r="Q143" s="28">
        <f t="shared" ref="Q143" si="170">SUM(Q144:Q149)</f>
        <v>64933</v>
      </c>
      <c r="R143" s="28">
        <f t="shared" si="166"/>
        <v>64933</v>
      </c>
      <c r="S143" s="28">
        <f t="shared" si="68"/>
        <v>0</v>
      </c>
      <c r="T143" s="28">
        <f t="shared" ref="T143" si="171">SUM(T144:T149)</f>
        <v>0</v>
      </c>
      <c r="U143" s="28">
        <f t="shared" si="166"/>
        <v>0</v>
      </c>
      <c r="V143" s="28">
        <f t="shared" si="69"/>
        <v>0</v>
      </c>
      <c r="W143" s="28">
        <f t="shared" si="166"/>
        <v>0</v>
      </c>
      <c r="X143" s="28">
        <f t="shared" si="166"/>
        <v>0</v>
      </c>
      <c r="Y143" s="28">
        <f t="shared" si="70"/>
        <v>0</v>
      </c>
      <c r="Z143" s="28">
        <f t="shared" ref="Z143" si="172">SUM(Z144:Z149)</f>
        <v>0</v>
      </c>
      <c r="AA143" s="28">
        <f t="shared" si="166"/>
        <v>0</v>
      </c>
      <c r="AB143" s="28">
        <f t="shared" si="71"/>
        <v>0</v>
      </c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</row>
    <row r="144" spans="1:187" s="29" customFormat="1" x14ac:dyDescent="0.25">
      <c r="A144" s="34" t="s">
        <v>140</v>
      </c>
      <c r="B144" s="35">
        <f t="shared" si="63"/>
        <v>5848</v>
      </c>
      <c r="C144" s="35">
        <f t="shared" si="63"/>
        <v>5848</v>
      </c>
      <c r="D144" s="35">
        <f t="shared" si="63"/>
        <v>0</v>
      </c>
      <c r="E144" s="35"/>
      <c r="F144" s="35"/>
      <c r="G144" s="35">
        <f t="shared" si="64"/>
        <v>0</v>
      </c>
      <c r="H144" s="35"/>
      <c r="I144" s="35"/>
      <c r="J144" s="35">
        <f t="shared" si="65"/>
        <v>0</v>
      </c>
      <c r="K144" s="35"/>
      <c r="L144" s="35"/>
      <c r="M144" s="35">
        <f t="shared" si="66"/>
        <v>0</v>
      </c>
      <c r="N144" s="35"/>
      <c r="O144" s="35"/>
      <c r="P144" s="35">
        <f t="shared" si="67"/>
        <v>0</v>
      </c>
      <c r="Q144" s="35">
        <f>7366-1518</f>
        <v>5848</v>
      </c>
      <c r="R144" s="35">
        <f>7366-1518</f>
        <v>5848</v>
      </c>
      <c r="S144" s="35">
        <f t="shared" si="68"/>
        <v>0</v>
      </c>
      <c r="T144" s="35"/>
      <c r="U144" s="35"/>
      <c r="V144" s="35">
        <f t="shared" si="69"/>
        <v>0</v>
      </c>
      <c r="W144" s="35"/>
      <c r="X144" s="35"/>
      <c r="Y144" s="35">
        <f t="shared" si="70"/>
        <v>0</v>
      </c>
      <c r="Z144" s="35"/>
      <c r="AA144" s="35"/>
      <c r="AB144" s="35">
        <f t="shared" si="71"/>
        <v>0</v>
      </c>
    </row>
    <row r="145" spans="1:187" s="29" customFormat="1" ht="31.5" x14ac:dyDescent="0.25">
      <c r="A145" s="34" t="s">
        <v>141</v>
      </c>
      <c r="B145" s="35">
        <f t="shared" si="63"/>
        <v>28316</v>
      </c>
      <c r="C145" s="35">
        <f t="shared" si="63"/>
        <v>28316</v>
      </c>
      <c r="D145" s="35">
        <f t="shared" si="63"/>
        <v>0</v>
      </c>
      <c r="E145" s="35"/>
      <c r="F145" s="35"/>
      <c r="G145" s="35">
        <f t="shared" si="64"/>
        <v>0</v>
      </c>
      <c r="H145" s="35"/>
      <c r="I145" s="35"/>
      <c r="J145" s="35">
        <f t="shared" si="65"/>
        <v>0</v>
      </c>
      <c r="K145" s="35"/>
      <c r="L145" s="35"/>
      <c r="M145" s="35">
        <f t="shared" si="66"/>
        <v>0</v>
      </c>
      <c r="N145" s="35"/>
      <c r="O145" s="35"/>
      <c r="P145" s="35">
        <f t="shared" si="67"/>
        <v>0</v>
      </c>
      <c r="Q145" s="35">
        <v>28316</v>
      </c>
      <c r="R145" s="35">
        <v>28316</v>
      </c>
      <c r="S145" s="35">
        <f t="shared" si="68"/>
        <v>0</v>
      </c>
      <c r="T145" s="35"/>
      <c r="U145" s="35"/>
      <c r="V145" s="35">
        <f t="shared" si="69"/>
        <v>0</v>
      </c>
      <c r="W145" s="35"/>
      <c r="X145" s="35"/>
      <c r="Y145" s="35">
        <f t="shared" si="70"/>
        <v>0</v>
      </c>
      <c r="Z145" s="35"/>
      <c r="AA145" s="35"/>
      <c r="AB145" s="35">
        <f t="shared" si="71"/>
        <v>0</v>
      </c>
    </row>
    <row r="146" spans="1:187" s="29" customFormat="1" ht="31.5" x14ac:dyDescent="0.25">
      <c r="A146" s="34" t="s">
        <v>142</v>
      </c>
      <c r="B146" s="35">
        <f t="shared" si="63"/>
        <v>10006</v>
      </c>
      <c r="C146" s="35">
        <f t="shared" si="63"/>
        <v>10006</v>
      </c>
      <c r="D146" s="35">
        <f t="shared" si="63"/>
        <v>0</v>
      </c>
      <c r="E146" s="35"/>
      <c r="F146" s="35"/>
      <c r="G146" s="35">
        <f t="shared" si="64"/>
        <v>0</v>
      </c>
      <c r="H146" s="35"/>
      <c r="I146" s="35"/>
      <c r="J146" s="35">
        <f t="shared" si="65"/>
        <v>0</v>
      </c>
      <c r="K146" s="35"/>
      <c r="L146" s="35"/>
      <c r="M146" s="35">
        <f t="shared" si="66"/>
        <v>0</v>
      </c>
      <c r="N146" s="35"/>
      <c r="O146" s="35"/>
      <c r="P146" s="35">
        <f t="shared" si="67"/>
        <v>0</v>
      </c>
      <c r="Q146" s="35">
        <v>10006</v>
      </c>
      <c r="R146" s="35">
        <v>10006</v>
      </c>
      <c r="S146" s="35">
        <f t="shared" si="68"/>
        <v>0</v>
      </c>
      <c r="T146" s="35"/>
      <c r="U146" s="35"/>
      <c r="V146" s="35">
        <f t="shared" si="69"/>
        <v>0</v>
      </c>
      <c r="W146" s="35"/>
      <c r="X146" s="35"/>
      <c r="Y146" s="35">
        <f t="shared" si="70"/>
        <v>0</v>
      </c>
      <c r="Z146" s="35"/>
      <c r="AA146" s="35"/>
      <c r="AB146" s="35">
        <f t="shared" si="71"/>
        <v>0</v>
      </c>
    </row>
    <row r="147" spans="1:187" s="29" customFormat="1" ht="31.5" x14ac:dyDescent="0.25">
      <c r="A147" s="34" t="s">
        <v>143</v>
      </c>
      <c r="B147" s="35">
        <f t="shared" si="63"/>
        <v>4594</v>
      </c>
      <c r="C147" s="35">
        <f t="shared" si="63"/>
        <v>4594</v>
      </c>
      <c r="D147" s="35">
        <f t="shared" si="63"/>
        <v>0</v>
      </c>
      <c r="E147" s="35"/>
      <c r="F147" s="35"/>
      <c r="G147" s="35">
        <f t="shared" si="64"/>
        <v>0</v>
      </c>
      <c r="H147" s="35"/>
      <c r="I147" s="35"/>
      <c r="J147" s="35">
        <f t="shared" si="65"/>
        <v>0</v>
      </c>
      <c r="K147" s="35"/>
      <c r="L147" s="35"/>
      <c r="M147" s="35">
        <f t="shared" si="66"/>
        <v>0</v>
      </c>
      <c r="N147" s="35"/>
      <c r="O147" s="35"/>
      <c r="P147" s="35">
        <f t="shared" si="67"/>
        <v>0</v>
      </c>
      <c r="Q147" s="35">
        <v>4594</v>
      </c>
      <c r="R147" s="35">
        <v>4594</v>
      </c>
      <c r="S147" s="35">
        <f t="shared" si="68"/>
        <v>0</v>
      </c>
      <c r="T147" s="35"/>
      <c r="U147" s="35"/>
      <c r="V147" s="35">
        <f t="shared" si="69"/>
        <v>0</v>
      </c>
      <c r="W147" s="35"/>
      <c r="X147" s="35"/>
      <c r="Y147" s="35">
        <f t="shared" si="70"/>
        <v>0</v>
      </c>
      <c r="Z147" s="35"/>
      <c r="AA147" s="35"/>
      <c r="AB147" s="35">
        <f t="shared" si="71"/>
        <v>0</v>
      </c>
    </row>
    <row r="148" spans="1:187" s="29" customFormat="1" ht="31.5" x14ac:dyDescent="0.25">
      <c r="A148" s="34" t="s">
        <v>144</v>
      </c>
      <c r="B148" s="35">
        <f t="shared" si="63"/>
        <v>10006</v>
      </c>
      <c r="C148" s="35">
        <f t="shared" si="63"/>
        <v>10006</v>
      </c>
      <c r="D148" s="35">
        <f t="shared" si="63"/>
        <v>0</v>
      </c>
      <c r="E148" s="35"/>
      <c r="F148" s="35"/>
      <c r="G148" s="35">
        <f t="shared" si="64"/>
        <v>0</v>
      </c>
      <c r="H148" s="35"/>
      <c r="I148" s="35"/>
      <c r="J148" s="35">
        <f t="shared" si="65"/>
        <v>0</v>
      </c>
      <c r="K148" s="35"/>
      <c r="L148" s="35"/>
      <c r="M148" s="35">
        <f t="shared" si="66"/>
        <v>0</v>
      </c>
      <c r="N148" s="35"/>
      <c r="O148" s="35"/>
      <c r="P148" s="35">
        <f t="shared" si="67"/>
        <v>0</v>
      </c>
      <c r="Q148" s="35">
        <v>10006</v>
      </c>
      <c r="R148" s="35">
        <v>10006</v>
      </c>
      <c r="S148" s="35">
        <f t="shared" si="68"/>
        <v>0</v>
      </c>
      <c r="T148" s="35"/>
      <c r="U148" s="35"/>
      <c r="V148" s="35">
        <f t="shared" si="69"/>
        <v>0</v>
      </c>
      <c r="W148" s="35"/>
      <c r="X148" s="35"/>
      <c r="Y148" s="35">
        <f t="shared" si="70"/>
        <v>0</v>
      </c>
      <c r="Z148" s="35"/>
      <c r="AA148" s="35"/>
      <c r="AB148" s="35">
        <f t="shared" si="71"/>
        <v>0</v>
      </c>
    </row>
    <row r="149" spans="1:187" s="29" customFormat="1" x14ac:dyDescent="0.25">
      <c r="A149" s="34" t="s">
        <v>145</v>
      </c>
      <c r="B149" s="35">
        <f t="shared" si="63"/>
        <v>6163</v>
      </c>
      <c r="C149" s="35">
        <f t="shared" si="63"/>
        <v>6163</v>
      </c>
      <c r="D149" s="35">
        <f t="shared" si="63"/>
        <v>0</v>
      </c>
      <c r="E149" s="35"/>
      <c r="F149" s="35"/>
      <c r="G149" s="35">
        <f t="shared" si="64"/>
        <v>0</v>
      </c>
      <c r="H149" s="35"/>
      <c r="I149" s="35"/>
      <c r="J149" s="35">
        <f t="shared" si="65"/>
        <v>0</v>
      </c>
      <c r="K149" s="35"/>
      <c r="L149" s="35"/>
      <c r="M149" s="35">
        <f t="shared" si="66"/>
        <v>0</v>
      </c>
      <c r="N149" s="35"/>
      <c r="O149" s="35"/>
      <c r="P149" s="35">
        <f t="shared" si="67"/>
        <v>0</v>
      </c>
      <c r="Q149" s="35">
        <v>6163</v>
      </c>
      <c r="R149" s="35">
        <v>6163</v>
      </c>
      <c r="S149" s="35">
        <f t="shared" si="68"/>
        <v>0</v>
      </c>
      <c r="T149" s="35"/>
      <c r="U149" s="35"/>
      <c r="V149" s="35">
        <f t="shared" si="69"/>
        <v>0</v>
      </c>
      <c r="W149" s="35"/>
      <c r="X149" s="35"/>
      <c r="Y149" s="35">
        <f t="shared" si="70"/>
        <v>0</v>
      </c>
      <c r="Z149" s="35"/>
      <c r="AA149" s="35"/>
      <c r="AB149" s="35">
        <f t="shared" si="71"/>
        <v>0</v>
      </c>
    </row>
    <row r="150" spans="1:187" s="29" customFormat="1" ht="31.5" x14ac:dyDescent="0.25">
      <c r="A150" s="27" t="s">
        <v>59</v>
      </c>
      <c r="B150" s="28">
        <f t="shared" si="63"/>
        <v>454493</v>
      </c>
      <c r="C150" s="28">
        <f t="shared" si="63"/>
        <v>497547</v>
      </c>
      <c r="D150" s="28">
        <f t="shared" si="63"/>
        <v>43054</v>
      </c>
      <c r="E150" s="28">
        <f t="shared" ref="E150:AB150" si="173">SUM(E151,E162,E176,E180,E187)</f>
        <v>0</v>
      </c>
      <c r="F150" s="28">
        <f t="shared" si="173"/>
        <v>0</v>
      </c>
      <c r="G150" s="28">
        <f t="shared" si="173"/>
        <v>0</v>
      </c>
      <c r="H150" s="28">
        <f t="shared" si="173"/>
        <v>0</v>
      </c>
      <c r="I150" s="28">
        <f t="shared" si="173"/>
        <v>0</v>
      </c>
      <c r="J150" s="28">
        <f t="shared" si="173"/>
        <v>0</v>
      </c>
      <c r="K150" s="28">
        <f t="shared" si="173"/>
        <v>0</v>
      </c>
      <c r="L150" s="28">
        <f t="shared" si="173"/>
        <v>0</v>
      </c>
      <c r="M150" s="28">
        <f t="shared" si="173"/>
        <v>0</v>
      </c>
      <c r="N150" s="28">
        <f t="shared" si="173"/>
        <v>220201</v>
      </c>
      <c r="O150" s="28">
        <f t="shared" si="173"/>
        <v>250201</v>
      </c>
      <c r="P150" s="28">
        <f t="shared" si="173"/>
        <v>30000</v>
      </c>
      <c r="Q150" s="28">
        <f t="shared" si="173"/>
        <v>234292</v>
      </c>
      <c r="R150" s="28">
        <f t="shared" si="173"/>
        <v>247346</v>
      </c>
      <c r="S150" s="28">
        <f t="shared" si="173"/>
        <v>13054</v>
      </c>
      <c r="T150" s="28">
        <f t="shared" si="173"/>
        <v>0</v>
      </c>
      <c r="U150" s="28">
        <f t="shared" si="173"/>
        <v>0</v>
      </c>
      <c r="V150" s="28">
        <f t="shared" si="173"/>
        <v>0</v>
      </c>
      <c r="W150" s="28">
        <f t="shared" si="173"/>
        <v>0</v>
      </c>
      <c r="X150" s="28">
        <f t="shared" si="173"/>
        <v>0</v>
      </c>
      <c r="Y150" s="28">
        <f t="shared" si="173"/>
        <v>0</v>
      </c>
      <c r="Z150" s="28">
        <f t="shared" si="173"/>
        <v>0</v>
      </c>
      <c r="AA150" s="28">
        <f t="shared" si="173"/>
        <v>0</v>
      </c>
      <c r="AB150" s="28">
        <f t="shared" si="173"/>
        <v>0</v>
      </c>
    </row>
    <row r="151" spans="1:187" s="29" customFormat="1" x14ac:dyDescent="0.25">
      <c r="A151" s="27" t="s">
        <v>91</v>
      </c>
      <c r="B151" s="28">
        <f t="shared" ref="B151:D220" si="174">E151+H151+K151+N151+Q151+T151+W151+Z151</f>
        <v>79114</v>
      </c>
      <c r="C151" s="28">
        <f t="shared" si="174"/>
        <v>121469</v>
      </c>
      <c r="D151" s="28">
        <f t="shared" si="174"/>
        <v>42355</v>
      </c>
      <c r="E151" s="28">
        <f>SUM(E152:E161)</f>
        <v>0</v>
      </c>
      <c r="F151" s="28">
        <f>SUM(F152:F161)</f>
        <v>0</v>
      </c>
      <c r="G151" s="28">
        <f t="shared" si="64"/>
        <v>0</v>
      </c>
      <c r="H151" s="28">
        <f>SUM(H152:H161)</f>
        <v>0</v>
      </c>
      <c r="I151" s="28">
        <f>SUM(I152:I161)</f>
        <v>0</v>
      </c>
      <c r="J151" s="28">
        <f t="shared" si="65"/>
        <v>0</v>
      </c>
      <c r="K151" s="28">
        <f>SUM(K152:K161)</f>
        <v>0</v>
      </c>
      <c r="L151" s="28">
        <f>SUM(L152:L161)</f>
        <v>0</v>
      </c>
      <c r="M151" s="28">
        <f t="shared" si="66"/>
        <v>0</v>
      </c>
      <c r="N151" s="28">
        <f>SUM(N152:N161)</f>
        <v>72471</v>
      </c>
      <c r="O151" s="28">
        <f>SUM(O152:O161)</f>
        <v>102471</v>
      </c>
      <c r="P151" s="28">
        <f t="shared" si="67"/>
        <v>30000</v>
      </c>
      <c r="Q151" s="28">
        <f>SUM(Q152:Q161)</f>
        <v>6643</v>
      </c>
      <c r="R151" s="28">
        <f>SUM(R152:R161)</f>
        <v>18998</v>
      </c>
      <c r="S151" s="28">
        <f t="shared" si="68"/>
        <v>12355</v>
      </c>
      <c r="T151" s="28">
        <f>SUM(T152:T161)</f>
        <v>0</v>
      </c>
      <c r="U151" s="28">
        <f>SUM(U152:U161)</f>
        <v>0</v>
      </c>
      <c r="V151" s="28">
        <f t="shared" si="69"/>
        <v>0</v>
      </c>
      <c r="W151" s="28">
        <f>SUM(W152:W161)</f>
        <v>0</v>
      </c>
      <c r="X151" s="28">
        <f>SUM(X152:X161)</f>
        <v>0</v>
      </c>
      <c r="Y151" s="28">
        <f t="shared" si="70"/>
        <v>0</v>
      </c>
      <c r="Z151" s="28">
        <f>SUM(Z152:Z161)</f>
        <v>0</v>
      </c>
      <c r="AA151" s="28">
        <f>SUM(AA152:AA161)</f>
        <v>0</v>
      </c>
      <c r="AB151" s="28">
        <f t="shared" si="71"/>
        <v>0</v>
      </c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</row>
    <row r="152" spans="1:187" s="29" customFormat="1" x14ac:dyDescent="0.25">
      <c r="A152" s="34" t="s">
        <v>146</v>
      </c>
      <c r="B152" s="35">
        <f t="shared" si="174"/>
        <v>720</v>
      </c>
      <c r="C152" s="35">
        <f t="shared" si="174"/>
        <v>720</v>
      </c>
      <c r="D152" s="35">
        <f t="shared" si="174"/>
        <v>0</v>
      </c>
      <c r="E152" s="35"/>
      <c r="F152" s="35"/>
      <c r="G152" s="35">
        <f t="shared" ref="G152:G221" si="175">F152-E152</f>
        <v>0</v>
      </c>
      <c r="H152" s="35"/>
      <c r="I152" s="35"/>
      <c r="J152" s="35">
        <f t="shared" ref="J152:J221" si="176">I152-H152</f>
        <v>0</v>
      </c>
      <c r="K152" s="35">
        <v>0</v>
      </c>
      <c r="L152" s="35">
        <v>0</v>
      </c>
      <c r="M152" s="35">
        <f t="shared" ref="M152:M221" si="177">L152-K152</f>
        <v>0</v>
      </c>
      <c r="N152" s="35">
        <v>0</v>
      </c>
      <c r="O152" s="35">
        <v>0</v>
      </c>
      <c r="P152" s="35">
        <f t="shared" ref="P152:P221" si="178">O152-N152</f>
        <v>0</v>
      </c>
      <c r="Q152" s="35">
        <v>720</v>
      </c>
      <c r="R152" s="35">
        <v>720</v>
      </c>
      <c r="S152" s="35">
        <f t="shared" ref="S152:S221" si="179">R152-Q152</f>
        <v>0</v>
      </c>
      <c r="T152" s="35"/>
      <c r="U152" s="35"/>
      <c r="V152" s="35">
        <f t="shared" ref="V152:V221" si="180">U152-T152</f>
        <v>0</v>
      </c>
      <c r="W152" s="35"/>
      <c r="X152" s="35"/>
      <c r="Y152" s="35">
        <f t="shared" ref="Y152:Y221" si="181">X152-W152</f>
        <v>0</v>
      </c>
      <c r="Z152" s="35"/>
      <c r="AA152" s="35"/>
      <c r="AB152" s="35">
        <f t="shared" ref="AB152:AB221" si="182">AA152-Z152</f>
        <v>0</v>
      </c>
    </row>
    <row r="153" spans="1:187" s="26" customFormat="1" x14ac:dyDescent="0.25">
      <c r="A153" s="37" t="s">
        <v>147</v>
      </c>
      <c r="B153" s="39">
        <f t="shared" si="174"/>
        <v>1320</v>
      </c>
      <c r="C153" s="39">
        <f t="shared" si="174"/>
        <v>1320</v>
      </c>
      <c r="D153" s="39">
        <f t="shared" si="174"/>
        <v>0</v>
      </c>
      <c r="E153" s="39"/>
      <c r="F153" s="39"/>
      <c r="G153" s="39">
        <f t="shared" si="175"/>
        <v>0</v>
      </c>
      <c r="H153" s="39"/>
      <c r="I153" s="39"/>
      <c r="J153" s="39">
        <f t="shared" si="176"/>
        <v>0</v>
      </c>
      <c r="K153" s="39">
        <v>0</v>
      </c>
      <c r="L153" s="39">
        <v>0</v>
      </c>
      <c r="M153" s="39">
        <f t="shared" si="177"/>
        <v>0</v>
      </c>
      <c r="N153" s="39">
        <v>0</v>
      </c>
      <c r="O153" s="39">
        <v>0</v>
      </c>
      <c r="P153" s="39">
        <f t="shared" si="178"/>
        <v>0</v>
      </c>
      <c r="Q153" s="39">
        <v>1320</v>
      </c>
      <c r="R153" s="39">
        <v>1320</v>
      </c>
      <c r="S153" s="39">
        <f t="shared" si="179"/>
        <v>0</v>
      </c>
      <c r="T153" s="39"/>
      <c r="U153" s="39"/>
      <c r="V153" s="39">
        <f t="shared" si="180"/>
        <v>0</v>
      </c>
      <c r="W153" s="39"/>
      <c r="X153" s="39"/>
      <c r="Y153" s="39">
        <f t="shared" si="181"/>
        <v>0</v>
      </c>
      <c r="Z153" s="39"/>
      <c r="AA153" s="39"/>
      <c r="AB153" s="39">
        <f t="shared" si="182"/>
        <v>0</v>
      </c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</row>
    <row r="154" spans="1:187" s="26" customFormat="1" ht="31.5" x14ac:dyDescent="0.25">
      <c r="A154" s="37" t="s">
        <v>148</v>
      </c>
      <c r="B154" s="39">
        <f t="shared" si="174"/>
        <v>720</v>
      </c>
      <c r="C154" s="39">
        <f t="shared" si="174"/>
        <v>720</v>
      </c>
      <c r="D154" s="39">
        <f t="shared" si="174"/>
        <v>0</v>
      </c>
      <c r="E154" s="39"/>
      <c r="F154" s="39"/>
      <c r="G154" s="39">
        <f t="shared" si="175"/>
        <v>0</v>
      </c>
      <c r="H154" s="39"/>
      <c r="I154" s="39"/>
      <c r="J154" s="39">
        <f t="shared" si="176"/>
        <v>0</v>
      </c>
      <c r="K154" s="39">
        <v>0</v>
      </c>
      <c r="L154" s="39">
        <v>0</v>
      </c>
      <c r="M154" s="39">
        <f t="shared" si="177"/>
        <v>0</v>
      </c>
      <c r="N154" s="39">
        <v>0</v>
      </c>
      <c r="O154" s="39">
        <v>0</v>
      </c>
      <c r="P154" s="39">
        <f t="shared" si="178"/>
        <v>0</v>
      </c>
      <c r="Q154" s="39">
        <v>720</v>
      </c>
      <c r="R154" s="39">
        <v>720</v>
      </c>
      <c r="S154" s="39">
        <f t="shared" si="179"/>
        <v>0</v>
      </c>
      <c r="T154" s="39"/>
      <c r="U154" s="39"/>
      <c r="V154" s="39">
        <f t="shared" si="180"/>
        <v>0</v>
      </c>
      <c r="W154" s="39"/>
      <c r="X154" s="39"/>
      <c r="Y154" s="39">
        <f t="shared" si="181"/>
        <v>0</v>
      </c>
      <c r="Z154" s="39"/>
      <c r="AA154" s="39"/>
      <c r="AB154" s="39">
        <f t="shared" si="182"/>
        <v>0</v>
      </c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</row>
    <row r="155" spans="1:187" s="26" customFormat="1" x14ac:dyDescent="0.25">
      <c r="A155" s="37" t="s">
        <v>149</v>
      </c>
      <c r="B155" s="39">
        <f t="shared" si="174"/>
        <v>0</v>
      </c>
      <c r="C155" s="39">
        <f t="shared" si="174"/>
        <v>12355</v>
      </c>
      <c r="D155" s="39">
        <f t="shared" si="174"/>
        <v>12355</v>
      </c>
      <c r="E155" s="39"/>
      <c r="F155" s="39"/>
      <c r="G155" s="39">
        <f t="shared" si="175"/>
        <v>0</v>
      </c>
      <c r="H155" s="39"/>
      <c r="I155" s="39"/>
      <c r="J155" s="39">
        <f t="shared" si="176"/>
        <v>0</v>
      </c>
      <c r="K155" s="39">
        <v>0</v>
      </c>
      <c r="L155" s="39">
        <v>0</v>
      </c>
      <c r="M155" s="39">
        <f t="shared" si="177"/>
        <v>0</v>
      </c>
      <c r="N155" s="39">
        <v>0</v>
      </c>
      <c r="O155" s="39">
        <v>0</v>
      </c>
      <c r="P155" s="39">
        <f t="shared" si="178"/>
        <v>0</v>
      </c>
      <c r="Q155" s="39"/>
      <c r="R155" s="39">
        <v>12355</v>
      </c>
      <c r="S155" s="39">
        <f t="shared" si="179"/>
        <v>12355</v>
      </c>
      <c r="T155" s="39"/>
      <c r="U155" s="39"/>
      <c r="V155" s="39">
        <f t="shared" si="180"/>
        <v>0</v>
      </c>
      <c r="W155" s="39"/>
      <c r="X155" s="39"/>
      <c r="Y155" s="39">
        <f t="shared" si="181"/>
        <v>0</v>
      </c>
      <c r="Z155" s="39"/>
      <c r="AA155" s="39"/>
      <c r="AB155" s="39">
        <f t="shared" si="182"/>
        <v>0</v>
      </c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</row>
    <row r="156" spans="1:187" s="26" customFormat="1" ht="31.5" x14ac:dyDescent="0.25">
      <c r="A156" s="37" t="s">
        <v>150</v>
      </c>
      <c r="B156" s="39">
        <f t="shared" si="174"/>
        <v>1889</v>
      </c>
      <c r="C156" s="39">
        <f t="shared" si="174"/>
        <v>1889</v>
      </c>
      <c r="D156" s="39">
        <f t="shared" si="174"/>
        <v>0</v>
      </c>
      <c r="E156" s="39"/>
      <c r="F156" s="39"/>
      <c r="G156" s="39">
        <f t="shared" si="175"/>
        <v>0</v>
      </c>
      <c r="H156" s="39"/>
      <c r="I156" s="39"/>
      <c r="J156" s="39">
        <f t="shared" si="176"/>
        <v>0</v>
      </c>
      <c r="K156" s="39">
        <v>0</v>
      </c>
      <c r="L156" s="39">
        <v>0</v>
      </c>
      <c r="M156" s="39">
        <f t="shared" si="177"/>
        <v>0</v>
      </c>
      <c r="N156" s="39">
        <v>0</v>
      </c>
      <c r="O156" s="39">
        <v>0</v>
      </c>
      <c r="P156" s="39">
        <f t="shared" si="178"/>
        <v>0</v>
      </c>
      <c r="Q156" s="39">
        <f>929+960</f>
        <v>1889</v>
      </c>
      <c r="R156" s="39">
        <f>929+960</f>
        <v>1889</v>
      </c>
      <c r="S156" s="39">
        <f t="shared" si="179"/>
        <v>0</v>
      </c>
      <c r="T156" s="39"/>
      <c r="U156" s="39"/>
      <c r="V156" s="39">
        <f t="shared" si="180"/>
        <v>0</v>
      </c>
      <c r="W156" s="39"/>
      <c r="X156" s="39"/>
      <c r="Y156" s="39">
        <f t="shared" si="181"/>
        <v>0</v>
      </c>
      <c r="Z156" s="39"/>
      <c r="AA156" s="39"/>
      <c r="AB156" s="39">
        <f t="shared" si="182"/>
        <v>0</v>
      </c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</row>
    <row r="157" spans="1:187" s="26" customFormat="1" ht="31.5" x14ac:dyDescent="0.25">
      <c r="A157" s="37" t="s">
        <v>151</v>
      </c>
      <c r="B157" s="39">
        <f t="shared" si="174"/>
        <v>1994</v>
      </c>
      <c r="C157" s="39">
        <f t="shared" si="174"/>
        <v>1994</v>
      </c>
      <c r="D157" s="39">
        <f t="shared" si="174"/>
        <v>0</v>
      </c>
      <c r="E157" s="39"/>
      <c r="F157" s="39"/>
      <c r="G157" s="39">
        <f t="shared" si="175"/>
        <v>0</v>
      </c>
      <c r="H157" s="39"/>
      <c r="I157" s="39"/>
      <c r="J157" s="39">
        <f t="shared" si="176"/>
        <v>0</v>
      </c>
      <c r="K157" s="39">
        <v>0</v>
      </c>
      <c r="L157" s="39">
        <v>0</v>
      </c>
      <c r="M157" s="39">
        <f t="shared" si="177"/>
        <v>0</v>
      </c>
      <c r="N157" s="39">
        <v>0</v>
      </c>
      <c r="O157" s="39">
        <v>0</v>
      </c>
      <c r="P157" s="39">
        <f t="shared" si="178"/>
        <v>0</v>
      </c>
      <c r="Q157" s="39">
        <v>1994</v>
      </c>
      <c r="R157" s="39">
        <v>1994</v>
      </c>
      <c r="S157" s="39">
        <f t="shared" si="179"/>
        <v>0</v>
      </c>
      <c r="T157" s="39"/>
      <c r="U157" s="39"/>
      <c r="V157" s="39">
        <f t="shared" si="180"/>
        <v>0</v>
      </c>
      <c r="W157" s="39"/>
      <c r="X157" s="39"/>
      <c r="Y157" s="39">
        <f t="shared" si="181"/>
        <v>0</v>
      </c>
      <c r="Z157" s="39"/>
      <c r="AA157" s="39"/>
      <c r="AB157" s="39">
        <f t="shared" si="182"/>
        <v>0</v>
      </c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</row>
    <row r="158" spans="1:187" s="29" customFormat="1" ht="47.25" x14ac:dyDescent="0.25">
      <c r="A158" s="37" t="s">
        <v>152</v>
      </c>
      <c r="B158" s="32">
        <f t="shared" si="174"/>
        <v>0</v>
      </c>
      <c r="C158" s="32">
        <f t="shared" si="174"/>
        <v>30000</v>
      </c>
      <c r="D158" s="32">
        <f t="shared" si="174"/>
        <v>30000</v>
      </c>
      <c r="E158" s="32"/>
      <c r="F158" s="32"/>
      <c r="G158" s="32">
        <f t="shared" si="175"/>
        <v>0</v>
      </c>
      <c r="H158" s="32"/>
      <c r="I158" s="32"/>
      <c r="J158" s="32">
        <f t="shared" si="176"/>
        <v>0</v>
      </c>
      <c r="K158" s="32">
        <v>0</v>
      </c>
      <c r="L158" s="32">
        <v>0</v>
      </c>
      <c r="M158" s="32">
        <f t="shared" si="177"/>
        <v>0</v>
      </c>
      <c r="N158" s="32"/>
      <c r="O158" s="32">
        <v>30000</v>
      </c>
      <c r="P158" s="32">
        <f t="shared" si="178"/>
        <v>30000</v>
      </c>
      <c r="Q158" s="32">
        <v>0</v>
      </c>
      <c r="R158" s="32">
        <v>0</v>
      </c>
      <c r="S158" s="32">
        <f t="shared" si="179"/>
        <v>0</v>
      </c>
      <c r="T158" s="32"/>
      <c r="U158" s="32"/>
      <c r="V158" s="32">
        <f t="shared" si="180"/>
        <v>0</v>
      </c>
      <c r="W158" s="32"/>
      <c r="X158" s="32"/>
      <c r="Y158" s="32">
        <f t="shared" si="181"/>
        <v>0</v>
      </c>
      <c r="Z158" s="32"/>
      <c r="AA158" s="32"/>
      <c r="AB158" s="32">
        <f t="shared" si="182"/>
        <v>0</v>
      </c>
    </row>
    <row r="159" spans="1:187" s="29" customFormat="1" ht="52.5" customHeight="1" x14ac:dyDescent="0.25">
      <c r="A159" s="37" t="s">
        <v>153</v>
      </c>
      <c r="B159" s="32">
        <f t="shared" si="174"/>
        <v>52246</v>
      </c>
      <c r="C159" s="32">
        <f t="shared" si="174"/>
        <v>52246</v>
      </c>
      <c r="D159" s="32">
        <f t="shared" si="174"/>
        <v>0</v>
      </c>
      <c r="E159" s="32"/>
      <c r="F159" s="32"/>
      <c r="G159" s="32">
        <f t="shared" si="175"/>
        <v>0</v>
      </c>
      <c r="H159" s="32"/>
      <c r="I159" s="32"/>
      <c r="J159" s="32">
        <f t="shared" si="176"/>
        <v>0</v>
      </c>
      <c r="K159" s="32">
        <v>0</v>
      </c>
      <c r="L159" s="32">
        <v>0</v>
      </c>
      <c r="M159" s="32">
        <f t="shared" si="177"/>
        <v>0</v>
      </c>
      <c r="N159" s="32">
        <v>52246</v>
      </c>
      <c r="O159" s="32">
        <v>52246</v>
      </c>
      <c r="P159" s="32">
        <f t="shared" si="178"/>
        <v>0</v>
      </c>
      <c r="Q159" s="32">
        <v>0</v>
      </c>
      <c r="R159" s="32">
        <v>0</v>
      </c>
      <c r="S159" s="32">
        <f t="shared" si="179"/>
        <v>0</v>
      </c>
      <c r="T159" s="32"/>
      <c r="U159" s="32"/>
      <c r="V159" s="32">
        <f t="shared" si="180"/>
        <v>0</v>
      </c>
      <c r="W159" s="32"/>
      <c r="X159" s="32"/>
      <c r="Y159" s="32">
        <f t="shared" si="181"/>
        <v>0</v>
      </c>
      <c r="Z159" s="32"/>
      <c r="AA159" s="32"/>
      <c r="AB159" s="32">
        <f t="shared" si="182"/>
        <v>0</v>
      </c>
    </row>
    <row r="160" spans="1:187" s="29" customFormat="1" ht="78.75" x14ac:dyDescent="0.25">
      <c r="A160" s="37" t="s">
        <v>154</v>
      </c>
      <c r="B160" s="32">
        <f t="shared" si="174"/>
        <v>9000</v>
      </c>
      <c r="C160" s="32">
        <f t="shared" si="174"/>
        <v>9000</v>
      </c>
      <c r="D160" s="32">
        <f t="shared" si="174"/>
        <v>0</v>
      </c>
      <c r="E160" s="32"/>
      <c r="F160" s="32"/>
      <c r="G160" s="32">
        <f t="shared" si="175"/>
        <v>0</v>
      </c>
      <c r="H160" s="32"/>
      <c r="I160" s="32"/>
      <c r="J160" s="32">
        <f t="shared" si="176"/>
        <v>0</v>
      </c>
      <c r="K160" s="32">
        <v>0</v>
      </c>
      <c r="L160" s="32">
        <v>0</v>
      </c>
      <c r="M160" s="32">
        <f t="shared" si="177"/>
        <v>0</v>
      </c>
      <c r="N160" s="32">
        <v>9000</v>
      </c>
      <c r="O160" s="32">
        <v>9000</v>
      </c>
      <c r="P160" s="32">
        <f t="shared" si="178"/>
        <v>0</v>
      </c>
      <c r="Q160" s="32">
        <v>0</v>
      </c>
      <c r="R160" s="32">
        <v>0</v>
      </c>
      <c r="S160" s="32">
        <f t="shared" si="179"/>
        <v>0</v>
      </c>
      <c r="T160" s="32"/>
      <c r="U160" s="32"/>
      <c r="V160" s="32">
        <f t="shared" si="180"/>
        <v>0</v>
      </c>
      <c r="W160" s="32"/>
      <c r="X160" s="32"/>
      <c r="Y160" s="32">
        <f t="shared" si="181"/>
        <v>0</v>
      </c>
      <c r="Z160" s="32"/>
      <c r="AA160" s="32"/>
      <c r="AB160" s="32">
        <f t="shared" si="182"/>
        <v>0</v>
      </c>
    </row>
    <row r="161" spans="1:187" s="29" customFormat="1" ht="94.5" x14ac:dyDescent="0.25">
      <c r="A161" s="37" t="s">
        <v>155</v>
      </c>
      <c r="B161" s="32">
        <f t="shared" si="174"/>
        <v>11225</v>
      </c>
      <c r="C161" s="32">
        <f t="shared" si="174"/>
        <v>11225</v>
      </c>
      <c r="D161" s="32">
        <f t="shared" si="174"/>
        <v>0</v>
      </c>
      <c r="E161" s="32"/>
      <c r="F161" s="32"/>
      <c r="G161" s="32">
        <f t="shared" si="175"/>
        <v>0</v>
      </c>
      <c r="H161" s="32"/>
      <c r="I161" s="32"/>
      <c r="J161" s="32">
        <f t="shared" si="176"/>
        <v>0</v>
      </c>
      <c r="K161" s="32">
        <v>0</v>
      </c>
      <c r="L161" s="32">
        <v>0</v>
      </c>
      <c r="M161" s="32">
        <f t="shared" si="177"/>
        <v>0</v>
      </c>
      <c r="N161" s="32">
        <v>11225</v>
      </c>
      <c r="O161" s="32">
        <v>11225</v>
      </c>
      <c r="P161" s="32">
        <f t="shared" si="178"/>
        <v>0</v>
      </c>
      <c r="Q161" s="32">
        <v>0</v>
      </c>
      <c r="R161" s="32">
        <v>0</v>
      </c>
      <c r="S161" s="32">
        <f t="shared" si="179"/>
        <v>0</v>
      </c>
      <c r="T161" s="32"/>
      <c r="U161" s="32"/>
      <c r="V161" s="32">
        <f t="shared" si="180"/>
        <v>0</v>
      </c>
      <c r="W161" s="32"/>
      <c r="X161" s="32"/>
      <c r="Y161" s="32">
        <f t="shared" si="181"/>
        <v>0</v>
      </c>
      <c r="Z161" s="32"/>
      <c r="AA161" s="32"/>
      <c r="AB161" s="32">
        <f t="shared" si="182"/>
        <v>0</v>
      </c>
    </row>
    <row r="162" spans="1:187" s="29" customFormat="1" ht="31.5" x14ac:dyDescent="0.25">
      <c r="A162" s="27" t="s">
        <v>97</v>
      </c>
      <c r="B162" s="28">
        <f t="shared" si="174"/>
        <v>83674</v>
      </c>
      <c r="C162" s="28">
        <f t="shared" si="174"/>
        <v>84373</v>
      </c>
      <c r="D162" s="28">
        <f t="shared" si="174"/>
        <v>699</v>
      </c>
      <c r="E162" s="28">
        <f t="shared" ref="E162:AA162" si="183">SUM(E163:E175)</f>
        <v>0</v>
      </c>
      <c r="F162" s="28">
        <f t="shared" si="183"/>
        <v>0</v>
      </c>
      <c r="G162" s="28">
        <f t="shared" si="175"/>
        <v>0</v>
      </c>
      <c r="H162" s="28">
        <f t="shared" ref="H162" si="184">SUM(H163:H175)</f>
        <v>0</v>
      </c>
      <c r="I162" s="28">
        <f t="shared" si="183"/>
        <v>0</v>
      </c>
      <c r="J162" s="28">
        <f t="shared" si="176"/>
        <v>0</v>
      </c>
      <c r="K162" s="28">
        <f t="shared" ref="K162" si="185">SUM(K163:K175)</f>
        <v>0</v>
      </c>
      <c r="L162" s="28">
        <f t="shared" si="183"/>
        <v>0</v>
      </c>
      <c r="M162" s="28">
        <f t="shared" si="177"/>
        <v>0</v>
      </c>
      <c r="N162" s="28">
        <f t="shared" ref="N162" si="186">SUM(N163:N175)</f>
        <v>27932</v>
      </c>
      <c r="O162" s="28">
        <f t="shared" si="183"/>
        <v>27932</v>
      </c>
      <c r="P162" s="28">
        <f t="shared" si="178"/>
        <v>0</v>
      </c>
      <c r="Q162" s="28">
        <f t="shared" ref="Q162" si="187">SUM(Q163:Q175)</f>
        <v>55742</v>
      </c>
      <c r="R162" s="28">
        <f t="shared" si="183"/>
        <v>56441</v>
      </c>
      <c r="S162" s="28">
        <f t="shared" si="179"/>
        <v>699</v>
      </c>
      <c r="T162" s="28">
        <f t="shared" ref="T162" si="188">SUM(T163:T175)</f>
        <v>0</v>
      </c>
      <c r="U162" s="28">
        <f t="shared" si="183"/>
        <v>0</v>
      </c>
      <c r="V162" s="28">
        <f t="shared" si="180"/>
        <v>0</v>
      </c>
      <c r="W162" s="28">
        <f t="shared" si="183"/>
        <v>0</v>
      </c>
      <c r="X162" s="28">
        <f t="shared" si="183"/>
        <v>0</v>
      </c>
      <c r="Y162" s="28">
        <f t="shared" si="181"/>
        <v>0</v>
      </c>
      <c r="Z162" s="28">
        <f t="shared" ref="Z162" si="189">SUM(Z163:Z175)</f>
        <v>0</v>
      </c>
      <c r="AA162" s="28">
        <f t="shared" si="183"/>
        <v>0</v>
      </c>
      <c r="AB162" s="28">
        <f t="shared" si="182"/>
        <v>0</v>
      </c>
    </row>
    <row r="163" spans="1:187" s="29" customFormat="1" ht="94.5" x14ac:dyDescent="0.25">
      <c r="A163" s="37" t="s">
        <v>156</v>
      </c>
      <c r="B163" s="32">
        <f t="shared" si="174"/>
        <v>4684</v>
      </c>
      <c r="C163" s="32">
        <f t="shared" si="174"/>
        <v>4684</v>
      </c>
      <c r="D163" s="32">
        <f t="shared" si="174"/>
        <v>0</v>
      </c>
      <c r="E163" s="32"/>
      <c r="F163" s="32"/>
      <c r="G163" s="32">
        <f t="shared" si="175"/>
        <v>0</v>
      </c>
      <c r="H163" s="32"/>
      <c r="I163" s="32"/>
      <c r="J163" s="32">
        <f t="shared" si="176"/>
        <v>0</v>
      </c>
      <c r="K163" s="32"/>
      <c r="L163" s="32"/>
      <c r="M163" s="32">
        <f t="shared" si="177"/>
        <v>0</v>
      </c>
      <c r="N163" s="32">
        <v>4684</v>
      </c>
      <c r="O163" s="32">
        <v>4684</v>
      </c>
      <c r="P163" s="32">
        <f t="shared" si="178"/>
        <v>0</v>
      </c>
      <c r="Q163" s="32">
        <v>0</v>
      </c>
      <c r="R163" s="32">
        <v>0</v>
      </c>
      <c r="S163" s="32">
        <f t="shared" si="179"/>
        <v>0</v>
      </c>
      <c r="T163" s="32"/>
      <c r="U163" s="32"/>
      <c r="V163" s="32">
        <f t="shared" si="180"/>
        <v>0</v>
      </c>
      <c r="W163" s="32"/>
      <c r="X163" s="32"/>
      <c r="Y163" s="32">
        <f t="shared" si="181"/>
        <v>0</v>
      </c>
      <c r="Z163" s="32"/>
      <c r="AA163" s="32"/>
      <c r="AB163" s="32">
        <f t="shared" si="182"/>
        <v>0</v>
      </c>
    </row>
    <row r="164" spans="1:187" s="29" customFormat="1" ht="94.5" x14ac:dyDescent="0.25">
      <c r="A164" s="37" t="s">
        <v>157</v>
      </c>
      <c r="B164" s="32">
        <f t="shared" si="174"/>
        <v>18000</v>
      </c>
      <c r="C164" s="32">
        <f t="shared" si="174"/>
        <v>18000</v>
      </c>
      <c r="D164" s="32">
        <f t="shared" si="174"/>
        <v>0</v>
      </c>
      <c r="E164" s="32"/>
      <c r="F164" s="32"/>
      <c r="G164" s="32">
        <f t="shared" si="175"/>
        <v>0</v>
      </c>
      <c r="H164" s="32"/>
      <c r="I164" s="32"/>
      <c r="J164" s="32">
        <f t="shared" si="176"/>
        <v>0</v>
      </c>
      <c r="K164" s="32"/>
      <c r="L164" s="32"/>
      <c r="M164" s="32">
        <f t="shared" si="177"/>
        <v>0</v>
      </c>
      <c r="N164" s="32">
        <v>18000</v>
      </c>
      <c r="O164" s="32">
        <v>18000</v>
      </c>
      <c r="P164" s="32">
        <f t="shared" si="178"/>
        <v>0</v>
      </c>
      <c r="Q164" s="32">
        <v>0</v>
      </c>
      <c r="R164" s="32">
        <v>0</v>
      </c>
      <c r="S164" s="32">
        <f t="shared" si="179"/>
        <v>0</v>
      </c>
      <c r="T164" s="32"/>
      <c r="U164" s="32"/>
      <c r="V164" s="32">
        <f t="shared" si="180"/>
        <v>0</v>
      </c>
      <c r="W164" s="32"/>
      <c r="X164" s="32"/>
      <c r="Y164" s="32">
        <f t="shared" si="181"/>
        <v>0</v>
      </c>
      <c r="Z164" s="32"/>
      <c r="AA164" s="32"/>
      <c r="AB164" s="32">
        <f t="shared" si="182"/>
        <v>0</v>
      </c>
    </row>
    <row r="165" spans="1:187" s="29" customFormat="1" ht="47.25" x14ac:dyDescent="0.25">
      <c r="A165" s="37" t="s">
        <v>158</v>
      </c>
      <c r="B165" s="32">
        <f t="shared" si="174"/>
        <v>1500</v>
      </c>
      <c r="C165" s="32">
        <f t="shared" si="174"/>
        <v>1500</v>
      </c>
      <c r="D165" s="32">
        <f t="shared" si="174"/>
        <v>0</v>
      </c>
      <c r="E165" s="32"/>
      <c r="F165" s="32"/>
      <c r="G165" s="32">
        <f t="shared" si="175"/>
        <v>0</v>
      </c>
      <c r="H165" s="32"/>
      <c r="I165" s="32"/>
      <c r="J165" s="32">
        <f t="shared" si="176"/>
        <v>0</v>
      </c>
      <c r="K165" s="32"/>
      <c r="L165" s="32"/>
      <c r="M165" s="32">
        <f t="shared" si="177"/>
        <v>0</v>
      </c>
      <c r="N165" s="32">
        <v>1500</v>
      </c>
      <c r="O165" s="32">
        <v>1500</v>
      </c>
      <c r="P165" s="32">
        <f t="shared" si="178"/>
        <v>0</v>
      </c>
      <c r="Q165" s="32"/>
      <c r="R165" s="32"/>
      <c r="S165" s="32">
        <f t="shared" si="179"/>
        <v>0</v>
      </c>
      <c r="T165" s="32"/>
      <c r="U165" s="32"/>
      <c r="V165" s="32">
        <f t="shared" si="180"/>
        <v>0</v>
      </c>
      <c r="W165" s="32"/>
      <c r="X165" s="32"/>
      <c r="Y165" s="32">
        <f t="shared" si="181"/>
        <v>0</v>
      </c>
      <c r="Z165" s="32"/>
      <c r="AA165" s="32"/>
      <c r="AB165" s="32">
        <f t="shared" si="182"/>
        <v>0</v>
      </c>
    </row>
    <row r="166" spans="1:187" s="26" customFormat="1" ht="63" x14ac:dyDescent="0.25">
      <c r="A166" s="37" t="s">
        <v>159</v>
      </c>
      <c r="B166" s="39">
        <f t="shared" si="174"/>
        <v>3748</v>
      </c>
      <c r="C166" s="39">
        <f t="shared" si="174"/>
        <v>3748</v>
      </c>
      <c r="D166" s="39">
        <f t="shared" si="174"/>
        <v>0</v>
      </c>
      <c r="E166" s="39"/>
      <c r="F166" s="39"/>
      <c r="G166" s="39">
        <f t="shared" si="175"/>
        <v>0</v>
      </c>
      <c r="H166" s="39"/>
      <c r="I166" s="39"/>
      <c r="J166" s="39">
        <f t="shared" si="176"/>
        <v>0</v>
      </c>
      <c r="K166" s="39"/>
      <c r="L166" s="39"/>
      <c r="M166" s="39">
        <f t="shared" si="177"/>
        <v>0</v>
      </c>
      <c r="N166" s="39">
        <v>3748</v>
      </c>
      <c r="O166" s="39">
        <v>3748</v>
      </c>
      <c r="P166" s="39">
        <f t="shared" si="178"/>
        <v>0</v>
      </c>
      <c r="Q166" s="39">
        <v>0</v>
      </c>
      <c r="R166" s="39">
        <v>0</v>
      </c>
      <c r="S166" s="39">
        <f t="shared" si="179"/>
        <v>0</v>
      </c>
      <c r="T166" s="39"/>
      <c r="U166" s="39"/>
      <c r="V166" s="39">
        <f t="shared" si="180"/>
        <v>0</v>
      </c>
      <c r="W166" s="39"/>
      <c r="X166" s="39"/>
      <c r="Y166" s="39">
        <f t="shared" si="181"/>
        <v>0</v>
      </c>
      <c r="Z166" s="39"/>
      <c r="AA166" s="39"/>
      <c r="AB166" s="39">
        <f t="shared" si="182"/>
        <v>0</v>
      </c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</row>
    <row r="167" spans="1:187" s="26" customFormat="1" ht="31.5" x14ac:dyDescent="0.25">
      <c r="A167" s="37" t="s">
        <v>160</v>
      </c>
      <c r="B167" s="39">
        <f t="shared" si="174"/>
        <v>3500</v>
      </c>
      <c r="C167" s="39">
        <f t="shared" si="174"/>
        <v>3500</v>
      </c>
      <c r="D167" s="39">
        <f t="shared" si="174"/>
        <v>0</v>
      </c>
      <c r="E167" s="39"/>
      <c r="F167" s="39"/>
      <c r="G167" s="39">
        <f t="shared" si="175"/>
        <v>0</v>
      </c>
      <c r="H167" s="39"/>
      <c r="I167" s="39"/>
      <c r="J167" s="39">
        <f t="shared" si="176"/>
        <v>0</v>
      </c>
      <c r="K167" s="39">
        <v>0</v>
      </c>
      <c r="L167" s="39">
        <v>0</v>
      </c>
      <c r="M167" s="39">
        <f t="shared" si="177"/>
        <v>0</v>
      </c>
      <c r="N167" s="39"/>
      <c r="O167" s="39"/>
      <c r="P167" s="39">
        <f t="shared" si="178"/>
        <v>0</v>
      </c>
      <c r="Q167" s="39">
        <v>3500</v>
      </c>
      <c r="R167" s="39">
        <v>3500</v>
      </c>
      <c r="S167" s="39">
        <f t="shared" si="179"/>
        <v>0</v>
      </c>
      <c r="T167" s="39"/>
      <c r="U167" s="39"/>
      <c r="V167" s="39">
        <f t="shared" si="180"/>
        <v>0</v>
      </c>
      <c r="W167" s="39"/>
      <c r="X167" s="39"/>
      <c r="Y167" s="39">
        <f t="shared" si="181"/>
        <v>0</v>
      </c>
      <c r="Z167" s="39"/>
      <c r="AA167" s="39"/>
      <c r="AB167" s="39">
        <f t="shared" si="182"/>
        <v>0</v>
      </c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</row>
    <row r="168" spans="1:187" s="26" customFormat="1" ht="31.5" x14ac:dyDescent="0.25">
      <c r="A168" s="37" t="s">
        <v>161</v>
      </c>
      <c r="B168" s="39">
        <f t="shared" si="174"/>
        <v>3360</v>
      </c>
      <c r="C168" s="39">
        <f t="shared" si="174"/>
        <v>3360</v>
      </c>
      <c r="D168" s="39">
        <f t="shared" si="174"/>
        <v>0</v>
      </c>
      <c r="E168" s="39"/>
      <c r="F168" s="39"/>
      <c r="G168" s="39">
        <f t="shared" si="175"/>
        <v>0</v>
      </c>
      <c r="H168" s="39"/>
      <c r="I168" s="39"/>
      <c r="J168" s="39">
        <f t="shared" si="176"/>
        <v>0</v>
      </c>
      <c r="K168" s="39">
        <v>0</v>
      </c>
      <c r="L168" s="39">
        <v>0</v>
      </c>
      <c r="M168" s="39">
        <f t="shared" si="177"/>
        <v>0</v>
      </c>
      <c r="N168" s="39"/>
      <c r="O168" s="39"/>
      <c r="P168" s="39">
        <f t="shared" si="178"/>
        <v>0</v>
      </c>
      <c r="Q168" s="39">
        <v>3360</v>
      </c>
      <c r="R168" s="39">
        <v>3360</v>
      </c>
      <c r="S168" s="39">
        <f t="shared" si="179"/>
        <v>0</v>
      </c>
      <c r="T168" s="39"/>
      <c r="U168" s="39"/>
      <c r="V168" s="39">
        <f t="shared" si="180"/>
        <v>0</v>
      </c>
      <c r="W168" s="39"/>
      <c r="X168" s="39"/>
      <c r="Y168" s="39">
        <f t="shared" si="181"/>
        <v>0</v>
      </c>
      <c r="Z168" s="39"/>
      <c r="AA168" s="39"/>
      <c r="AB168" s="39">
        <f t="shared" si="182"/>
        <v>0</v>
      </c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</row>
    <row r="169" spans="1:187" s="26" customFormat="1" ht="31.5" x14ac:dyDescent="0.25">
      <c r="A169" s="37" t="s">
        <v>162</v>
      </c>
      <c r="B169" s="39">
        <f t="shared" si="174"/>
        <v>3816</v>
      </c>
      <c r="C169" s="39">
        <f t="shared" si="174"/>
        <v>3816</v>
      </c>
      <c r="D169" s="39">
        <f t="shared" si="174"/>
        <v>0</v>
      </c>
      <c r="E169" s="39"/>
      <c r="F169" s="39"/>
      <c r="G169" s="39">
        <f t="shared" si="175"/>
        <v>0</v>
      </c>
      <c r="H169" s="39"/>
      <c r="I169" s="39"/>
      <c r="J169" s="39">
        <f t="shared" si="176"/>
        <v>0</v>
      </c>
      <c r="K169" s="39">
        <v>0</v>
      </c>
      <c r="L169" s="39">
        <v>0</v>
      </c>
      <c r="M169" s="39">
        <f t="shared" si="177"/>
        <v>0</v>
      </c>
      <c r="N169" s="39"/>
      <c r="O169" s="39"/>
      <c r="P169" s="39">
        <f t="shared" si="178"/>
        <v>0</v>
      </c>
      <c r="Q169" s="39">
        <v>3816</v>
      </c>
      <c r="R169" s="39">
        <v>3816</v>
      </c>
      <c r="S169" s="39">
        <f t="shared" si="179"/>
        <v>0</v>
      </c>
      <c r="T169" s="39"/>
      <c r="U169" s="39"/>
      <c r="V169" s="39">
        <f t="shared" si="180"/>
        <v>0</v>
      </c>
      <c r="W169" s="39"/>
      <c r="X169" s="39"/>
      <c r="Y169" s="39">
        <f t="shared" si="181"/>
        <v>0</v>
      </c>
      <c r="Z169" s="39"/>
      <c r="AA169" s="39"/>
      <c r="AB169" s="39">
        <f t="shared" si="182"/>
        <v>0</v>
      </c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</row>
    <row r="170" spans="1:187" s="26" customFormat="1" ht="31.5" x14ac:dyDescent="0.25">
      <c r="A170" s="37" t="s">
        <v>163</v>
      </c>
      <c r="B170" s="39">
        <f t="shared" si="174"/>
        <v>5843</v>
      </c>
      <c r="C170" s="39">
        <f t="shared" si="174"/>
        <v>5843</v>
      </c>
      <c r="D170" s="39">
        <f t="shared" si="174"/>
        <v>0</v>
      </c>
      <c r="E170" s="39"/>
      <c r="F170" s="39"/>
      <c r="G170" s="39">
        <f t="shared" si="175"/>
        <v>0</v>
      </c>
      <c r="H170" s="39"/>
      <c r="I170" s="39"/>
      <c r="J170" s="39">
        <f t="shared" si="176"/>
        <v>0</v>
      </c>
      <c r="K170" s="39">
        <v>0</v>
      </c>
      <c r="L170" s="39">
        <v>0</v>
      </c>
      <c r="M170" s="39">
        <f t="shared" si="177"/>
        <v>0</v>
      </c>
      <c r="N170" s="39"/>
      <c r="O170" s="39"/>
      <c r="P170" s="39">
        <f t="shared" si="178"/>
        <v>0</v>
      </c>
      <c r="Q170" s="39">
        <v>5843</v>
      </c>
      <c r="R170" s="39">
        <v>5843</v>
      </c>
      <c r="S170" s="39">
        <f t="shared" si="179"/>
        <v>0</v>
      </c>
      <c r="T170" s="39"/>
      <c r="U170" s="39"/>
      <c r="V170" s="39">
        <f t="shared" si="180"/>
        <v>0</v>
      </c>
      <c r="W170" s="39"/>
      <c r="X170" s="39"/>
      <c r="Y170" s="39">
        <f t="shared" si="181"/>
        <v>0</v>
      </c>
      <c r="Z170" s="39"/>
      <c r="AA170" s="39"/>
      <c r="AB170" s="39">
        <f t="shared" si="182"/>
        <v>0</v>
      </c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</row>
    <row r="171" spans="1:187" s="26" customFormat="1" ht="31.5" x14ac:dyDescent="0.25">
      <c r="A171" s="37" t="s">
        <v>164</v>
      </c>
      <c r="B171" s="39">
        <f t="shared" si="174"/>
        <v>2400</v>
      </c>
      <c r="C171" s="39">
        <f t="shared" si="174"/>
        <v>2400</v>
      </c>
      <c r="D171" s="39">
        <f t="shared" si="174"/>
        <v>0</v>
      </c>
      <c r="E171" s="39"/>
      <c r="F171" s="39"/>
      <c r="G171" s="39">
        <f t="shared" si="175"/>
        <v>0</v>
      </c>
      <c r="H171" s="39"/>
      <c r="I171" s="39"/>
      <c r="J171" s="39">
        <f t="shared" si="176"/>
        <v>0</v>
      </c>
      <c r="K171" s="39">
        <v>0</v>
      </c>
      <c r="L171" s="39">
        <v>0</v>
      </c>
      <c r="M171" s="39">
        <f t="shared" si="177"/>
        <v>0</v>
      </c>
      <c r="N171" s="39"/>
      <c r="O171" s="39"/>
      <c r="P171" s="39">
        <f t="shared" si="178"/>
        <v>0</v>
      </c>
      <c r="Q171" s="39">
        <v>2400</v>
      </c>
      <c r="R171" s="39">
        <v>2400</v>
      </c>
      <c r="S171" s="39">
        <f t="shared" si="179"/>
        <v>0</v>
      </c>
      <c r="T171" s="39"/>
      <c r="U171" s="39"/>
      <c r="V171" s="39">
        <f t="shared" si="180"/>
        <v>0</v>
      </c>
      <c r="W171" s="39"/>
      <c r="X171" s="39"/>
      <c r="Y171" s="39">
        <f t="shared" si="181"/>
        <v>0</v>
      </c>
      <c r="Z171" s="39"/>
      <c r="AA171" s="39"/>
      <c r="AB171" s="39">
        <f t="shared" si="182"/>
        <v>0</v>
      </c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</row>
    <row r="172" spans="1:187" s="29" customFormat="1" ht="47.25" x14ac:dyDescent="0.25">
      <c r="A172" s="34" t="s">
        <v>165</v>
      </c>
      <c r="B172" s="35">
        <f t="shared" si="174"/>
        <v>6414</v>
      </c>
      <c r="C172" s="35">
        <f t="shared" si="174"/>
        <v>7113</v>
      </c>
      <c r="D172" s="35">
        <f t="shared" si="174"/>
        <v>699</v>
      </c>
      <c r="E172" s="35"/>
      <c r="F172" s="35"/>
      <c r="G172" s="35">
        <f t="shared" si="175"/>
        <v>0</v>
      </c>
      <c r="H172" s="35"/>
      <c r="I172" s="35"/>
      <c r="J172" s="35">
        <f t="shared" si="176"/>
        <v>0</v>
      </c>
      <c r="K172" s="35"/>
      <c r="L172" s="35"/>
      <c r="M172" s="35">
        <f t="shared" si="177"/>
        <v>0</v>
      </c>
      <c r="N172" s="35">
        <v>0</v>
      </c>
      <c r="O172" s="35">
        <v>0</v>
      </c>
      <c r="P172" s="35">
        <f t="shared" si="178"/>
        <v>0</v>
      </c>
      <c r="Q172" s="35">
        <v>6414</v>
      </c>
      <c r="R172" s="35">
        <f>6414+699</f>
        <v>7113</v>
      </c>
      <c r="S172" s="35">
        <f t="shared" si="179"/>
        <v>699</v>
      </c>
      <c r="T172" s="35"/>
      <c r="U172" s="35"/>
      <c r="V172" s="35">
        <f t="shared" si="180"/>
        <v>0</v>
      </c>
      <c r="W172" s="35"/>
      <c r="X172" s="35"/>
      <c r="Y172" s="35">
        <f t="shared" si="181"/>
        <v>0</v>
      </c>
      <c r="Z172" s="35"/>
      <c r="AA172" s="35"/>
      <c r="AB172" s="35">
        <f t="shared" si="182"/>
        <v>0</v>
      </c>
    </row>
    <row r="173" spans="1:187" s="29" customFormat="1" ht="31.5" x14ac:dyDescent="0.25">
      <c r="A173" s="37" t="s">
        <v>166</v>
      </c>
      <c r="B173" s="32">
        <f t="shared" si="174"/>
        <v>14998</v>
      </c>
      <c r="C173" s="32">
        <f t="shared" si="174"/>
        <v>14998</v>
      </c>
      <c r="D173" s="32">
        <f t="shared" si="174"/>
        <v>0</v>
      </c>
      <c r="E173" s="32"/>
      <c r="F173" s="32"/>
      <c r="G173" s="32">
        <f t="shared" si="175"/>
        <v>0</v>
      </c>
      <c r="H173" s="32"/>
      <c r="I173" s="32"/>
      <c r="J173" s="32">
        <f t="shared" si="176"/>
        <v>0</v>
      </c>
      <c r="K173" s="32"/>
      <c r="L173" s="32"/>
      <c r="M173" s="32">
        <f t="shared" si="177"/>
        <v>0</v>
      </c>
      <c r="N173" s="32">
        <v>0</v>
      </c>
      <c r="O173" s="32">
        <v>0</v>
      </c>
      <c r="P173" s="32">
        <f t="shared" si="178"/>
        <v>0</v>
      </c>
      <c r="Q173" s="32">
        <v>14998</v>
      </c>
      <c r="R173" s="32">
        <v>14998</v>
      </c>
      <c r="S173" s="32">
        <f t="shared" si="179"/>
        <v>0</v>
      </c>
      <c r="T173" s="32"/>
      <c r="U173" s="32"/>
      <c r="V173" s="32">
        <f t="shared" si="180"/>
        <v>0</v>
      </c>
      <c r="W173" s="32"/>
      <c r="X173" s="32"/>
      <c r="Y173" s="32">
        <f t="shared" si="181"/>
        <v>0</v>
      </c>
      <c r="Z173" s="32"/>
      <c r="AA173" s="32"/>
      <c r="AB173" s="32">
        <f t="shared" si="182"/>
        <v>0</v>
      </c>
    </row>
    <row r="174" spans="1:187" s="29" customFormat="1" ht="47.25" x14ac:dyDescent="0.25">
      <c r="A174" s="34" t="s">
        <v>167</v>
      </c>
      <c r="B174" s="35">
        <f t="shared" si="174"/>
        <v>3605</v>
      </c>
      <c r="C174" s="35">
        <f t="shared" si="174"/>
        <v>3605</v>
      </c>
      <c r="D174" s="35">
        <f t="shared" si="174"/>
        <v>0</v>
      </c>
      <c r="E174" s="35">
        <v>0</v>
      </c>
      <c r="F174" s="35">
        <v>0</v>
      </c>
      <c r="G174" s="35">
        <f t="shared" si="175"/>
        <v>0</v>
      </c>
      <c r="H174" s="35"/>
      <c r="I174" s="35"/>
      <c r="J174" s="35">
        <f t="shared" si="176"/>
        <v>0</v>
      </c>
      <c r="K174" s="35"/>
      <c r="L174" s="35"/>
      <c r="M174" s="35">
        <f t="shared" si="177"/>
        <v>0</v>
      </c>
      <c r="N174" s="35"/>
      <c r="O174" s="35"/>
      <c r="P174" s="35">
        <f t="shared" si="178"/>
        <v>0</v>
      </c>
      <c r="Q174" s="35">
        <v>3605</v>
      </c>
      <c r="R174" s="35">
        <v>3605</v>
      </c>
      <c r="S174" s="35">
        <f t="shared" si="179"/>
        <v>0</v>
      </c>
      <c r="T174" s="35"/>
      <c r="U174" s="35"/>
      <c r="V174" s="35">
        <f t="shared" si="180"/>
        <v>0</v>
      </c>
      <c r="W174" s="35"/>
      <c r="X174" s="35"/>
      <c r="Y174" s="35">
        <f t="shared" si="181"/>
        <v>0</v>
      </c>
      <c r="Z174" s="35"/>
      <c r="AA174" s="35"/>
      <c r="AB174" s="35">
        <f t="shared" si="182"/>
        <v>0</v>
      </c>
    </row>
    <row r="175" spans="1:187" s="29" customFormat="1" x14ac:dyDescent="0.25">
      <c r="A175" s="34" t="s">
        <v>168</v>
      </c>
      <c r="B175" s="35">
        <f t="shared" si="174"/>
        <v>11806</v>
      </c>
      <c r="C175" s="35">
        <f t="shared" si="174"/>
        <v>11806</v>
      </c>
      <c r="D175" s="35">
        <f t="shared" si="174"/>
        <v>0</v>
      </c>
      <c r="E175" s="35"/>
      <c r="F175" s="35"/>
      <c r="G175" s="35">
        <f t="shared" si="175"/>
        <v>0</v>
      </c>
      <c r="H175" s="35"/>
      <c r="I175" s="35"/>
      <c r="J175" s="35">
        <f t="shared" si="176"/>
        <v>0</v>
      </c>
      <c r="K175" s="35"/>
      <c r="L175" s="35"/>
      <c r="M175" s="35">
        <f t="shared" si="177"/>
        <v>0</v>
      </c>
      <c r="N175" s="35">
        <v>0</v>
      </c>
      <c r="O175" s="35">
        <v>0</v>
      </c>
      <c r="P175" s="35">
        <f t="shared" si="178"/>
        <v>0</v>
      </c>
      <c r="Q175" s="35">
        <v>11806</v>
      </c>
      <c r="R175" s="35">
        <v>11806</v>
      </c>
      <c r="S175" s="35">
        <f t="shared" si="179"/>
        <v>0</v>
      </c>
      <c r="T175" s="35"/>
      <c r="U175" s="35"/>
      <c r="V175" s="35">
        <f t="shared" si="180"/>
        <v>0</v>
      </c>
      <c r="W175" s="35"/>
      <c r="X175" s="35"/>
      <c r="Y175" s="35">
        <f t="shared" si="181"/>
        <v>0</v>
      </c>
      <c r="Z175" s="35"/>
      <c r="AA175" s="35"/>
      <c r="AB175" s="35">
        <f t="shared" si="182"/>
        <v>0</v>
      </c>
    </row>
    <row r="176" spans="1:187" s="29" customFormat="1" x14ac:dyDescent="0.25">
      <c r="A176" s="27" t="s">
        <v>169</v>
      </c>
      <c r="B176" s="28">
        <f t="shared" si="174"/>
        <v>183988</v>
      </c>
      <c r="C176" s="28">
        <f t="shared" si="174"/>
        <v>183988</v>
      </c>
      <c r="D176" s="28">
        <f t="shared" si="174"/>
        <v>0</v>
      </c>
      <c r="E176" s="28">
        <f>SUM(E177:E179)</f>
        <v>0</v>
      </c>
      <c r="F176" s="28">
        <f>SUM(F177:F179)</f>
        <v>0</v>
      </c>
      <c r="G176" s="28">
        <f t="shared" si="175"/>
        <v>0</v>
      </c>
      <c r="H176" s="28">
        <f>SUM(H177:H179)</f>
        <v>0</v>
      </c>
      <c r="I176" s="28">
        <f>SUM(I177:I179)</f>
        <v>0</v>
      </c>
      <c r="J176" s="28">
        <f t="shared" si="176"/>
        <v>0</v>
      </c>
      <c r="K176" s="28">
        <f>SUM(K177:K179)</f>
        <v>0</v>
      </c>
      <c r="L176" s="28">
        <f>SUM(L177:L179)</f>
        <v>0</v>
      </c>
      <c r="M176" s="28">
        <f t="shared" si="177"/>
        <v>0</v>
      </c>
      <c r="N176" s="28">
        <f>SUM(N177:N179)</f>
        <v>113488</v>
      </c>
      <c r="O176" s="28">
        <f>SUM(O177:O179)</f>
        <v>113488</v>
      </c>
      <c r="P176" s="28">
        <f t="shared" si="178"/>
        <v>0</v>
      </c>
      <c r="Q176" s="28">
        <f>SUM(Q177:Q179)</f>
        <v>70500</v>
      </c>
      <c r="R176" s="28">
        <f>SUM(R177:R179)</f>
        <v>70500</v>
      </c>
      <c r="S176" s="28">
        <f t="shared" si="179"/>
        <v>0</v>
      </c>
      <c r="T176" s="28">
        <f>SUM(T177:T179)</f>
        <v>0</v>
      </c>
      <c r="U176" s="28">
        <f>SUM(U177:U179)</f>
        <v>0</v>
      </c>
      <c r="V176" s="28">
        <f t="shared" si="180"/>
        <v>0</v>
      </c>
      <c r="W176" s="28">
        <f>SUM(W177:W179)</f>
        <v>0</v>
      </c>
      <c r="X176" s="28">
        <f>SUM(X177:X179)</f>
        <v>0</v>
      </c>
      <c r="Y176" s="28">
        <f t="shared" si="181"/>
        <v>0</v>
      </c>
      <c r="Z176" s="28">
        <f>SUM(Z177:Z179)</f>
        <v>0</v>
      </c>
      <c r="AA176" s="28">
        <f>SUM(AA177:AA179)</f>
        <v>0</v>
      </c>
      <c r="AB176" s="28">
        <f t="shared" si="182"/>
        <v>0</v>
      </c>
    </row>
    <row r="177" spans="1:187" s="26" customFormat="1" ht="31.5" x14ac:dyDescent="0.25">
      <c r="A177" s="37" t="s">
        <v>170</v>
      </c>
      <c r="B177" s="39">
        <f t="shared" si="174"/>
        <v>70500</v>
      </c>
      <c r="C177" s="39">
        <f t="shared" si="174"/>
        <v>70500</v>
      </c>
      <c r="D177" s="39">
        <f t="shared" si="174"/>
        <v>0</v>
      </c>
      <c r="E177" s="39"/>
      <c r="F177" s="39"/>
      <c r="G177" s="39">
        <f t="shared" si="175"/>
        <v>0</v>
      </c>
      <c r="H177" s="39"/>
      <c r="I177" s="39"/>
      <c r="J177" s="39">
        <f t="shared" si="176"/>
        <v>0</v>
      </c>
      <c r="K177" s="39">
        <v>0</v>
      </c>
      <c r="L177" s="39">
        <v>0</v>
      </c>
      <c r="M177" s="39">
        <f t="shared" si="177"/>
        <v>0</v>
      </c>
      <c r="N177" s="39"/>
      <c r="O177" s="39"/>
      <c r="P177" s="39">
        <f t="shared" si="178"/>
        <v>0</v>
      </c>
      <c r="Q177" s="39">
        <v>70500</v>
      </c>
      <c r="R177" s="39">
        <v>70500</v>
      </c>
      <c r="S177" s="39">
        <f t="shared" si="179"/>
        <v>0</v>
      </c>
      <c r="T177" s="39"/>
      <c r="U177" s="39"/>
      <c r="V177" s="39">
        <f t="shared" si="180"/>
        <v>0</v>
      </c>
      <c r="W177" s="39"/>
      <c r="X177" s="39"/>
      <c r="Y177" s="39">
        <f t="shared" si="181"/>
        <v>0</v>
      </c>
      <c r="Z177" s="39"/>
      <c r="AA177" s="39"/>
      <c r="AB177" s="39">
        <f t="shared" si="182"/>
        <v>0</v>
      </c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</row>
    <row r="178" spans="1:187" s="29" customFormat="1" ht="94.5" x14ac:dyDescent="0.25">
      <c r="A178" s="37" t="s">
        <v>171</v>
      </c>
      <c r="B178" s="32">
        <f t="shared" si="174"/>
        <v>77500</v>
      </c>
      <c r="C178" s="32">
        <f t="shared" si="174"/>
        <v>77500</v>
      </c>
      <c r="D178" s="32">
        <f t="shared" si="174"/>
        <v>0</v>
      </c>
      <c r="E178" s="32"/>
      <c r="F178" s="32"/>
      <c r="G178" s="32">
        <f t="shared" si="175"/>
        <v>0</v>
      </c>
      <c r="H178" s="32"/>
      <c r="I178" s="32"/>
      <c r="J178" s="32">
        <f t="shared" si="176"/>
        <v>0</v>
      </c>
      <c r="K178" s="32">
        <v>0</v>
      </c>
      <c r="L178" s="32">
        <v>0</v>
      </c>
      <c r="M178" s="32">
        <f t="shared" si="177"/>
        <v>0</v>
      </c>
      <c r="N178" s="32">
        <v>77500</v>
      </c>
      <c r="O178" s="32">
        <v>77500</v>
      </c>
      <c r="P178" s="32">
        <f t="shared" si="178"/>
        <v>0</v>
      </c>
      <c r="Q178" s="32"/>
      <c r="R178" s="32"/>
      <c r="S178" s="32">
        <f t="shared" si="179"/>
        <v>0</v>
      </c>
      <c r="T178" s="32"/>
      <c r="U178" s="32"/>
      <c r="V178" s="32">
        <f t="shared" si="180"/>
        <v>0</v>
      </c>
      <c r="W178" s="32"/>
      <c r="X178" s="32"/>
      <c r="Y178" s="32">
        <f t="shared" si="181"/>
        <v>0</v>
      </c>
      <c r="Z178" s="32"/>
      <c r="AA178" s="32"/>
      <c r="AB178" s="32">
        <f t="shared" si="182"/>
        <v>0</v>
      </c>
    </row>
    <row r="179" spans="1:187" s="29" customFormat="1" ht="78.75" x14ac:dyDescent="0.25">
      <c r="A179" s="37" t="s">
        <v>172</v>
      </c>
      <c r="B179" s="32">
        <f t="shared" si="174"/>
        <v>35988</v>
      </c>
      <c r="C179" s="32">
        <f t="shared" si="174"/>
        <v>35988</v>
      </c>
      <c r="D179" s="32">
        <f t="shared" si="174"/>
        <v>0</v>
      </c>
      <c r="E179" s="32"/>
      <c r="F179" s="32"/>
      <c r="G179" s="32">
        <f t="shared" si="175"/>
        <v>0</v>
      </c>
      <c r="H179" s="32"/>
      <c r="I179" s="32"/>
      <c r="J179" s="32">
        <f t="shared" si="176"/>
        <v>0</v>
      </c>
      <c r="K179" s="32">
        <v>0</v>
      </c>
      <c r="L179" s="32">
        <v>0</v>
      </c>
      <c r="M179" s="32">
        <f t="shared" si="177"/>
        <v>0</v>
      </c>
      <c r="N179" s="32">
        <f>29988+6000</f>
        <v>35988</v>
      </c>
      <c r="O179" s="32">
        <f>29988+6000</f>
        <v>35988</v>
      </c>
      <c r="P179" s="32">
        <f t="shared" si="178"/>
        <v>0</v>
      </c>
      <c r="Q179" s="32"/>
      <c r="R179" s="32"/>
      <c r="S179" s="32">
        <f t="shared" si="179"/>
        <v>0</v>
      </c>
      <c r="T179" s="32"/>
      <c r="U179" s="32"/>
      <c r="V179" s="32">
        <f t="shared" si="180"/>
        <v>0</v>
      </c>
      <c r="W179" s="32"/>
      <c r="X179" s="32"/>
      <c r="Y179" s="32">
        <f t="shared" si="181"/>
        <v>0</v>
      </c>
      <c r="Z179" s="32"/>
      <c r="AA179" s="32"/>
      <c r="AB179" s="32">
        <f t="shared" si="182"/>
        <v>0</v>
      </c>
    </row>
    <row r="180" spans="1:187" s="29" customFormat="1" x14ac:dyDescent="0.25">
      <c r="A180" s="27" t="s">
        <v>128</v>
      </c>
      <c r="B180" s="28">
        <f t="shared" si="174"/>
        <v>47183</v>
      </c>
      <c r="C180" s="28">
        <f t="shared" si="174"/>
        <v>47183</v>
      </c>
      <c r="D180" s="28">
        <f t="shared" si="174"/>
        <v>0</v>
      </c>
      <c r="E180" s="28">
        <f t="shared" ref="E180:AA180" si="190">SUM(E181:E186)</f>
        <v>0</v>
      </c>
      <c r="F180" s="28">
        <f t="shared" si="190"/>
        <v>0</v>
      </c>
      <c r="G180" s="28">
        <f t="shared" si="175"/>
        <v>0</v>
      </c>
      <c r="H180" s="28">
        <f t="shared" ref="H180" si="191">SUM(H181:H186)</f>
        <v>0</v>
      </c>
      <c r="I180" s="28">
        <f t="shared" si="190"/>
        <v>0</v>
      </c>
      <c r="J180" s="28">
        <f t="shared" si="176"/>
        <v>0</v>
      </c>
      <c r="K180" s="28">
        <f t="shared" ref="K180" si="192">SUM(K181:K186)</f>
        <v>0</v>
      </c>
      <c r="L180" s="28">
        <f t="shared" si="190"/>
        <v>0</v>
      </c>
      <c r="M180" s="28">
        <f t="shared" si="177"/>
        <v>0</v>
      </c>
      <c r="N180" s="28">
        <f t="shared" ref="N180" si="193">SUM(N181:N186)</f>
        <v>6310</v>
      </c>
      <c r="O180" s="28">
        <f t="shared" si="190"/>
        <v>6310</v>
      </c>
      <c r="P180" s="28">
        <f t="shared" si="178"/>
        <v>0</v>
      </c>
      <c r="Q180" s="28">
        <f t="shared" ref="Q180" si="194">SUM(Q181:Q186)</f>
        <v>40873</v>
      </c>
      <c r="R180" s="28">
        <f t="shared" si="190"/>
        <v>40873</v>
      </c>
      <c r="S180" s="28">
        <f t="shared" si="179"/>
        <v>0</v>
      </c>
      <c r="T180" s="28">
        <f t="shared" ref="T180" si="195">SUM(T181:T186)</f>
        <v>0</v>
      </c>
      <c r="U180" s="28">
        <f t="shared" si="190"/>
        <v>0</v>
      </c>
      <c r="V180" s="28">
        <f t="shared" si="180"/>
        <v>0</v>
      </c>
      <c r="W180" s="28">
        <f t="shared" si="190"/>
        <v>0</v>
      </c>
      <c r="X180" s="28">
        <f t="shared" si="190"/>
        <v>0</v>
      </c>
      <c r="Y180" s="28">
        <f t="shared" si="181"/>
        <v>0</v>
      </c>
      <c r="Z180" s="28">
        <f t="shared" ref="Z180" si="196">SUM(Z181:Z186)</f>
        <v>0</v>
      </c>
      <c r="AA180" s="28">
        <f t="shared" si="190"/>
        <v>0</v>
      </c>
      <c r="AB180" s="28">
        <f t="shared" si="182"/>
        <v>0</v>
      </c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</row>
    <row r="181" spans="1:187" s="29" customFormat="1" ht="31.5" x14ac:dyDescent="0.25">
      <c r="A181" s="36" t="s">
        <v>173</v>
      </c>
      <c r="B181" s="35">
        <f t="shared" si="174"/>
        <v>7405</v>
      </c>
      <c r="C181" s="35">
        <f t="shared" si="174"/>
        <v>7405</v>
      </c>
      <c r="D181" s="35">
        <f t="shared" si="174"/>
        <v>0</v>
      </c>
      <c r="E181" s="35"/>
      <c r="F181" s="35"/>
      <c r="G181" s="35">
        <f t="shared" si="175"/>
        <v>0</v>
      </c>
      <c r="H181" s="35"/>
      <c r="I181" s="35"/>
      <c r="J181" s="35">
        <f t="shared" si="176"/>
        <v>0</v>
      </c>
      <c r="K181" s="35"/>
      <c r="L181" s="35"/>
      <c r="M181" s="35">
        <f t="shared" si="177"/>
        <v>0</v>
      </c>
      <c r="N181" s="35">
        <v>0</v>
      </c>
      <c r="O181" s="35">
        <v>0</v>
      </c>
      <c r="P181" s="35">
        <f t="shared" si="178"/>
        <v>0</v>
      </c>
      <c r="Q181" s="35">
        <v>7405</v>
      </c>
      <c r="R181" s="35">
        <v>7405</v>
      </c>
      <c r="S181" s="35">
        <f t="shared" si="179"/>
        <v>0</v>
      </c>
      <c r="T181" s="35"/>
      <c r="U181" s="35"/>
      <c r="V181" s="35">
        <f t="shared" si="180"/>
        <v>0</v>
      </c>
      <c r="W181" s="35"/>
      <c r="X181" s="35"/>
      <c r="Y181" s="35">
        <f t="shared" si="181"/>
        <v>0</v>
      </c>
      <c r="Z181" s="35"/>
      <c r="AA181" s="35"/>
      <c r="AB181" s="35">
        <f t="shared" si="182"/>
        <v>0</v>
      </c>
    </row>
    <row r="182" spans="1:187" s="29" customFormat="1" x14ac:dyDescent="0.25">
      <c r="A182" s="37" t="s">
        <v>174</v>
      </c>
      <c r="B182" s="32">
        <f t="shared" si="174"/>
        <v>6024</v>
      </c>
      <c r="C182" s="32">
        <f t="shared" si="174"/>
        <v>6024</v>
      </c>
      <c r="D182" s="32">
        <f t="shared" si="174"/>
        <v>0</v>
      </c>
      <c r="E182" s="32"/>
      <c r="F182" s="32"/>
      <c r="G182" s="32">
        <f t="shared" si="175"/>
        <v>0</v>
      </c>
      <c r="H182" s="32"/>
      <c r="I182" s="32"/>
      <c r="J182" s="32">
        <f t="shared" si="176"/>
        <v>0</v>
      </c>
      <c r="K182" s="32"/>
      <c r="L182" s="32"/>
      <c r="M182" s="32">
        <f t="shared" si="177"/>
        <v>0</v>
      </c>
      <c r="N182" s="32">
        <v>0</v>
      </c>
      <c r="O182" s="32">
        <v>0</v>
      </c>
      <c r="P182" s="32">
        <f t="shared" si="178"/>
        <v>0</v>
      </c>
      <c r="Q182" s="32">
        <v>6024</v>
      </c>
      <c r="R182" s="32">
        <v>6024</v>
      </c>
      <c r="S182" s="32">
        <f t="shared" si="179"/>
        <v>0</v>
      </c>
      <c r="T182" s="32"/>
      <c r="U182" s="32"/>
      <c r="V182" s="32">
        <f t="shared" si="180"/>
        <v>0</v>
      </c>
      <c r="W182" s="32"/>
      <c r="X182" s="32"/>
      <c r="Y182" s="32">
        <f t="shared" si="181"/>
        <v>0</v>
      </c>
      <c r="Z182" s="32"/>
      <c r="AA182" s="32"/>
      <c r="AB182" s="32">
        <f t="shared" si="182"/>
        <v>0</v>
      </c>
    </row>
    <row r="183" spans="1:187" s="29" customFormat="1" ht="31.5" x14ac:dyDescent="0.25">
      <c r="A183" s="37" t="s">
        <v>175</v>
      </c>
      <c r="B183" s="32">
        <f t="shared" si="174"/>
        <v>19988</v>
      </c>
      <c r="C183" s="32">
        <f t="shared" si="174"/>
        <v>19988</v>
      </c>
      <c r="D183" s="32">
        <f t="shared" si="174"/>
        <v>0</v>
      </c>
      <c r="E183" s="32"/>
      <c r="F183" s="32"/>
      <c r="G183" s="32">
        <f t="shared" si="175"/>
        <v>0</v>
      </c>
      <c r="H183" s="32"/>
      <c r="I183" s="32"/>
      <c r="J183" s="32">
        <f t="shared" si="176"/>
        <v>0</v>
      </c>
      <c r="K183" s="32"/>
      <c r="L183" s="32"/>
      <c r="M183" s="32">
        <f t="shared" si="177"/>
        <v>0</v>
      </c>
      <c r="N183" s="32">
        <v>0</v>
      </c>
      <c r="O183" s="32">
        <v>0</v>
      </c>
      <c r="P183" s="32">
        <f t="shared" si="178"/>
        <v>0</v>
      </c>
      <c r="Q183" s="32">
        <v>19988</v>
      </c>
      <c r="R183" s="32">
        <v>19988</v>
      </c>
      <c r="S183" s="32">
        <f t="shared" si="179"/>
        <v>0</v>
      </c>
      <c r="T183" s="32"/>
      <c r="U183" s="32"/>
      <c r="V183" s="32">
        <f t="shared" si="180"/>
        <v>0</v>
      </c>
      <c r="W183" s="32"/>
      <c r="X183" s="32"/>
      <c r="Y183" s="32">
        <f t="shared" si="181"/>
        <v>0</v>
      </c>
      <c r="Z183" s="32"/>
      <c r="AA183" s="32"/>
      <c r="AB183" s="32">
        <f t="shared" si="182"/>
        <v>0</v>
      </c>
    </row>
    <row r="184" spans="1:187" s="29" customFormat="1" ht="31.5" x14ac:dyDescent="0.25">
      <c r="A184" s="37" t="s">
        <v>176</v>
      </c>
      <c r="B184" s="32">
        <f t="shared" si="174"/>
        <v>7456</v>
      </c>
      <c r="C184" s="32">
        <f t="shared" si="174"/>
        <v>7456</v>
      </c>
      <c r="D184" s="32">
        <f t="shared" si="174"/>
        <v>0</v>
      </c>
      <c r="E184" s="32"/>
      <c r="F184" s="32"/>
      <c r="G184" s="32">
        <f t="shared" si="175"/>
        <v>0</v>
      </c>
      <c r="H184" s="32"/>
      <c r="I184" s="32"/>
      <c r="J184" s="32">
        <f t="shared" si="176"/>
        <v>0</v>
      </c>
      <c r="K184" s="32"/>
      <c r="L184" s="32"/>
      <c r="M184" s="32">
        <f t="shared" si="177"/>
        <v>0</v>
      </c>
      <c r="N184" s="32">
        <v>0</v>
      </c>
      <c r="O184" s="32">
        <v>0</v>
      </c>
      <c r="P184" s="32">
        <f t="shared" si="178"/>
        <v>0</v>
      </c>
      <c r="Q184" s="32">
        <v>7456</v>
      </c>
      <c r="R184" s="32">
        <v>7456</v>
      </c>
      <c r="S184" s="32">
        <f t="shared" si="179"/>
        <v>0</v>
      </c>
      <c r="T184" s="32"/>
      <c r="U184" s="32"/>
      <c r="V184" s="32">
        <f t="shared" si="180"/>
        <v>0</v>
      </c>
      <c r="W184" s="32"/>
      <c r="X184" s="32"/>
      <c r="Y184" s="32">
        <f t="shared" si="181"/>
        <v>0</v>
      </c>
      <c r="Z184" s="32"/>
      <c r="AA184" s="32"/>
      <c r="AB184" s="32">
        <f t="shared" si="182"/>
        <v>0</v>
      </c>
    </row>
    <row r="185" spans="1:187" s="29" customFormat="1" ht="94.5" x14ac:dyDescent="0.25">
      <c r="A185" s="37" t="s">
        <v>177</v>
      </c>
      <c r="B185" s="32">
        <f t="shared" si="174"/>
        <v>5000</v>
      </c>
      <c r="C185" s="32">
        <f t="shared" si="174"/>
        <v>5000</v>
      </c>
      <c r="D185" s="32">
        <f t="shared" si="174"/>
        <v>0</v>
      </c>
      <c r="E185" s="32"/>
      <c r="F185" s="32"/>
      <c r="G185" s="32">
        <f t="shared" si="175"/>
        <v>0</v>
      </c>
      <c r="H185" s="32"/>
      <c r="I185" s="32"/>
      <c r="J185" s="32">
        <f t="shared" si="176"/>
        <v>0</v>
      </c>
      <c r="K185" s="32">
        <v>0</v>
      </c>
      <c r="L185" s="32">
        <v>0</v>
      </c>
      <c r="M185" s="32">
        <f t="shared" si="177"/>
        <v>0</v>
      </c>
      <c r="N185" s="32">
        <v>5000</v>
      </c>
      <c r="O185" s="32">
        <v>5000</v>
      </c>
      <c r="P185" s="32">
        <f t="shared" si="178"/>
        <v>0</v>
      </c>
      <c r="Q185" s="32"/>
      <c r="R185" s="32"/>
      <c r="S185" s="32">
        <f t="shared" si="179"/>
        <v>0</v>
      </c>
      <c r="T185" s="32"/>
      <c r="U185" s="32"/>
      <c r="V185" s="32">
        <f t="shared" si="180"/>
        <v>0</v>
      </c>
      <c r="W185" s="32"/>
      <c r="X185" s="32"/>
      <c r="Y185" s="32">
        <f t="shared" si="181"/>
        <v>0</v>
      </c>
      <c r="Z185" s="32"/>
      <c r="AA185" s="32"/>
      <c r="AB185" s="32">
        <f t="shared" si="182"/>
        <v>0</v>
      </c>
    </row>
    <row r="186" spans="1:187" s="29" customFormat="1" ht="94.5" x14ac:dyDescent="0.25">
      <c r="A186" s="37" t="s">
        <v>178</v>
      </c>
      <c r="B186" s="32">
        <f t="shared" si="174"/>
        <v>1310</v>
      </c>
      <c r="C186" s="32">
        <f t="shared" si="174"/>
        <v>1310</v>
      </c>
      <c r="D186" s="32">
        <f t="shared" si="174"/>
        <v>0</v>
      </c>
      <c r="E186" s="32"/>
      <c r="F186" s="32"/>
      <c r="G186" s="32">
        <f t="shared" si="175"/>
        <v>0</v>
      </c>
      <c r="H186" s="32"/>
      <c r="I186" s="32"/>
      <c r="J186" s="32">
        <f t="shared" si="176"/>
        <v>0</v>
      </c>
      <c r="K186" s="32"/>
      <c r="L186" s="32"/>
      <c r="M186" s="32">
        <f t="shared" si="177"/>
        <v>0</v>
      </c>
      <c r="N186" s="32">
        <v>1310</v>
      </c>
      <c r="O186" s="32">
        <v>1310</v>
      </c>
      <c r="P186" s="32">
        <f t="shared" si="178"/>
        <v>0</v>
      </c>
      <c r="Q186" s="32">
        <v>0</v>
      </c>
      <c r="R186" s="32">
        <v>0</v>
      </c>
      <c r="S186" s="32">
        <f t="shared" si="179"/>
        <v>0</v>
      </c>
      <c r="T186" s="32"/>
      <c r="U186" s="32"/>
      <c r="V186" s="32">
        <f t="shared" si="180"/>
        <v>0</v>
      </c>
      <c r="W186" s="32"/>
      <c r="X186" s="32"/>
      <c r="Y186" s="32">
        <f t="shared" si="181"/>
        <v>0</v>
      </c>
      <c r="Z186" s="32"/>
      <c r="AA186" s="32"/>
      <c r="AB186" s="32">
        <f t="shared" si="182"/>
        <v>0</v>
      </c>
    </row>
    <row r="187" spans="1:187" s="29" customFormat="1" x14ac:dyDescent="0.25">
      <c r="A187" s="27" t="s">
        <v>104</v>
      </c>
      <c r="B187" s="28">
        <f t="shared" si="174"/>
        <v>60534</v>
      </c>
      <c r="C187" s="28">
        <f t="shared" si="174"/>
        <v>60534</v>
      </c>
      <c r="D187" s="28">
        <f t="shared" si="174"/>
        <v>0</v>
      </c>
      <c r="E187" s="28">
        <f>SUM(E188)</f>
        <v>0</v>
      </c>
      <c r="F187" s="28">
        <f>SUM(F188)</f>
        <v>0</v>
      </c>
      <c r="G187" s="28">
        <f t="shared" si="175"/>
        <v>0</v>
      </c>
      <c r="H187" s="28">
        <f t="shared" ref="H187:I187" si="197">SUM(H188)</f>
        <v>0</v>
      </c>
      <c r="I187" s="28">
        <f t="shared" si="197"/>
        <v>0</v>
      </c>
      <c r="J187" s="28">
        <f t="shared" si="176"/>
        <v>0</v>
      </c>
      <c r="K187" s="28">
        <f t="shared" ref="K187:L187" si="198">SUM(K188)</f>
        <v>0</v>
      </c>
      <c r="L187" s="28">
        <f t="shared" si="198"/>
        <v>0</v>
      </c>
      <c r="M187" s="28">
        <f t="shared" si="177"/>
        <v>0</v>
      </c>
      <c r="N187" s="28">
        <f t="shared" ref="N187:O187" si="199">SUM(N188)</f>
        <v>0</v>
      </c>
      <c r="O187" s="28">
        <f t="shared" si="199"/>
        <v>0</v>
      </c>
      <c r="P187" s="28">
        <f t="shared" si="178"/>
        <v>0</v>
      </c>
      <c r="Q187" s="28">
        <f t="shared" ref="Q187:R187" si="200">SUM(Q188)</f>
        <v>60534</v>
      </c>
      <c r="R187" s="28">
        <f t="shared" si="200"/>
        <v>60534</v>
      </c>
      <c r="S187" s="28">
        <f t="shared" si="179"/>
        <v>0</v>
      </c>
      <c r="T187" s="28">
        <f t="shared" ref="T187:U187" si="201">SUM(T188)</f>
        <v>0</v>
      </c>
      <c r="U187" s="28">
        <f t="shared" si="201"/>
        <v>0</v>
      </c>
      <c r="V187" s="28">
        <f t="shared" si="180"/>
        <v>0</v>
      </c>
      <c r="W187" s="28">
        <f t="shared" ref="W187:X187" si="202">SUM(W188)</f>
        <v>0</v>
      </c>
      <c r="X187" s="28">
        <f t="shared" si="202"/>
        <v>0</v>
      </c>
      <c r="Y187" s="28">
        <f t="shared" si="181"/>
        <v>0</v>
      </c>
      <c r="Z187" s="28">
        <f t="shared" ref="Z187:AA187" si="203">SUM(Z188)</f>
        <v>0</v>
      </c>
      <c r="AA187" s="28">
        <f t="shared" si="203"/>
        <v>0</v>
      </c>
      <c r="AB187" s="28">
        <f t="shared" si="182"/>
        <v>0</v>
      </c>
    </row>
    <row r="188" spans="1:187" s="29" customFormat="1" ht="63" x14ac:dyDescent="0.25">
      <c r="A188" s="34" t="s">
        <v>179</v>
      </c>
      <c r="B188" s="35">
        <f t="shared" si="174"/>
        <v>60534</v>
      </c>
      <c r="C188" s="35">
        <f t="shared" si="174"/>
        <v>60534</v>
      </c>
      <c r="D188" s="35">
        <f t="shared" si="174"/>
        <v>0</v>
      </c>
      <c r="E188" s="35"/>
      <c r="F188" s="35"/>
      <c r="G188" s="35">
        <f t="shared" si="175"/>
        <v>0</v>
      </c>
      <c r="H188" s="35"/>
      <c r="I188" s="35"/>
      <c r="J188" s="35">
        <f t="shared" si="176"/>
        <v>0</v>
      </c>
      <c r="K188" s="35">
        <v>0</v>
      </c>
      <c r="L188" s="35">
        <v>0</v>
      </c>
      <c r="M188" s="35">
        <f t="shared" si="177"/>
        <v>0</v>
      </c>
      <c r="N188" s="35"/>
      <c r="O188" s="35"/>
      <c r="P188" s="35">
        <f t="shared" si="178"/>
        <v>0</v>
      </c>
      <c r="Q188" s="35">
        <v>60534</v>
      </c>
      <c r="R188" s="35">
        <v>60534</v>
      </c>
      <c r="S188" s="35">
        <f t="shared" si="179"/>
        <v>0</v>
      </c>
      <c r="T188" s="35"/>
      <c r="U188" s="35"/>
      <c r="V188" s="35">
        <f t="shared" si="180"/>
        <v>0</v>
      </c>
      <c r="W188" s="35">
        <v>0</v>
      </c>
      <c r="X188" s="35">
        <v>0</v>
      </c>
      <c r="Y188" s="35">
        <f t="shared" si="181"/>
        <v>0</v>
      </c>
      <c r="Z188" s="35"/>
      <c r="AA188" s="35"/>
      <c r="AB188" s="35">
        <f t="shared" si="182"/>
        <v>0</v>
      </c>
    </row>
    <row r="189" spans="1:187" s="29" customFormat="1" ht="31.5" x14ac:dyDescent="0.25">
      <c r="A189" s="27" t="s">
        <v>66</v>
      </c>
      <c r="B189" s="28">
        <f t="shared" si="174"/>
        <v>13605544</v>
      </c>
      <c r="C189" s="28">
        <f t="shared" si="174"/>
        <v>13606911</v>
      </c>
      <c r="D189" s="28">
        <f t="shared" si="174"/>
        <v>1367</v>
      </c>
      <c r="E189" s="28">
        <f t="shared" ref="E189:AA189" si="204">SUM(E190,E193,E201,E197)</f>
        <v>152495</v>
      </c>
      <c r="F189" s="28">
        <f t="shared" si="204"/>
        <v>152495</v>
      </c>
      <c r="G189" s="28">
        <f t="shared" si="175"/>
        <v>0</v>
      </c>
      <c r="H189" s="28">
        <f t="shared" ref="H189" si="205">SUM(H190,H193,H201,H197)</f>
        <v>25276</v>
      </c>
      <c r="I189" s="28">
        <f t="shared" si="204"/>
        <v>25276</v>
      </c>
      <c r="J189" s="28">
        <f t="shared" si="176"/>
        <v>0</v>
      </c>
      <c r="K189" s="28">
        <f t="shared" ref="K189" si="206">SUM(K190,K193,K201,K197)</f>
        <v>562507</v>
      </c>
      <c r="L189" s="28">
        <f t="shared" si="204"/>
        <v>563874</v>
      </c>
      <c r="M189" s="28">
        <f t="shared" si="177"/>
        <v>1367</v>
      </c>
      <c r="N189" s="28">
        <f t="shared" ref="N189" si="207">SUM(N190,N193,N201,N197)</f>
        <v>7417574</v>
      </c>
      <c r="O189" s="28">
        <f t="shared" si="204"/>
        <v>7417574</v>
      </c>
      <c r="P189" s="28">
        <f t="shared" si="178"/>
        <v>0</v>
      </c>
      <c r="Q189" s="28">
        <f t="shared" ref="Q189" si="208">SUM(Q190,Q193,Q201,Q197)</f>
        <v>0</v>
      </c>
      <c r="R189" s="28">
        <f t="shared" si="204"/>
        <v>0</v>
      </c>
      <c r="S189" s="28">
        <f t="shared" si="179"/>
        <v>0</v>
      </c>
      <c r="T189" s="28">
        <f t="shared" ref="T189" si="209">SUM(T190,T193,T201,T197)</f>
        <v>4847692</v>
      </c>
      <c r="U189" s="28">
        <f t="shared" si="204"/>
        <v>4847692</v>
      </c>
      <c r="V189" s="28">
        <f t="shared" si="180"/>
        <v>0</v>
      </c>
      <c r="W189" s="28">
        <f t="shared" si="204"/>
        <v>0</v>
      </c>
      <c r="X189" s="28">
        <f t="shared" si="204"/>
        <v>0</v>
      </c>
      <c r="Y189" s="28">
        <f t="shared" si="181"/>
        <v>0</v>
      </c>
      <c r="Z189" s="28">
        <f t="shared" ref="Z189" si="210">SUM(Z190,Z193,Z201,Z197)</f>
        <v>600000</v>
      </c>
      <c r="AA189" s="28">
        <f t="shared" si="204"/>
        <v>600000</v>
      </c>
      <c r="AB189" s="28">
        <f t="shared" si="182"/>
        <v>0</v>
      </c>
    </row>
    <row r="190" spans="1:187" s="26" customFormat="1" ht="31.5" x14ac:dyDescent="0.25">
      <c r="A190" s="27" t="s">
        <v>97</v>
      </c>
      <c r="B190" s="28">
        <f t="shared" si="174"/>
        <v>1201200</v>
      </c>
      <c r="C190" s="28">
        <f t="shared" si="174"/>
        <v>1201200</v>
      </c>
      <c r="D190" s="28">
        <f t="shared" si="174"/>
        <v>0</v>
      </c>
      <c r="E190" s="28">
        <f t="shared" ref="E190:AA190" si="211">SUM(E191:E192)</f>
        <v>0</v>
      </c>
      <c r="F190" s="28">
        <f t="shared" si="211"/>
        <v>0</v>
      </c>
      <c r="G190" s="28">
        <f t="shared" si="175"/>
        <v>0</v>
      </c>
      <c r="H190" s="28">
        <f t="shared" ref="H190" si="212">SUM(H191:H192)</f>
        <v>0</v>
      </c>
      <c r="I190" s="28">
        <f t="shared" si="211"/>
        <v>0</v>
      </c>
      <c r="J190" s="28">
        <f t="shared" si="176"/>
        <v>0</v>
      </c>
      <c r="K190" s="28">
        <f t="shared" ref="K190" si="213">SUM(K191:K192)</f>
        <v>0</v>
      </c>
      <c r="L190" s="28">
        <f t="shared" si="211"/>
        <v>0</v>
      </c>
      <c r="M190" s="28">
        <f t="shared" si="177"/>
        <v>0</v>
      </c>
      <c r="N190" s="28">
        <f t="shared" ref="N190" si="214">SUM(N191:N192)</f>
        <v>1201200</v>
      </c>
      <c r="O190" s="28">
        <f t="shared" si="211"/>
        <v>1201200</v>
      </c>
      <c r="P190" s="28">
        <f t="shared" si="178"/>
        <v>0</v>
      </c>
      <c r="Q190" s="28">
        <f t="shared" ref="Q190" si="215">SUM(Q191:Q192)</f>
        <v>0</v>
      </c>
      <c r="R190" s="28">
        <f t="shared" si="211"/>
        <v>0</v>
      </c>
      <c r="S190" s="28">
        <f t="shared" si="179"/>
        <v>0</v>
      </c>
      <c r="T190" s="28">
        <f t="shared" ref="T190" si="216">SUM(T191:T192)</f>
        <v>0</v>
      </c>
      <c r="U190" s="28">
        <f t="shared" si="211"/>
        <v>0</v>
      </c>
      <c r="V190" s="28">
        <f t="shared" si="180"/>
        <v>0</v>
      </c>
      <c r="W190" s="28">
        <f t="shared" si="211"/>
        <v>0</v>
      </c>
      <c r="X190" s="28">
        <f t="shared" si="211"/>
        <v>0</v>
      </c>
      <c r="Y190" s="28">
        <f t="shared" si="181"/>
        <v>0</v>
      </c>
      <c r="Z190" s="28">
        <f t="shared" ref="Z190" si="217">SUM(Z191:Z192)</f>
        <v>0</v>
      </c>
      <c r="AA190" s="28">
        <f t="shared" si="211"/>
        <v>0</v>
      </c>
      <c r="AB190" s="28">
        <f t="shared" si="182"/>
        <v>0</v>
      </c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</row>
    <row r="191" spans="1:187" s="29" customFormat="1" ht="63" x14ac:dyDescent="0.25">
      <c r="A191" s="37" t="s">
        <v>180</v>
      </c>
      <c r="B191" s="35">
        <f t="shared" si="174"/>
        <v>1200</v>
      </c>
      <c r="C191" s="35">
        <f t="shared" si="174"/>
        <v>1200</v>
      </c>
      <c r="D191" s="35">
        <f t="shared" si="174"/>
        <v>0</v>
      </c>
      <c r="E191" s="35">
        <v>0</v>
      </c>
      <c r="F191" s="35">
        <v>0</v>
      </c>
      <c r="G191" s="35">
        <f t="shared" si="175"/>
        <v>0</v>
      </c>
      <c r="H191" s="35"/>
      <c r="I191" s="35"/>
      <c r="J191" s="35">
        <f t="shared" si="176"/>
        <v>0</v>
      </c>
      <c r="K191" s="35">
        <v>0</v>
      </c>
      <c r="L191" s="35">
        <v>0</v>
      </c>
      <c r="M191" s="35">
        <f t="shared" si="177"/>
        <v>0</v>
      </c>
      <c r="N191" s="35">
        <v>1200</v>
      </c>
      <c r="O191" s="35">
        <v>1200</v>
      </c>
      <c r="P191" s="35">
        <f t="shared" si="178"/>
        <v>0</v>
      </c>
      <c r="Q191" s="35"/>
      <c r="R191" s="35"/>
      <c r="S191" s="35">
        <f t="shared" si="179"/>
        <v>0</v>
      </c>
      <c r="T191" s="35"/>
      <c r="U191" s="35"/>
      <c r="V191" s="35">
        <f t="shared" si="180"/>
        <v>0</v>
      </c>
      <c r="W191" s="35"/>
      <c r="X191" s="35"/>
      <c r="Y191" s="35">
        <f t="shared" si="181"/>
        <v>0</v>
      </c>
      <c r="Z191" s="35"/>
      <c r="AA191" s="35"/>
      <c r="AB191" s="35">
        <f t="shared" si="182"/>
        <v>0</v>
      </c>
    </row>
    <row r="192" spans="1:187" s="29" customFormat="1" ht="78.75" x14ac:dyDescent="0.25">
      <c r="A192" s="36" t="s">
        <v>181</v>
      </c>
      <c r="B192" s="35">
        <f t="shared" si="174"/>
        <v>1200000</v>
      </c>
      <c r="C192" s="35">
        <f t="shared" si="174"/>
        <v>1200000</v>
      </c>
      <c r="D192" s="35">
        <f t="shared" si="174"/>
        <v>0</v>
      </c>
      <c r="E192" s="35"/>
      <c r="F192" s="35"/>
      <c r="G192" s="35">
        <f t="shared" si="175"/>
        <v>0</v>
      </c>
      <c r="H192" s="35"/>
      <c r="I192" s="35"/>
      <c r="J192" s="35">
        <f t="shared" si="176"/>
        <v>0</v>
      </c>
      <c r="K192" s="35">
        <v>0</v>
      </c>
      <c r="L192" s="35">
        <v>0</v>
      </c>
      <c r="M192" s="35">
        <f t="shared" si="177"/>
        <v>0</v>
      </c>
      <c r="N192" s="35">
        <v>1200000</v>
      </c>
      <c r="O192" s="35">
        <v>1200000</v>
      </c>
      <c r="P192" s="35">
        <f t="shared" si="178"/>
        <v>0</v>
      </c>
      <c r="Q192" s="35"/>
      <c r="R192" s="35"/>
      <c r="S192" s="35">
        <f t="shared" si="179"/>
        <v>0</v>
      </c>
      <c r="T192" s="35"/>
      <c r="U192" s="35"/>
      <c r="V192" s="35">
        <f t="shared" si="180"/>
        <v>0</v>
      </c>
      <c r="W192" s="35"/>
      <c r="X192" s="35"/>
      <c r="Y192" s="35">
        <f t="shared" si="181"/>
        <v>0</v>
      </c>
      <c r="Z192" s="35"/>
      <c r="AA192" s="35"/>
      <c r="AB192" s="35">
        <f t="shared" si="182"/>
        <v>0</v>
      </c>
    </row>
    <row r="193" spans="1:28" s="29" customFormat="1" x14ac:dyDescent="0.25">
      <c r="A193" s="27" t="s">
        <v>169</v>
      </c>
      <c r="B193" s="28">
        <f t="shared" si="174"/>
        <v>468000</v>
      </c>
      <c r="C193" s="28">
        <f t="shared" si="174"/>
        <v>468000</v>
      </c>
      <c r="D193" s="28">
        <f t="shared" si="174"/>
        <v>0</v>
      </c>
      <c r="E193" s="28">
        <f t="shared" ref="E193:AA193" si="218">SUM(E194:E196)</f>
        <v>0</v>
      </c>
      <c r="F193" s="28">
        <f t="shared" si="218"/>
        <v>0</v>
      </c>
      <c r="G193" s="28">
        <f t="shared" si="175"/>
        <v>0</v>
      </c>
      <c r="H193" s="28">
        <f t="shared" ref="H193" si="219">SUM(H194:H196)</f>
        <v>0</v>
      </c>
      <c r="I193" s="28">
        <f t="shared" si="218"/>
        <v>0</v>
      </c>
      <c r="J193" s="28">
        <f t="shared" si="176"/>
        <v>0</v>
      </c>
      <c r="K193" s="28">
        <f t="shared" ref="K193" si="220">SUM(K194:K196)</f>
        <v>468000</v>
      </c>
      <c r="L193" s="28">
        <f t="shared" si="218"/>
        <v>468000</v>
      </c>
      <c r="M193" s="28">
        <f t="shared" si="177"/>
        <v>0</v>
      </c>
      <c r="N193" s="28">
        <f t="shared" ref="N193" si="221">SUM(N194:N196)</f>
        <v>0</v>
      </c>
      <c r="O193" s="28">
        <f t="shared" si="218"/>
        <v>0</v>
      </c>
      <c r="P193" s="28">
        <f t="shared" si="178"/>
        <v>0</v>
      </c>
      <c r="Q193" s="28">
        <f t="shared" ref="Q193" si="222">SUM(Q194:Q196)</f>
        <v>0</v>
      </c>
      <c r="R193" s="28">
        <f t="shared" si="218"/>
        <v>0</v>
      </c>
      <c r="S193" s="28">
        <f t="shared" si="179"/>
        <v>0</v>
      </c>
      <c r="T193" s="28">
        <f t="shared" ref="T193" si="223">SUM(T194:T196)</f>
        <v>0</v>
      </c>
      <c r="U193" s="28">
        <f t="shared" si="218"/>
        <v>0</v>
      </c>
      <c r="V193" s="28">
        <f t="shared" si="180"/>
        <v>0</v>
      </c>
      <c r="W193" s="28">
        <f t="shared" si="218"/>
        <v>0</v>
      </c>
      <c r="X193" s="28">
        <f t="shared" si="218"/>
        <v>0</v>
      </c>
      <c r="Y193" s="28">
        <f t="shared" si="181"/>
        <v>0</v>
      </c>
      <c r="Z193" s="28">
        <f t="shared" ref="Z193" si="224">SUM(Z194:Z196)</f>
        <v>0</v>
      </c>
      <c r="AA193" s="28">
        <f t="shared" si="218"/>
        <v>0</v>
      </c>
      <c r="AB193" s="28">
        <f t="shared" si="182"/>
        <v>0</v>
      </c>
    </row>
    <row r="194" spans="1:28" s="29" customFormat="1" x14ac:dyDescent="0.25">
      <c r="A194" s="36" t="s">
        <v>182</v>
      </c>
      <c r="B194" s="35">
        <f t="shared" si="174"/>
        <v>186000</v>
      </c>
      <c r="C194" s="35">
        <f t="shared" si="174"/>
        <v>186000</v>
      </c>
      <c r="D194" s="35">
        <f t="shared" si="174"/>
        <v>0</v>
      </c>
      <c r="E194" s="35"/>
      <c r="F194" s="35"/>
      <c r="G194" s="35">
        <f t="shared" si="175"/>
        <v>0</v>
      </c>
      <c r="H194" s="35"/>
      <c r="I194" s="35"/>
      <c r="J194" s="35">
        <f t="shared" si="176"/>
        <v>0</v>
      </c>
      <c r="K194" s="35">
        <v>186000</v>
      </c>
      <c r="L194" s="35">
        <v>186000</v>
      </c>
      <c r="M194" s="35">
        <f t="shared" si="177"/>
        <v>0</v>
      </c>
      <c r="N194" s="35"/>
      <c r="O194" s="35"/>
      <c r="P194" s="35">
        <f t="shared" si="178"/>
        <v>0</v>
      </c>
      <c r="Q194" s="35"/>
      <c r="R194" s="35"/>
      <c r="S194" s="35">
        <f t="shared" si="179"/>
        <v>0</v>
      </c>
      <c r="T194" s="35"/>
      <c r="U194" s="35"/>
      <c r="V194" s="35">
        <f t="shared" si="180"/>
        <v>0</v>
      </c>
      <c r="W194" s="35"/>
      <c r="X194" s="35"/>
      <c r="Y194" s="35">
        <f t="shared" si="181"/>
        <v>0</v>
      </c>
      <c r="Z194" s="35"/>
      <c r="AA194" s="35"/>
      <c r="AB194" s="35">
        <f t="shared" si="182"/>
        <v>0</v>
      </c>
    </row>
    <row r="195" spans="1:28" s="29" customFormat="1" ht="31.5" x14ac:dyDescent="0.25">
      <c r="A195" s="36" t="s">
        <v>183</v>
      </c>
      <c r="B195" s="35">
        <f t="shared" si="174"/>
        <v>222000</v>
      </c>
      <c r="C195" s="35">
        <f t="shared" si="174"/>
        <v>222000</v>
      </c>
      <c r="D195" s="35">
        <f t="shared" si="174"/>
        <v>0</v>
      </c>
      <c r="E195" s="35"/>
      <c r="F195" s="35"/>
      <c r="G195" s="35">
        <f t="shared" si="175"/>
        <v>0</v>
      </c>
      <c r="H195" s="35"/>
      <c r="I195" s="35"/>
      <c r="J195" s="35">
        <f t="shared" si="176"/>
        <v>0</v>
      </c>
      <c r="K195" s="35">
        <v>222000</v>
      </c>
      <c r="L195" s="35">
        <v>222000</v>
      </c>
      <c r="M195" s="35">
        <f t="shared" si="177"/>
        <v>0</v>
      </c>
      <c r="N195" s="35"/>
      <c r="O195" s="35"/>
      <c r="P195" s="35">
        <f t="shared" si="178"/>
        <v>0</v>
      </c>
      <c r="Q195" s="35"/>
      <c r="R195" s="35"/>
      <c r="S195" s="35">
        <f t="shared" si="179"/>
        <v>0</v>
      </c>
      <c r="T195" s="35"/>
      <c r="U195" s="35"/>
      <c r="V195" s="35">
        <f t="shared" si="180"/>
        <v>0</v>
      </c>
      <c r="W195" s="35"/>
      <c r="X195" s="35"/>
      <c r="Y195" s="35">
        <f t="shared" si="181"/>
        <v>0</v>
      </c>
      <c r="Z195" s="35"/>
      <c r="AA195" s="35"/>
      <c r="AB195" s="35">
        <f t="shared" si="182"/>
        <v>0</v>
      </c>
    </row>
    <row r="196" spans="1:28" s="29" customFormat="1" x14ac:dyDescent="0.25">
      <c r="A196" s="36" t="s">
        <v>184</v>
      </c>
      <c r="B196" s="35">
        <f t="shared" si="174"/>
        <v>60000</v>
      </c>
      <c r="C196" s="35">
        <f t="shared" si="174"/>
        <v>60000</v>
      </c>
      <c r="D196" s="35">
        <f t="shared" si="174"/>
        <v>0</v>
      </c>
      <c r="E196" s="35"/>
      <c r="F196" s="35"/>
      <c r="G196" s="35">
        <f t="shared" si="175"/>
        <v>0</v>
      </c>
      <c r="H196" s="35"/>
      <c r="I196" s="35"/>
      <c r="J196" s="35">
        <f t="shared" si="176"/>
        <v>0</v>
      </c>
      <c r="K196" s="35">
        <v>60000</v>
      </c>
      <c r="L196" s="35">
        <v>60000</v>
      </c>
      <c r="M196" s="35">
        <f t="shared" si="177"/>
        <v>0</v>
      </c>
      <c r="N196" s="35"/>
      <c r="O196" s="35"/>
      <c r="P196" s="35">
        <f t="shared" si="178"/>
        <v>0</v>
      </c>
      <c r="Q196" s="35"/>
      <c r="R196" s="35"/>
      <c r="S196" s="35">
        <f t="shared" si="179"/>
        <v>0</v>
      </c>
      <c r="T196" s="35"/>
      <c r="U196" s="35"/>
      <c r="V196" s="35">
        <f t="shared" si="180"/>
        <v>0</v>
      </c>
      <c r="W196" s="35"/>
      <c r="X196" s="35"/>
      <c r="Y196" s="35">
        <f t="shared" si="181"/>
        <v>0</v>
      </c>
      <c r="Z196" s="35"/>
      <c r="AA196" s="35"/>
      <c r="AB196" s="35">
        <f t="shared" si="182"/>
        <v>0</v>
      </c>
    </row>
    <row r="197" spans="1:28" s="29" customFormat="1" x14ac:dyDescent="0.25">
      <c r="A197" s="27" t="s">
        <v>128</v>
      </c>
      <c r="B197" s="28">
        <f t="shared" si="174"/>
        <v>10384</v>
      </c>
      <c r="C197" s="28">
        <f t="shared" si="174"/>
        <v>11751</v>
      </c>
      <c r="D197" s="28">
        <f t="shared" si="174"/>
        <v>1367</v>
      </c>
      <c r="E197" s="28">
        <f>SUM(E198:E200)</f>
        <v>0</v>
      </c>
      <c r="F197" s="28">
        <f>SUM(F198:F200)</f>
        <v>0</v>
      </c>
      <c r="G197" s="28">
        <f t="shared" si="175"/>
        <v>0</v>
      </c>
      <c r="H197" s="28">
        <f t="shared" ref="H197:I197" si="225">SUM(H198:H200)</f>
        <v>0</v>
      </c>
      <c r="I197" s="28">
        <f t="shared" si="225"/>
        <v>0</v>
      </c>
      <c r="J197" s="28">
        <f t="shared" si="176"/>
        <v>0</v>
      </c>
      <c r="K197" s="28">
        <f t="shared" ref="K197:L197" si="226">SUM(K198:K200)</f>
        <v>10384</v>
      </c>
      <c r="L197" s="28">
        <f t="shared" si="226"/>
        <v>11751</v>
      </c>
      <c r="M197" s="28">
        <f t="shared" si="177"/>
        <v>1367</v>
      </c>
      <c r="N197" s="28">
        <f t="shared" ref="N197:O197" si="227">SUM(N198:N200)</f>
        <v>0</v>
      </c>
      <c r="O197" s="28">
        <f t="shared" si="227"/>
        <v>0</v>
      </c>
      <c r="P197" s="28">
        <f t="shared" si="178"/>
        <v>0</v>
      </c>
      <c r="Q197" s="28">
        <f t="shared" ref="Q197:R197" si="228">SUM(Q198:Q200)</f>
        <v>0</v>
      </c>
      <c r="R197" s="28">
        <f t="shared" si="228"/>
        <v>0</v>
      </c>
      <c r="S197" s="28">
        <f t="shared" si="179"/>
        <v>0</v>
      </c>
      <c r="T197" s="28">
        <f t="shared" ref="T197:U197" si="229">SUM(T198:T200)</f>
        <v>0</v>
      </c>
      <c r="U197" s="28">
        <f t="shared" si="229"/>
        <v>0</v>
      </c>
      <c r="V197" s="28">
        <f t="shared" si="180"/>
        <v>0</v>
      </c>
      <c r="W197" s="28">
        <f t="shared" ref="W197:X197" si="230">SUM(W198:W200)</f>
        <v>0</v>
      </c>
      <c r="X197" s="28">
        <f t="shared" si="230"/>
        <v>0</v>
      </c>
      <c r="Y197" s="28">
        <f t="shared" si="181"/>
        <v>0</v>
      </c>
      <c r="Z197" s="28">
        <f t="shared" ref="Z197:AA197" si="231">SUM(Z198:Z200)</f>
        <v>0</v>
      </c>
      <c r="AA197" s="28">
        <f t="shared" si="231"/>
        <v>0</v>
      </c>
      <c r="AB197" s="28">
        <f t="shared" si="182"/>
        <v>0</v>
      </c>
    </row>
    <row r="198" spans="1:28" s="29" customFormat="1" ht="31.5" x14ac:dyDescent="0.25">
      <c r="A198" s="36" t="s">
        <v>185</v>
      </c>
      <c r="B198" s="35">
        <f t="shared" si="174"/>
        <v>8719</v>
      </c>
      <c r="C198" s="35">
        <f t="shared" si="174"/>
        <v>8719</v>
      </c>
      <c r="D198" s="35">
        <f t="shared" si="174"/>
        <v>0</v>
      </c>
      <c r="E198" s="35"/>
      <c r="F198" s="35"/>
      <c r="G198" s="35">
        <f t="shared" si="175"/>
        <v>0</v>
      </c>
      <c r="H198" s="35"/>
      <c r="I198" s="35"/>
      <c r="J198" s="35">
        <f t="shared" si="176"/>
        <v>0</v>
      </c>
      <c r="K198" s="35">
        <v>8719</v>
      </c>
      <c r="L198" s="35">
        <v>8719</v>
      </c>
      <c r="M198" s="35">
        <f t="shared" si="177"/>
        <v>0</v>
      </c>
      <c r="N198" s="35"/>
      <c r="O198" s="35"/>
      <c r="P198" s="35">
        <f t="shared" si="178"/>
        <v>0</v>
      </c>
      <c r="Q198" s="35"/>
      <c r="R198" s="35"/>
      <c r="S198" s="35">
        <f t="shared" si="179"/>
        <v>0</v>
      </c>
      <c r="T198" s="35"/>
      <c r="U198" s="35"/>
      <c r="V198" s="35">
        <f t="shared" si="180"/>
        <v>0</v>
      </c>
      <c r="W198" s="35"/>
      <c r="X198" s="35"/>
      <c r="Y198" s="35">
        <f t="shared" si="181"/>
        <v>0</v>
      </c>
      <c r="Z198" s="35"/>
      <c r="AA198" s="35"/>
      <c r="AB198" s="35">
        <f t="shared" si="182"/>
        <v>0</v>
      </c>
    </row>
    <row r="199" spans="1:28" s="29" customFormat="1" x14ac:dyDescent="0.25">
      <c r="A199" s="36" t="s">
        <v>186</v>
      </c>
      <c r="B199" s="35">
        <f t="shared" si="174"/>
        <v>0</v>
      </c>
      <c r="C199" s="35">
        <f t="shared" si="174"/>
        <v>1367</v>
      </c>
      <c r="D199" s="35">
        <f t="shared" si="174"/>
        <v>1367</v>
      </c>
      <c r="E199" s="35"/>
      <c r="F199" s="35"/>
      <c r="G199" s="35">
        <f t="shared" si="175"/>
        <v>0</v>
      </c>
      <c r="H199" s="35"/>
      <c r="I199" s="35"/>
      <c r="J199" s="35">
        <f t="shared" si="176"/>
        <v>0</v>
      </c>
      <c r="K199" s="35"/>
      <c r="L199" s="35">
        <v>1367</v>
      </c>
      <c r="M199" s="35">
        <f t="shared" si="177"/>
        <v>1367</v>
      </c>
      <c r="N199" s="35"/>
      <c r="O199" s="35"/>
      <c r="P199" s="35">
        <f t="shared" si="178"/>
        <v>0</v>
      </c>
      <c r="Q199" s="35"/>
      <c r="R199" s="35"/>
      <c r="S199" s="35">
        <f t="shared" si="179"/>
        <v>0</v>
      </c>
      <c r="T199" s="35"/>
      <c r="U199" s="35"/>
      <c r="V199" s="35">
        <f t="shared" si="180"/>
        <v>0</v>
      </c>
      <c r="W199" s="35"/>
      <c r="X199" s="35"/>
      <c r="Y199" s="35">
        <f t="shared" si="181"/>
        <v>0</v>
      </c>
      <c r="Z199" s="35"/>
      <c r="AA199" s="35"/>
      <c r="AB199" s="35">
        <f t="shared" si="182"/>
        <v>0</v>
      </c>
    </row>
    <row r="200" spans="1:28" s="29" customFormat="1" x14ac:dyDescent="0.25">
      <c r="A200" s="36" t="s">
        <v>187</v>
      </c>
      <c r="B200" s="35">
        <f t="shared" si="174"/>
        <v>1665</v>
      </c>
      <c r="C200" s="35">
        <f t="shared" si="174"/>
        <v>1665</v>
      </c>
      <c r="D200" s="35">
        <f t="shared" si="174"/>
        <v>0</v>
      </c>
      <c r="E200" s="35"/>
      <c r="F200" s="35"/>
      <c r="G200" s="35">
        <f t="shared" si="175"/>
        <v>0</v>
      </c>
      <c r="H200" s="35"/>
      <c r="I200" s="35"/>
      <c r="J200" s="35">
        <f t="shared" si="176"/>
        <v>0</v>
      </c>
      <c r="K200" s="35">
        <v>1665</v>
      </c>
      <c r="L200" s="35">
        <v>1665</v>
      </c>
      <c r="M200" s="35">
        <f t="shared" si="177"/>
        <v>0</v>
      </c>
      <c r="N200" s="35"/>
      <c r="O200" s="35"/>
      <c r="P200" s="35">
        <f t="shared" si="178"/>
        <v>0</v>
      </c>
      <c r="Q200" s="35"/>
      <c r="R200" s="35"/>
      <c r="S200" s="35">
        <f t="shared" si="179"/>
        <v>0</v>
      </c>
      <c r="T200" s="35"/>
      <c r="U200" s="35"/>
      <c r="V200" s="35">
        <f t="shared" si="180"/>
        <v>0</v>
      </c>
      <c r="W200" s="35"/>
      <c r="X200" s="35"/>
      <c r="Y200" s="35">
        <f t="shared" si="181"/>
        <v>0</v>
      </c>
      <c r="Z200" s="35"/>
      <c r="AA200" s="35"/>
      <c r="AB200" s="35">
        <f t="shared" si="182"/>
        <v>0</v>
      </c>
    </row>
    <row r="201" spans="1:28" s="29" customFormat="1" x14ac:dyDescent="0.25">
      <c r="A201" s="27" t="s">
        <v>104</v>
      </c>
      <c r="B201" s="28">
        <f t="shared" si="174"/>
        <v>11925960</v>
      </c>
      <c r="C201" s="28">
        <f t="shared" si="174"/>
        <v>11925960</v>
      </c>
      <c r="D201" s="28">
        <f t="shared" si="174"/>
        <v>0</v>
      </c>
      <c r="E201" s="28">
        <f t="shared" ref="E201:AA201" si="232">SUM(E202:E214)</f>
        <v>152495</v>
      </c>
      <c r="F201" s="28">
        <f t="shared" si="232"/>
        <v>152495</v>
      </c>
      <c r="G201" s="28">
        <f t="shared" si="175"/>
        <v>0</v>
      </c>
      <c r="H201" s="28">
        <f t="shared" ref="H201" si="233">SUM(H202:H214)</f>
        <v>25276</v>
      </c>
      <c r="I201" s="28">
        <f t="shared" si="232"/>
        <v>25276</v>
      </c>
      <c r="J201" s="28">
        <f t="shared" si="176"/>
        <v>0</v>
      </c>
      <c r="K201" s="28">
        <f t="shared" ref="K201" si="234">SUM(K202:K214)</f>
        <v>84123</v>
      </c>
      <c r="L201" s="28">
        <f t="shared" si="232"/>
        <v>84123</v>
      </c>
      <c r="M201" s="28">
        <f t="shared" si="177"/>
        <v>0</v>
      </c>
      <c r="N201" s="28">
        <f t="shared" ref="N201" si="235">SUM(N202:N214)</f>
        <v>6216374</v>
      </c>
      <c r="O201" s="28">
        <f t="shared" si="232"/>
        <v>6216374</v>
      </c>
      <c r="P201" s="28">
        <f t="shared" si="178"/>
        <v>0</v>
      </c>
      <c r="Q201" s="28">
        <f t="shared" ref="Q201" si="236">SUM(Q202:Q214)</f>
        <v>0</v>
      </c>
      <c r="R201" s="28">
        <f t="shared" si="232"/>
        <v>0</v>
      </c>
      <c r="S201" s="28">
        <f t="shared" si="179"/>
        <v>0</v>
      </c>
      <c r="T201" s="28">
        <f t="shared" ref="T201" si="237">SUM(T202:T214)</f>
        <v>4847692</v>
      </c>
      <c r="U201" s="28">
        <f t="shared" si="232"/>
        <v>4847692</v>
      </c>
      <c r="V201" s="28">
        <f t="shared" si="180"/>
        <v>0</v>
      </c>
      <c r="W201" s="28">
        <f t="shared" si="232"/>
        <v>0</v>
      </c>
      <c r="X201" s="28">
        <f t="shared" si="232"/>
        <v>0</v>
      </c>
      <c r="Y201" s="28">
        <f t="shared" si="181"/>
        <v>0</v>
      </c>
      <c r="Z201" s="28">
        <f t="shared" ref="Z201" si="238">SUM(Z202:Z214)</f>
        <v>600000</v>
      </c>
      <c r="AA201" s="28">
        <f t="shared" si="232"/>
        <v>600000</v>
      </c>
      <c r="AB201" s="28">
        <f t="shared" si="182"/>
        <v>0</v>
      </c>
    </row>
    <row r="202" spans="1:28" s="29" customFormat="1" x14ac:dyDescent="0.25">
      <c r="A202" s="34" t="s">
        <v>188</v>
      </c>
      <c r="B202" s="35">
        <f t="shared" si="174"/>
        <v>4053</v>
      </c>
      <c r="C202" s="35">
        <f t="shared" si="174"/>
        <v>4053</v>
      </c>
      <c r="D202" s="35">
        <f t="shared" si="174"/>
        <v>0</v>
      </c>
      <c r="E202" s="35"/>
      <c r="F202" s="35"/>
      <c r="G202" s="35">
        <f t="shared" si="175"/>
        <v>0</v>
      </c>
      <c r="H202" s="35">
        <v>4053</v>
      </c>
      <c r="I202" s="35">
        <v>4053</v>
      </c>
      <c r="J202" s="35">
        <f t="shared" si="176"/>
        <v>0</v>
      </c>
      <c r="K202" s="35">
        <v>0</v>
      </c>
      <c r="L202" s="35">
        <v>0</v>
      </c>
      <c r="M202" s="35">
        <f t="shared" si="177"/>
        <v>0</v>
      </c>
      <c r="N202" s="35"/>
      <c r="O202" s="35"/>
      <c r="P202" s="35">
        <f t="shared" si="178"/>
        <v>0</v>
      </c>
      <c r="Q202" s="35"/>
      <c r="R202" s="35"/>
      <c r="S202" s="35">
        <f t="shared" si="179"/>
        <v>0</v>
      </c>
      <c r="T202" s="35"/>
      <c r="U202" s="35"/>
      <c r="V202" s="35">
        <f t="shared" si="180"/>
        <v>0</v>
      </c>
      <c r="W202" s="35">
        <v>0</v>
      </c>
      <c r="X202" s="35">
        <v>0</v>
      </c>
      <c r="Y202" s="35">
        <f t="shared" si="181"/>
        <v>0</v>
      </c>
      <c r="Z202" s="35"/>
      <c r="AA202" s="35"/>
      <c r="AB202" s="35">
        <f t="shared" si="182"/>
        <v>0</v>
      </c>
    </row>
    <row r="203" spans="1:28" s="29" customFormat="1" ht="31.5" x14ac:dyDescent="0.25">
      <c r="A203" s="34" t="s">
        <v>189</v>
      </c>
      <c r="B203" s="35">
        <f t="shared" si="174"/>
        <v>4086</v>
      </c>
      <c r="C203" s="35">
        <f t="shared" si="174"/>
        <v>4086</v>
      </c>
      <c r="D203" s="35">
        <f t="shared" si="174"/>
        <v>0</v>
      </c>
      <c r="E203" s="35"/>
      <c r="F203" s="35"/>
      <c r="G203" s="35">
        <f t="shared" si="175"/>
        <v>0</v>
      </c>
      <c r="H203" s="35"/>
      <c r="I203" s="35"/>
      <c r="J203" s="35">
        <f t="shared" si="176"/>
        <v>0</v>
      </c>
      <c r="K203" s="35">
        <v>4086</v>
      </c>
      <c r="L203" s="35">
        <v>4086</v>
      </c>
      <c r="M203" s="35">
        <f t="shared" si="177"/>
        <v>0</v>
      </c>
      <c r="N203" s="35"/>
      <c r="O203" s="35"/>
      <c r="P203" s="35">
        <f t="shared" si="178"/>
        <v>0</v>
      </c>
      <c r="Q203" s="35"/>
      <c r="R203" s="35"/>
      <c r="S203" s="35">
        <f t="shared" si="179"/>
        <v>0</v>
      </c>
      <c r="T203" s="35"/>
      <c r="U203" s="35"/>
      <c r="V203" s="35">
        <f t="shared" si="180"/>
        <v>0</v>
      </c>
      <c r="W203" s="35">
        <v>0</v>
      </c>
      <c r="X203" s="35">
        <v>0</v>
      </c>
      <c r="Y203" s="35">
        <f t="shared" si="181"/>
        <v>0</v>
      </c>
      <c r="Z203" s="35"/>
      <c r="AA203" s="35"/>
      <c r="AB203" s="35">
        <f t="shared" si="182"/>
        <v>0</v>
      </c>
    </row>
    <row r="204" spans="1:28" s="29" customFormat="1" ht="94.5" x14ac:dyDescent="0.25">
      <c r="A204" s="34" t="s">
        <v>190</v>
      </c>
      <c r="B204" s="35">
        <f t="shared" si="174"/>
        <v>1850000</v>
      </c>
      <c r="C204" s="35">
        <f t="shared" si="174"/>
        <v>1850000</v>
      </c>
      <c r="D204" s="35">
        <f t="shared" si="174"/>
        <v>0</v>
      </c>
      <c r="E204" s="35"/>
      <c r="F204" s="35"/>
      <c r="G204" s="35">
        <f t="shared" si="175"/>
        <v>0</v>
      </c>
      <c r="H204" s="35"/>
      <c r="I204" s="35"/>
      <c r="J204" s="35">
        <f t="shared" si="176"/>
        <v>0</v>
      </c>
      <c r="K204" s="35">
        <v>0</v>
      </c>
      <c r="L204" s="35">
        <v>0</v>
      </c>
      <c r="M204" s="35">
        <f t="shared" si="177"/>
        <v>0</v>
      </c>
      <c r="N204" s="35"/>
      <c r="O204" s="35"/>
      <c r="P204" s="35">
        <f t="shared" si="178"/>
        <v>0</v>
      </c>
      <c r="Q204" s="35"/>
      <c r="R204" s="35"/>
      <c r="S204" s="35">
        <f t="shared" si="179"/>
        <v>0</v>
      </c>
      <c r="T204" s="35">
        <f>1290000</f>
        <v>1290000</v>
      </c>
      <c r="U204" s="35">
        <f>1290000</f>
        <v>1290000</v>
      </c>
      <c r="V204" s="35">
        <f t="shared" si="180"/>
        <v>0</v>
      </c>
      <c r="W204" s="35">
        <f>1290000-1290000</f>
        <v>0</v>
      </c>
      <c r="X204" s="35">
        <f>1290000-1290000</f>
        <v>0</v>
      </c>
      <c r="Y204" s="35">
        <f t="shared" si="181"/>
        <v>0</v>
      </c>
      <c r="Z204" s="35">
        <v>560000</v>
      </c>
      <c r="AA204" s="35">
        <v>560000</v>
      </c>
      <c r="AB204" s="35">
        <f t="shared" si="182"/>
        <v>0</v>
      </c>
    </row>
    <row r="205" spans="1:28" s="29" customFormat="1" ht="110.25" x14ac:dyDescent="0.25">
      <c r="A205" s="31" t="s">
        <v>191</v>
      </c>
      <c r="B205" s="35">
        <f t="shared" si="174"/>
        <v>33634</v>
      </c>
      <c r="C205" s="35">
        <f t="shared" si="174"/>
        <v>33634</v>
      </c>
      <c r="D205" s="35">
        <f t="shared" si="174"/>
        <v>0</v>
      </c>
      <c r="E205" s="35"/>
      <c r="F205" s="35"/>
      <c r="G205" s="35">
        <f t="shared" si="175"/>
        <v>0</v>
      </c>
      <c r="H205" s="35"/>
      <c r="I205" s="35"/>
      <c r="J205" s="35">
        <f t="shared" si="176"/>
        <v>0</v>
      </c>
      <c r="K205" s="35">
        <v>0</v>
      </c>
      <c r="L205" s="35">
        <v>0</v>
      </c>
      <c r="M205" s="35">
        <f t="shared" si="177"/>
        <v>0</v>
      </c>
      <c r="N205" s="35"/>
      <c r="O205" s="35"/>
      <c r="P205" s="35">
        <f t="shared" si="178"/>
        <v>0</v>
      </c>
      <c r="Q205" s="35"/>
      <c r="R205" s="35"/>
      <c r="S205" s="35">
        <f t="shared" si="179"/>
        <v>0</v>
      </c>
      <c r="T205" s="35">
        <v>33634</v>
      </c>
      <c r="U205" s="35">
        <v>33634</v>
      </c>
      <c r="V205" s="35">
        <f t="shared" si="180"/>
        <v>0</v>
      </c>
      <c r="W205" s="35">
        <v>0</v>
      </c>
      <c r="X205" s="35">
        <v>0</v>
      </c>
      <c r="Y205" s="35">
        <f t="shared" si="181"/>
        <v>0</v>
      </c>
      <c r="Z205" s="35"/>
      <c r="AA205" s="35"/>
      <c r="AB205" s="35">
        <f t="shared" si="182"/>
        <v>0</v>
      </c>
    </row>
    <row r="206" spans="1:28" s="29" customFormat="1" ht="47.25" x14ac:dyDescent="0.25">
      <c r="A206" s="31" t="s">
        <v>192</v>
      </c>
      <c r="B206" s="35">
        <f t="shared" si="174"/>
        <v>18646</v>
      </c>
      <c r="C206" s="35">
        <f t="shared" si="174"/>
        <v>18646</v>
      </c>
      <c r="D206" s="35">
        <f t="shared" si="174"/>
        <v>0</v>
      </c>
      <c r="E206" s="35">
        <f>15000-15000</f>
        <v>0</v>
      </c>
      <c r="F206" s="35">
        <f>15000-15000</f>
        <v>0</v>
      </c>
      <c r="G206" s="35">
        <f t="shared" si="175"/>
        <v>0</v>
      </c>
      <c r="H206" s="35"/>
      <c r="I206" s="35"/>
      <c r="J206" s="35">
        <f t="shared" si="176"/>
        <v>0</v>
      </c>
      <c r="K206" s="35">
        <v>0</v>
      </c>
      <c r="L206" s="35">
        <v>0</v>
      </c>
      <c r="M206" s="35">
        <f t="shared" si="177"/>
        <v>0</v>
      </c>
      <c r="N206" s="35"/>
      <c r="O206" s="35"/>
      <c r="P206" s="35">
        <f t="shared" si="178"/>
        <v>0</v>
      </c>
      <c r="Q206" s="35"/>
      <c r="R206" s="35"/>
      <c r="S206" s="35">
        <f t="shared" si="179"/>
        <v>0</v>
      </c>
      <c r="T206" s="35">
        <f>3646+15000</f>
        <v>18646</v>
      </c>
      <c r="U206" s="35">
        <f>3646+15000</f>
        <v>18646</v>
      </c>
      <c r="V206" s="35">
        <f t="shared" si="180"/>
        <v>0</v>
      </c>
      <c r="W206" s="35">
        <v>0</v>
      </c>
      <c r="X206" s="35">
        <v>0</v>
      </c>
      <c r="Y206" s="35">
        <f t="shared" si="181"/>
        <v>0</v>
      </c>
      <c r="Z206" s="35"/>
      <c r="AA206" s="35"/>
      <c r="AB206" s="35">
        <f t="shared" si="182"/>
        <v>0</v>
      </c>
    </row>
    <row r="207" spans="1:28" s="29" customFormat="1" ht="110.25" x14ac:dyDescent="0.25">
      <c r="A207" s="31" t="s">
        <v>193</v>
      </c>
      <c r="B207" s="35">
        <f t="shared" si="174"/>
        <v>3412885</v>
      </c>
      <c r="C207" s="35">
        <f t="shared" si="174"/>
        <v>3412885</v>
      </c>
      <c r="D207" s="35">
        <f t="shared" si="174"/>
        <v>0</v>
      </c>
      <c r="E207" s="35"/>
      <c r="F207" s="35"/>
      <c r="G207" s="35">
        <f t="shared" si="175"/>
        <v>0</v>
      </c>
      <c r="H207" s="35"/>
      <c r="I207" s="35"/>
      <c r="J207" s="35">
        <f t="shared" si="176"/>
        <v>0</v>
      </c>
      <c r="K207" s="35">
        <v>0</v>
      </c>
      <c r="L207" s="35">
        <v>0</v>
      </c>
      <c r="M207" s="35">
        <f t="shared" si="177"/>
        <v>0</v>
      </c>
      <c r="N207" s="35"/>
      <c r="O207" s="35"/>
      <c r="P207" s="35">
        <f t="shared" si="178"/>
        <v>0</v>
      </c>
      <c r="Q207" s="35"/>
      <c r="R207" s="35"/>
      <c r="S207" s="35">
        <f t="shared" si="179"/>
        <v>0</v>
      </c>
      <c r="T207" s="35">
        <v>3412885</v>
      </c>
      <c r="U207" s="35">
        <v>3412885</v>
      </c>
      <c r="V207" s="35">
        <f t="shared" si="180"/>
        <v>0</v>
      </c>
      <c r="W207" s="35">
        <v>0</v>
      </c>
      <c r="X207" s="35">
        <v>0</v>
      </c>
      <c r="Y207" s="35">
        <f t="shared" si="181"/>
        <v>0</v>
      </c>
      <c r="Z207" s="35"/>
      <c r="AA207" s="35"/>
      <c r="AB207" s="35">
        <f t="shared" si="182"/>
        <v>0</v>
      </c>
    </row>
    <row r="208" spans="1:28" s="29" customFormat="1" ht="110.25" x14ac:dyDescent="0.25">
      <c r="A208" s="31" t="s">
        <v>194</v>
      </c>
      <c r="B208" s="35">
        <f t="shared" si="174"/>
        <v>100017</v>
      </c>
      <c r="C208" s="35">
        <f t="shared" si="174"/>
        <v>100017</v>
      </c>
      <c r="D208" s="35">
        <f t="shared" si="174"/>
        <v>0</v>
      </c>
      <c r="E208" s="35"/>
      <c r="F208" s="35"/>
      <c r="G208" s="35">
        <f t="shared" si="175"/>
        <v>0</v>
      </c>
      <c r="H208" s="35">
        <f>21223</f>
        <v>21223</v>
      </c>
      <c r="I208" s="35">
        <f>21223</f>
        <v>21223</v>
      </c>
      <c r="J208" s="35">
        <f t="shared" si="176"/>
        <v>0</v>
      </c>
      <c r="K208" s="35">
        <f>60017-21223</f>
        <v>38794</v>
      </c>
      <c r="L208" s="35">
        <f>60017-21223</f>
        <v>38794</v>
      </c>
      <c r="M208" s="35">
        <f t="shared" si="177"/>
        <v>0</v>
      </c>
      <c r="N208" s="35"/>
      <c r="O208" s="35"/>
      <c r="P208" s="35">
        <f t="shared" si="178"/>
        <v>0</v>
      </c>
      <c r="Q208" s="35"/>
      <c r="R208" s="35"/>
      <c r="S208" s="35">
        <f t="shared" si="179"/>
        <v>0</v>
      </c>
      <c r="T208" s="35">
        <v>0</v>
      </c>
      <c r="U208" s="35">
        <v>0</v>
      </c>
      <c r="V208" s="35">
        <f t="shared" si="180"/>
        <v>0</v>
      </c>
      <c r="W208" s="35">
        <v>0</v>
      </c>
      <c r="X208" s="35">
        <v>0</v>
      </c>
      <c r="Y208" s="35">
        <f t="shared" si="181"/>
        <v>0</v>
      </c>
      <c r="Z208" s="35">
        <v>40000</v>
      </c>
      <c r="AA208" s="35">
        <v>40000</v>
      </c>
      <c r="AB208" s="35">
        <f t="shared" si="182"/>
        <v>0</v>
      </c>
    </row>
    <row r="209" spans="1:187" s="29" customFormat="1" ht="31.5" x14ac:dyDescent="0.25">
      <c r="A209" s="31" t="s">
        <v>195</v>
      </c>
      <c r="B209" s="35">
        <f t="shared" si="174"/>
        <v>6839</v>
      </c>
      <c r="C209" s="35">
        <f t="shared" si="174"/>
        <v>6839</v>
      </c>
      <c r="D209" s="35">
        <f t="shared" si="174"/>
        <v>0</v>
      </c>
      <c r="E209" s="35"/>
      <c r="F209" s="35"/>
      <c r="G209" s="35">
        <f t="shared" si="175"/>
        <v>0</v>
      </c>
      <c r="H209" s="35">
        <v>0</v>
      </c>
      <c r="I209" s="35">
        <v>0</v>
      </c>
      <c r="J209" s="35">
        <f t="shared" si="176"/>
        <v>0</v>
      </c>
      <c r="K209" s="35">
        <v>6839</v>
      </c>
      <c r="L209" s="35">
        <v>6839</v>
      </c>
      <c r="M209" s="35">
        <f t="shared" si="177"/>
        <v>0</v>
      </c>
      <c r="N209" s="35"/>
      <c r="O209" s="35"/>
      <c r="P209" s="35">
        <f t="shared" si="178"/>
        <v>0</v>
      </c>
      <c r="Q209" s="35"/>
      <c r="R209" s="35"/>
      <c r="S209" s="35">
        <f t="shared" si="179"/>
        <v>0</v>
      </c>
      <c r="T209" s="35">
        <v>0</v>
      </c>
      <c r="U209" s="35">
        <v>0</v>
      </c>
      <c r="V209" s="35">
        <f t="shared" si="180"/>
        <v>0</v>
      </c>
      <c r="W209" s="35">
        <v>0</v>
      </c>
      <c r="X209" s="35">
        <v>0</v>
      </c>
      <c r="Y209" s="35">
        <f t="shared" si="181"/>
        <v>0</v>
      </c>
      <c r="Z209" s="35"/>
      <c r="AA209" s="35"/>
      <c r="AB209" s="35">
        <f t="shared" si="182"/>
        <v>0</v>
      </c>
    </row>
    <row r="210" spans="1:187" s="29" customFormat="1" ht="31.5" x14ac:dyDescent="0.25">
      <c r="A210" s="31" t="s">
        <v>196</v>
      </c>
      <c r="B210" s="35">
        <f t="shared" si="174"/>
        <v>142441</v>
      </c>
      <c r="C210" s="35">
        <f t="shared" si="174"/>
        <v>142441</v>
      </c>
      <c r="D210" s="35">
        <f t="shared" si="174"/>
        <v>0</v>
      </c>
      <c r="E210" s="35">
        <v>49914</v>
      </c>
      <c r="F210" s="35">
        <v>49914</v>
      </c>
      <c r="G210" s="35">
        <f t="shared" si="175"/>
        <v>0</v>
      </c>
      <c r="H210" s="35"/>
      <c r="I210" s="35"/>
      <c r="J210" s="35">
        <f t="shared" si="176"/>
        <v>0</v>
      </c>
      <c r="K210" s="35">
        <v>0</v>
      </c>
      <c r="L210" s="35">
        <v>0</v>
      </c>
      <c r="M210" s="35">
        <f t="shared" si="177"/>
        <v>0</v>
      </c>
      <c r="N210" s="35"/>
      <c r="O210" s="35"/>
      <c r="P210" s="35">
        <f t="shared" si="178"/>
        <v>0</v>
      </c>
      <c r="Q210" s="35"/>
      <c r="R210" s="35"/>
      <c r="S210" s="35">
        <f t="shared" si="179"/>
        <v>0</v>
      </c>
      <c r="T210" s="35">
        <f>72177+20350</f>
        <v>92527</v>
      </c>
      <c r="U210" s="35">
        <f>72177+20350</f>
        <v>92527</v>
      </c>
      <c r="V210" s="35">
        <f t="shared" si="180"/>
        <v>0</v>
      </c>
      <c r="W210" s="35">
        <v>0</v>
      </c>
      <c r="X210" s="35">
        <v>0</v>
      </c>
      <c r="Y210" s="35">
        <f t="shared" si="181"/>
        <v>0</v>
      </c>
      <c r="Z210" s="35"/>
      <c r="AA210" s="35"/>
      <c r="AB210" s="35">
        <f t="shared" si="182"/>
        <v>0</v>
      </c>
    </row>
    <row r="211" spans="1:187" s="29" customFormat="1" ht="94.5" x14ac:dyDescent="0.25">
      <c r="A211" s="31" t="s">
        <v>197</v>
      </c>
      <c r="B211" s="35">
        <f t="shared" si="174"/>
        <v>6216374</v>
      </c>
      <c r="C211" s="35">
        <f t="shared" si="174"/>
        <v>6216374</v>
      </c>
      <c r="D211" s="35">
        <f t="shared" si="174"/>
        <v>0</v>
      </c>
      <c r="E211" s="35"/>
      <c r="F211" s="35"/>
      <c r="G211" s="35">
        <f t="shared" si="175"/>
        <v>0</v>
      </c>
      <c r="H211" s="35">
        <v>0</v>
      </c>
      <c r="I211" s="35">
        <v>0</v>
      </c>
      <c r="J211" s="35">
        <f t="shared" si="176"/>
        <v>0</v>
      </c>
      <c r="K211" s="35">
        <v>0</v>
      </c>
      <c r="L211" s="35">
        <v>0</v>
      </c>
      <c r="M211" s="35">
        <f t="shared" si="177"/>
        <v>0</v>
      </c>
      <c r="N211" s="35">
        <v>6216374</v>
      </c>
      <c r="O211" s="35">
        <v>6216374</v>
      </c>
      <c r="P211" s="35">
        <f t="shared" si="178"/>
        <v>0</v>
      </c>
      <c r="Q211" s="35"/>
      <c r="R211" s="35"/>
      <c r="S211" s="35">
        <f t="shared" si="179"/>
        <v>0</v>
      </c>
      <c r="T211" s="35">
        <v>0</v>
      </c>
      <c r="U211" s="35">
        <v>0</v>
      </c>
      <c r="V211" s="35">
        <f t="shared" si="180"/>
        <v>0</v>
      </c>
      <c r="W211" s="35">
        <v>0</v>
      </c>
      <c r="X211" s="35">
        <v>0</v>
      </c>
      <c r="Y211" s="35">
        <f t="shared" si="181"/>
        <v>0</v>
      </c>
      <c r="Z211" s="35"/>
      <c r="AA211" s="35"/>
      <c r="AB211" s="35">
        <f t="shared" si="182"/>
        <v>0</v>
      </c>
    </row>
    <row r="212" spans="1:187" s="29" customFormat="1" ht="63" x14ac:dyDescent="0.25">
      <c r="A212" s="34" t="s">
        <v>198</v>
      </c>
      <c r="B212" s="35">
        <f t="shared" si="174"/>
        <v>55085</v>
      </c>
      <c r="C212" s="35">
        <f t="shared" si="174"/>
        <v>55085</v>
      </c>
      <c r="D212" s="35">
        <f t="shared" si="174"/>
        <v>0</v>
      </c>
      <c r="E212" s="35">
        <v>55085</v>
      </c>
      <c r="F212" s="35">
        <v>55085</v>
      </c>
      <c r="G212" s="35">
        <f t="shared" si="175"/>
        <v>0</v>
      </c>
      <c r="H212" s="35"/>
      <c r="I212" s="35"/>
      <c r="J212" s="35">
        <f t="shared" si="176"/>
        <v>0</v>
      </c>
      <c r="K212" s="35"/>
      <c r="L212" s="35"/>
      <c r="M212" s="35">
        <f t="shared" si="177"/>
        <v>0</v>
      </c>
      <c r="N212" s="35"/>
      <c r="O212" s="35"/>
      <c r="P212" s="35">
        <f t="shared" si="178"/>
        <v>0</v>
      </c>
      <c r="Q212" s="35"/>
      <c r="R212" s="35"/>
      <c r="S212" s="35">
        <f t="shared" si="179"/>
        <v>0</v>
      </c>
      <c r="T212" s="35">
        <v>0</v>
      </c>
      <c r="U212" s="35">
        <v>0</v>
      </c>
      <c r="V212" s="35">
        <f t="shared" si="180"/>
        <v>0</v>
      </c>
      <c r="W212" s="35">
        <v>0</v>
      </c>
      <c r="X212" s="35">
        <v>0</v>
      </c>
      <c r="Y212" s="35">
        <f t="shared" si="181"/>
        <v>0</v>
      </c>
      <c r="Z212" s="35">
        <f>37665-37665</f>
        <v>0</v>
      </c>
      <c r="AA212" s="35">
        <f>37665-37665</f>
        <v>0</v>
      </c>
      <c r="AB212" s="35">
        <f t="shared" si="182"/>
        <v>0</v>
      </c>
    </row>
    <row r="213" spans="1:187" s="29" customFormat="1" ht="31.5" x14ac:dyDescent="0.25">
      <c r="A213" s="34" t="s">
        <v>199</v>
      </c>
      <c r="B213" s="35">
        <f t="shared" si="174"/>
        <v>63574</v>
      </c>
      <c r="C213" s="35">
        <f t="shared" si="174"/>
        <v>63574</v>
      </c>
      <c r="D213" s="35">
        <f t="shared" si="174"/>
        <v>0</v>
      </c>
      <c r="E213" s="35">
        <f>63574-16078</f>
        <v>47496</v>
      </c>
      <c r="F213" s="35">
        <f>63574-16078</f>
        <v>47496</v>
      </c>
      <c r="G213" s="35">
        <f t="shared" si="175"/>
        <v>0</v>
      </c>
      <c r="H213" s="35"/>
      <c r="I213" s="35"/>
      <c r="J213" s="35">
        <f t="shared" si="176"/>
        <v>0</v>
      </c>
      <c r="K213" s="35">
        <v>16078</v>
      </c>
      <c r="L213" s="35">
        <v>16078</v>
      </c>
      <c r="M213" s="35">
        <f t="shared" si="177"/>
        <v>0</v>
      </c>
      <c r="N213" s="35"/>
      <c r="O213" s="35"/>
      <c r="P213" s="35">
        <f t="shared" si="178"/>
        <v>0</v>
      </c>
      <c r="Q213" s="35"/>
      <c r="R213" s="35"/>
      <c r="S213" s="35">
        <f t="shared" si="179"/>
        <v>0</v>
      </c>
      <c r="T213" s="35">
        <v>0</v>
      </c>
      <c r="U213" s="35">
        <v>0</v>
      </c>
      <c r="V213" s="35">
        <f t="shared" si="180"/>
        <v>0</v>
      </c>
      <c r="W213" s="35">
        <v>0</v>
      </c>
      <c r="X213" s="35">
        <v>0</v>
      </c>
      <c r="Y213" s="35">
        <f t="shared" si="181"/>
        <v>0</v>
      </c>
      <c r="Z213" s="35"/>
      <c r="AA213" s="35"/>
      <c r="AB213" s="35">
        <f t="shared" si="182"/>
        <v>0</v>
      </c>
    </row>
    <row r="214" spans="1:187" s="29" customFormat="1" ht="31.5" x14ac:dyDescent="0.25">
      <c r="A214" s="34" t="s">
        <v>200</v>
      </c>
      <c r="B214" s="35">
        <f t="shared" si="174"/>
        <v>18326</v>
      </c>
      <c r="C214" s="35">
        <f t="shared" si="174"/>
        <v>18326</v>
      </c>
      <c r="D214" s="35">
        <f t="shared" si="174"/>
        <v>0</v>
      </c>
      <c r="E214" s="35">
        <v>0</v>
      </c>
      <c r="F214" s="35">
        <v>0</v>
      </c>
      <c r="G214" s="35">
        <f t="shared" si="175"/>
        <v>0</v>
      </c>
      <c r="H214" s="35"/>
      <c r="I214" s="35"/>
      <c r="J214" s="35">
        <f t="shared" si="176"/>
        <v>0</v>
      </c>
      <c r="K214" s="35">
        <v>18326</v>
      </c>
      <c r="L214" s="35">
        <v>18326</v>
      </c>
      <c r="M214" s="35">
        <f t="shared" si="177"/>
        <v>0</v>
      </c>
      <c r="N214" s="35"/>
      <c r="O214" s="35"/>
      <c r="P214" s="35">
        <f t="shared" si="178"/>
        <v>0</v>
      </c>
      <c r="Q214" s="35"/>
      <c r="R214" s="35"/>
      <c r="S214" s="35">
        <f t="shared" si="179"/>
        <v>0</v>
      </c>
      <c r="T214" s="35">
        <v>0</v>
      </c>
      <c r="U214" s="35">
        <v>0</v>
      </c>
      <c r="V214" s="35">
        <f t="shared" si="180"/>
        <v>0</v>
      </c>
      <c r="W214" s="35">
        <v>0</v>
      </c>
      <c r="X214" s="35">
        <v>0</v>
      </c>
      <c r="Y214" s="35">
        <f t="shared" si="181"/>
        <v>0</v>
      </c>
      <c r="Z214" s="35"/>
      <c r="AA214" s="35"/>
      <c r="AB214" s="35">
        <f t="shared" si="182"/>
        <v>0</v>
      </c>
    </row>
    <row r="215" spans="1:187" s="29" customFormat="1" ht="31.5" x14ac:dyDescent="0.25">
      <c r="A215" s="27" t="s">
        <v>78</v>
      </c>
      <c r="B215" s="28">
        <f t="shared" si="174"/>
        <v>1059402</v>
      </c>
      <c r="C215" s="28">
        <f t="shared" si="174"/>
        <v>1081570</v>
      </c>
      <c r="D215" s="28">
        <f t="shared" si="174"/>
        <v>22168</v>
      </c>
      <c r="E215" s="28">
        <f t="shared" ref="E215:AA215" si="239">SUM(E220,E230,E227,E216,E233)</f>
        <v>0</v>
      </c>
      <c r="F215" s="28">
        <f t="shared" si="239"/>
        <v>0</v>
      </c>
      <c r="G215" s="28">
        <f t="shared" si="175"/>
        <v>0</v>
      </c>
      <c r="H215" s="28">
        <f t="shared" ref="H215" si="240">SUM(H220,H230,H227,H216,H233)</f>
        <v>0</v>
      </c>
      <c r="I215" s="28">
        <f t="shared" si="239"/>
        <v>0</v>
      </c>
      <c r="J215" s="28">
        <f t="shared" si="176"/>
        <v>0</v>
      </c>
      <c r="K215" s="28">
        <f t="shared" ref="K215" si="241">SUM(K220,K230,K227,K216,K233)</f>
        <v>115162</v>
      </c>
      <c r="L215" s="28">
        <f t="shared" si="239"/>
        <v>137330</v>
      </c>
      <c r="M215" s="28">
        <f t="shared" si="177"/>
        <v>22168</v>
      </c>
      <c r="N215" s="28">
        <f t="shared" ref="N215" si="242">SUM(N220,N230,N227,N216,N233)</f>
        <v>560880</v>
      </c>
      <c r="O215" s="28">
        <f t="shared" si="239"/>
        <v>560880</v>
      </c>
      <c r="P215" s="28">
        <f t="shared" si="178"/>
        <v>0</v>
      </c>
      <c r="Q215" s="28">
        <f t="shared" ref="Q215" si="243">SUM(Q220,Q230,Q227,Q216,Q233)</f>
        <v>27560</v>
      </c>
      <c r="R215" s="28">
        <f t="shared" si="239"/>
        <v>27560</v>
      </c>
      <c r="S215" s="28">
        <f t="shared" si="179"/>
        <v>0</v>
      </c>
      <c r="T215" s="28">
        <f t="shared" ref="T215" si="244">SUM(T220,T230,T227,T216,T233)</f>
        <v>177000</v>
      </c>
      <c r="U215" s="28">
        <f t="shared" si="239"/>
        <v>177000</v>
      </c>
      <c r="V215" s="28">
        <f t="shared" si="180"/>
        <v>0</v>
      </c>
      <c r="W215" s="28">
        <f t="shared" si="239"/>
        <v>0</v>
      </c>
      <c r="X215" s="28">
        <f t="shared" si="239"/>
        <v>0</v>
      </c>
      <c r="Y215" s="28">
        <f t="shared" si="181"/>
        <v>0</v>
      </c>
      <c r="Z215" s="28">
        <f t="shared" ref="Z215" si="245">SUM(Z220,Z230,Z227,Z216,Z233)</f>
        <v>178800</v>
      </c>
      <c r="AA215" s="28">
        <f t="shared" si="239"/>
        <v>178800</v>
      </c>
      <c r="AB215" s="28">
        <f t="shared" si="182"/>
        <v>0</v>
      </c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</row>
    <row r="216" spans="1:187" s="29" customFormat="1" x14ac:dyDescent="0.25">
      <c r="A216" s="27" t="s">
        <v>91</v>
      </c>
      <c r="B216" s="28">
        <f t="shared" si="174"/>
        <v>30903</v>
      </c>
      <c r="C216" s="28">
        <f t="shared" si="174"/>
        <v>30903</v>
      </c>
      <c r="D216" s="28">
        <f t="shared" si="174"/>
        <v>0</v>
      </c>
      <c r="E216" s="28">
        <f t="shared" ref="E216:AA216" si="246">SUM(E217:E219)</f>
        <v>0</v>
      </c>
      <c r="F216" s="28">
        <f t="shared" si="246"/>
        <v>0</v>
      </c>
      <c r="G216" s="28">
        <f t="shared" si="175"/>
        <v>0</v>
      </c>
      <c r="H216" s="28">
        <f t="shared" ref="H216" si="247">SUM(H217:H219)</f>
        <v>0</v>
      </c>
      <c r="I216" s="28">
        <f t="shared" si="246"/>
        <v>0</v>
      </c>
      <c r="J216" s="28">
        <f t="shared" si="176"/>
        <v>0</v>
      </c>
      <c r="K216" s="28">
        <f t="shared" ref="K216" si="248">SUM(K217:K219)</f>
        <v>0</v>
      </c>
      <c r="L216" s="28">
        <f t="shared" si="246"/>
        <v>0</v>
      </c>
      <c r="M216" s="28">
        <f t="shared" si="177"/>
        <v>0</v>
      </c>
      <c r="N216" s="28">
        <f t="shared" ref="N216" si="249">SUM(N217:N219)</f>
        <v>5343</v>
      </c>
      <c r="O216" s="28">
        <f t="shared" si="246"/>
        <v>5343</v>
      </c>
      <c r="P216" s="28">
        <f t="shared" si="178"/>
        <v>0</v>
      </c>
      <c r="Q216" s="28">
        <f t="shared" ref="Q216" si="250">SUM(Q217:Q219)</f>
        <v>25560</v>
      </c>
      <c r="R216" s="28">
        <f t="shared" si="246"/>
        <v>25560</v>
      </c>
      <c r="S216" s="28">
        <f t="shared" si="179"/>
        <v>0</v>
      </c>
      <c r="T216" s="28">
        <f t="shared" ref="T216" si="251">SUM(T217:T219)</f>
        <v>0</v>
      </c>
      <c r="U216" s="28">
        <f t="shared" si="246"/>
        <v>0</v>
      </c>
      <c r="V216" s="28">
        <f t="shared" si="180"/>
        <v>0</v>
      </c>
      <c r="W216" s="28">
        <f t="shared" si="246"/>
        <v>0</v>
      </c>
      <c r="X216" s="28">
        <f t="shared" si="246"/>
        <v>0</v>
      </c>
      <c r="Y216" s="28">
        <f t="shared" si="181"/>
        <v>0</v>
      </c>
      <c r="Z216" s="28">
        <f t="shared" ref="Z216" si="252">SUM(Z217:Z219)</f>
        <v>0</v>
      </c>
      <c r="AA216" s="28">
        <f t="shared" si="246"/>
        <v>0</v>
      </c>
      <c r="AB216" s="28">
        <f t="shared" si="182"/>
        <v>0</v>
      </c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</row>
    <row r="217" spans="1:187" s="29" customFormat="1" ht="63" x14ac:dyDescent="0.25">
      <c r="A217" s="31" t="s">
        <v>201</v>
      </c>
      <c r="B217" s="35">
        <f t="shared" si="174"/>
        <v>5343</v>
      </c>
      <c r="C217" s="35">
        <f t="shared" si="174"/>
        <v>5343</v>
      </c>
      <c r="D217" s="35">
        <f t="shared" si="174"/>
        <v>0</v>
      </c>
      <c r="E217" s="35"/>
      <c r="F217" s="35"/>
      <c r="G217" s="35">
        <f t="shared" si="175"/>
        <v>0</v>
      </c>
      <c r="H217" s="35"/>
      <c r="I217" s="35"/>
      <c r="J217" s="35">
        <f t="shared" si="176"/>
        <v>0</v>
      </c>
      <c r="K217" s="35"/>
      <c r="L217" s="35"/>
      <c r="M217" s="35">
        <f t="shared" si="177"/>
        <v>0</v>
      </c>
      <c r="N217" s="35">
        <v>5343</v>
      </c>
      <c r="O217" s="35">
        <v>5343</v>
      </c>
      <c r="P217" s="35">
        <f t="shared" si="178"/>
        <v>0</v>
      </c>
      <c r="Q217" s="35"/>
      <c r="R217" s="35"/>
      <c r="S217" s="35">
        <f t="shared" si="179"/>
        <v>0</v>
      </c>
      <c r="T217" s="35"/>
      <c r="U217" s="35"/>
      <c r="V217" s="35">
        <f t="shared" si="180"/>
        <v>0</v>
      </c>
      <c r="W217" s="35"/>
      <c r="X217" s="35"/>
      <c r="Y217" s="35">
        <f t="shared" si="181"/>
        <v>0</v>
      </c>
      <c r="Z217" s="35"/>
      <c r="AA217" s="35"/>
      <c r="AB217" s="35">
        <f t="shared" si="182"/>
        <v>0</v>
      </c>
    </row>
    <row r="218" spans="1:187" s="29" customFormat="1" ht="31.5" x14ac:dyDescent="0.25">
      <c r="A218" s="31" t="s">
        <v>202</v>
      </c>
      <c r="B218" s="35">
        <f t="shared" si="174"/>
        <v>15060</v>
      </c>
      <c r="C218" s="35">
        <f t="shared" si="174"/>
        <v>15060</v>
      </c>
      <c r="D218" s="35">
        <f t="shared" si="174"/>
        <v>0</v>
      </c>
      <c r="E218" s="35"/>
      <c r="F218" s="35"/>
      <c r="G218" s="35">
        <f t="shared" si="175"/>
        <v>0</v>
      </c>
      <c r="H218" s="35"/>
      <c r="I218" s="35"/>
      <c r="J218" s="35">
        <f t="shared" si="176"/>
        <v>0</v>
      </c>
      <c r="K218" s="35"/>
      <c r="L218" s="35"/>
      <c r="M218" s="35">
        <f t="shared" si="177"/>
        <v>0</v>
      </c>
      <c r="N218" s="35"/>
      <c r="O218" s="35"/>
      <c r="P218" s="35">
        <f t="shared" si="178"/>
        <v>0</v>
      </c>
      <c r="Q218" s="35">
        <v>15060</v>
      </c>
      <c r="R218" s="35">
        <v>15060</v>
      </c>
      <c r="S218" s="35">
        <f t="shared" si="179"/>
        <v>0</v>
      </c>
      <c r="T218" s="35"/>
      <c r="U218" s="35"/>
      <c r="V218" s="35">
        <f t="shared" si="180"/>
        <v>0</v>
      </c>
      <c r="W218" s="35"/>
      <c r="X218" s="35"/>
      <c r="Y218" s="35">
        <f t="shared" si="181"/>
        <v>0</v>
      </c>
      <c r="Z218" s="35"/>
      <c r="AA218" s="35"/>
      <c r="AB218" s="35">
        <f t="shared" si="182"/>
        <v>0</v>
      </c>
    </row>
    <row r="219" spans="1:187" s="29" customFormat="1" ht="31.5" x14ac:dyDescent="0.25">
      <c r="A219" s="31" t="s">
        <v>203</v>
      </c>
      <c r="B219" s="35">
        <f t="shared" si="174"/>
        <v>10500</v>
      </c>
      <c r="C219" s="35">
        <f t="shared" si="174"/>
        <v>10500</v>
      </c>
      <c r="D219" s="35">
        <f t="shared" si="174"/>
        <v>0</v>
      </c>
      <c r="E219" s="35"/>
      <c r="F219" s="35"/>
      <c r="G219" s="35">
        <f t="shared" si="175"/>
        <v>0</v>
      </c>
      <c r="H219" s="35"/>
      <c r="I219" s="35"/>
      <c r="J219" s="35">
        <f t="shared" si="176"/>
        <v>0</v>
      </c>
      <c r="K219" s="35"/>
      <c r="L219" s="35"/>
      <c r="M219" s="35">
        <f t="shared" si="177"/>
        <v>0</v>
      </c>
      <c r="N219" s="35"/>
      <c r="O219" s="35"/>
      <c r="P219" s="35">
        <f t="shared" si="178"/>
        <v>0</v>
      </c>
      <c r="Q219" s="35">
        <v>10500</v>
      </c>
      <c r="R219" s="35">
        <v>10500</v>
      </c>
      <c r="S219" s="35">
        <f t="shared" si="179"/>
        <v>0</v>
      </c>
      <c r="T219" s="35"/>
      <c r="U219" s="35"/>
      <c r="V219" s="35">
        <f t="shared" si="180"/>
        <v>0</v>
      </c>
      <c r="W219" s="35"/>
      <c r="X219" s="35"/>
      <c r="Y219" s="35">
        <f t="shared" si="181"/>
        <v>0</v>
      </c>
      <c r="Z219" s="35"/>
      <c r="AA219" s="35"/>
      <c r="AB219" s="35">
        <f t="shared" si="182"/>
        <v>0</v>
      </c>
    </row>
    <row r="220" spans="1:187" s="29" customFormat="1" ht="31.5" x14ac:dyDescent="0.25">
      <c r="A220" s="27" t="s">
        <v>97</v>
      </c>
      <c r="B220" s="28">
        <f t="shared" si="174"/>
        <v>75391</v>
      </c>
      <c r="C220" s="28">
        <f t="shared" si="174"/>
        <v>75391</v>
      </c>
      <c r="D220" s="28">
        <f t="shared" si="174"/>
        <v>0</v>
      </c>
      <c r="E220" s="28">
        <f t="shared" ref="E220:AA220" si="253">SUM(E221:E226)</f>
        <v>0</v>
      </c>
      <c r="F220" s="28">
        <f t="shared" si="253"/>
        <v>0</v>
      </c>
      <c r="G220" s="28">
        <f t="shared" si="175"/>
        <v>0</v>
      </c>
      <c r="H220" s="28">
        <f t="shared" ref="H220" si="254">SUM(H221:H226)</f>
        <v>0</v>
      </c>
      <c r="I220" s="28">
        <f t="shared" si="253"/>
        <v>0</v>
      </c>
      <c r="J220" s="28">
        <f t="shared" si="176"/>
        <v>0</v>
      </c>
      <c r="K220" s="28">
        <f t="shared" ref="K220" si="255">SUM(K221:K226)</f>
        <v>71599</v>
      </c>
      <c r="L220" s="28">
        <f t="shared" si="253"/>
        <v>71599</v>
      </c>
      <c r="M220" s="28">
        <f t="shared" si="177"/>
        <v>0</v>
      </c>
      <c r="N220" s="28">
        <f t="shared" ref="N220" si="256">SUM(N221:N226)</f>
        <v>3792</v>
      </c>
      <c r="O220" s="28">
        <f t="shared" si="253"/>
        <v>3792</v>
      </c>
      <c r="P220" s="28">
        <f t="shared" si="178"/>
        <v>0</v>
      </c>
      <c r="Q220" s="28">
        <f t="shared" ref="Q220" si="257">SUM(Q221:Q226)</f>
        <v>0</v>
      </c>
      <c r="R220" s="28">
        <f t="shared" si="253"/>
        <v>0</v>
      </c>
      <c r="S220" s="28">
        <f t="shared" si="179"/>
        <v>0</v>
      </c>
      <c r="T220" s="28">
        <f t="shared" ref="T220" si="258">SUM(T221:T226)</f>
        <v>0</v>
      </c>
      <c r="U220" s="28">
        <f t="shared" si="253"/>
        <v>0</v>
      </c>
      <c r="V220" s="28">
        <f t="shared" si="180"/>
        <v>0</v>
      </c>
      <c r="W220" s="28">
        <f t="shared" si="253"/>
        <v>0</v>
      </c>
      <c r="X220" s="28">
        <f t="shared" si="253"/>
        <v>0</v>
      </c>
      <c r="Y220" s="28">
        <f t="shared" si="181"/>
        <v>0</v>
      </c>
      <c r="Z220" s="28">
        <f t="shared" ref="Z220" si="259">SUM(Z221:Z226)</f>
        <v>0</v>
      </c>
      <c r="AA220" s="28">
        <f t="shared" si="253"/>
        <v>0</v>
      </c>
      <c r="AB220" s="28">
        <f t="shared" si="182"/>
        <v>0</v>
      </c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</row>
    <row r="221" spans="1:187" s="29" customFormat="1" ht="63" x14ac:dyDescent="0.25">
      <c r="A221" s="40" t="s">
        <v>204</v>
      </c>
      <c r="B221" s="35">
        <f t="shared" ref="B221:D262" si="260">E221+H221+K221+N221+Q221+T221+W221+Z221</f>
        <v>1440</v>
      </c>
      <c r="C221" s="35">
        <f t="shared" si="260"/>
        <v>1440</v>
      </c>
      <c r="D221" s="35">
        <f t="shared" si="260"/>
        <v>0</v>
      </c>
      <c r="E221" s="35"/>
      <c r="F221" s="35"/>
      <c r="G221" s="35">
        <f t="shared" si="175"/>
        <v>0</v>
      </c>
      <c r="H221" s="35"/>
      <c r="I221" s="35"/>
      <c r="J221" s="35">
        <f t="shared" si="176"/>
        <v>0</v>
      </c>
      <c r="K221" s="35">
        <v>0</v>
      </c>
      <c r="L221" s="35">
        <v>0</v>
      </c>
      <c r="M221" s="35">
        <f t="shared" si="177"/>
        <v>0</v>
      </c>
      <c r="N221" s="35">
        <v>1440</v>
      </c>
      <c r="O221" s="35">
        <v>1440</v>
      </c>
      <c r="P221" s="35">
        <f t="shared" si="178"/>
        <v>0</v>
      </c>
      <c r="Q221" s="35"/>
      <c r="R221" s="35"/>
      <c r="S221" s="35">
        <f t="shared" si="179"/>
        <v>0</v>
      </c>
      <c r="T221" s="35"/>
      <c r="U221" s="35"/>
      <c r="V221" s="35">
        <f t="shared" si="180"/>
        <v>0</v>
      </c>
      <c r="W221" s="35"/>
      <c r="X221" s="35"/>
      <c r="Y221" s="35">
        <f t="shared" si="181"/>
        <v>0</v>
      </c>
      <c r="Z221" s="35"/>
      <c r="AA221" s="35"/>
      <c r="AB221" s="35">
        <f t="shared" si="182"/>
        <v>0</v>
      </c>
    </row>
    <row r="222" spans="1:187" s="29" customFormat="1" ht="78.75" x14ac:dyDescent="0.25">
      <c r="A222" s="40" t="s">
        <v>205</v>
      </c>
      <c r="B222" s="35">
        <f t="shared" si="260"/>
        <v>2352</v>
      </c>
      <c r="C222" s="35">
        <f t="shared" si="260"/>
        <v>2352</v>
      </c>
      <c r="D222" s="35">
        <f t="shared" si="260"/>
        <v>0</v>
      </c>
      <c r="E222" s="35">
        <v>0</v>
      </c>
      <c r="F222" s="35">
        <v>0</v>
      </c>
      <c r="G222" s="35">
        <f t="shared" ref="G222:G262" si="261">F222-E222</f>
        <v>0</v>
      </c>
      <c r="H222" s="35">
        <v>0</v>
      </c>
      <c r="I222" s="35">
        <v>0</v>
      </c>
      <c r="J222" s="35">
        <f t="shared" ref="J222:J262" si="262">I222-H222</f>
        <v>0</v>
      </c>
      <c r="K222" s="35">
        <v>0</v>
      </c>
      <c r="L222" s="35">
        <v>0</v>
      </c>
      <c r="M222" s="35">
        <f t="shared" ref="M222:M262" si="263">L222-K222</f>
        <v>0</v>
      </c>
      <c r="N222" s="35">
        <v>2352</v>
      </c>
      <c r="O222" s="35">
        <v>2352</v>
      </c>
      <c r="P222" s="35">
        <f t="shared" ref="P222:P262" si="264">O222-N222</f>
        <v>0</v>
      </c>
      <c r="Q222" s="35"/>
      <c r="R222" s="35"/>
      <c r="S222" s="35">
        <f t="shared" ref="S222:S262" si="265">R222-Q222</f>
        <v>0</v>
      </c>
      <c r="T222" s="35"/>
      <c r="U222" s="35"/>
      <c r="V222" s="35">
        <f t="shared" ref="V222:V262" si="266">U222-T222</f>
        <v>0</v>
      </c>
      <c r="W222" s="35"/>
      <c r="X222" s="35"/>
      <c r="Y222" s="35">
        <f t="shared" ref="Y222:Y262" si="267">X222-W222</f>
        <v>0</v>
      </c>
      <c r="Z222" s="35"/>
      <c r="AA222" s="35"/>
      <c r="AB222" s="35">
        <f t="shared" ref="AB222:AB262" si="268">AA222-Z222</f>
        <v>0</v>
      </c>
    </row>
    <row r="223" spans="1:187" s="29" customFormat="1" ht="31.5" x14ac:dyDescent="0.25">
      <c r="A223" s="34" t="s">
        <v>206</v>
      </c>
      <c r="B223" s="35">
        <f t="shared" si="260"/>
        <v>36600</v>
      </c>
      <c r="C223" s="35">
        <f t="shared" si="260"/>
        <v>36600</v>
      </c>
      <c r="D223" s="35">
        <f t="shared" si="260"/>
        <v>0</v>
      </c>
      <c r="E223" s="35"/>
      <c r="F223" s="35"/>
      <c r="G223" s="35">
        <f t="shared" si="261"/>
        <v>0</v>
      </c>
      <c r="H223" s="35"/>
      <c r="I223" s="35"/>
      <c r="J223" s="35">
        <f t="shared" si="262"/>
        <v>0</v>
      </c>
      <c r="K223" s="35">
        <v>36600</v>
      </c>
      <c r="L223" s="35">
        <v>36600</v>
      </c>
      <c r="M223" s="35">
        <f t="shared" si="263"/>
        <v>0</v>
      </c>
      <c r="N223" s="35">
        <v>0</v>
      </c>
      <c r="O223" s="35">
        <v>0</v>
      </c>
      <c r="P223" s="35">
        <f t="shared" si="264"/>
        <v>0</v>
      </c>
      <c r="Q223" s="35"/>
      <c r="R223" s="35"/>
      <c r="S223" s="35">
        <f t="shared" si="265"/>
        <v>0</v>
      </c>
      <c r="T223" s="35"/>
      <c r="U223" s="35"/>
      <c r="V223" s="35">
        <f t="shared" si="266"/>
        <v>0</v>
      </c>
      <c r="W223" s="35"/>
      <c r="X223" s="35"/>
      <c r="Y223" s="35">
        <f t="shared" si="267"/>
        <v>0</v>
      </c>
      <c r="Z223" s="35"/>
      <c r="AA223" s="35"/>
      <c r="AB223" s="35">
        <f t="shared" si="268"/>
        <v>0</v>
      </c>
    </row>
    <row r="224" spans="1:187" s="29" customFormat="1" ht="31.5" x14ac:dyDescent="0.25">
      <c r="A224" s="34" t="s">
        <v>207</v>
      </c>
      <c r="B224" s="35">
        <f t="shared" si="260"/>
        <v>6000</v>
      </c>
      <c r="C224" s="35">
        <f t="shared" si="260"/>
        <v>6000</v>
      </c>
      <c r="D224" s="35">
        <f t="shared" si="260"/>
        <v>0</v>
      </c>
      <c r="E224" s="35"/>
      <c r="F224" s="35"/>
      <c r="G224" s="35">
        <f t="shared" si="261"/>
        <v>0</v>
      </c>
      <c r="H224" s="35"/>
      <c r="I224" s="35"/>
      <c r="J224" s="35">
        <f t="shared" si="262"/>
        <v>0</v>
      </c>
      <c r="K224" s="35">
        <v>6000</v>
      </c>
      <c r="L224" s="35">
        <v>6000</v>
      </c>
      <c r="M224" s="35">
        <f t="shared" si="263"/>
        <v>0</v>
      </c>
      <c r="N224" s="35">
        <v>0</v>
      </c>
      <c r="O224" s="35">
        <v>0</v>
      </c>
      <c r="P224" s="35">
        <f t="shared" si="264"/>
        <v>0</v>
      </c>
      <c r="Q224" s="35"/>
      <c r="R224" s="35"/>
      <c r="S224" s="35">
        <f t="shared" si="265"/>
        <v>0</v>
      </c>
      <c r="T224" s="35"/>
      <c r="U224" s="35"/>
      <c r="V224" s="35">
        <f t="shared" si="266"/>
        <v>0</v>
      </c>
      <c r="W224" s="35"/>
      <c r="X224" s="35"/>
      <c r="Y224" s="35">
        <f t="shared" si="267"/>
        <v>0</v>
      </c>
      <c r="Z224" s="35"/>
      <c r="AA224" s="35"/>
      <c r="AB224" s="35">
        <f t="shared" si="268"/>
        <v>0</v>
      </c>
    </row>
    <row r="225" spans="1:188" s="29" customFormat="1" x14ac:dyDescent="0.25">
      <c r="A225" s="34" t="s">
        <v>208</v>
      </c>
      <c r="B225" s="35">
        <f t="shared" si="260"/>
        <v>25999</v>
      </c>
      <c r="C225" s="35">
        <f t="shared" si="260"/>
        <v>25999</v>
      </c>
      <c r="D225" s="35">
        <f t="shared" si="260"/>
        <v>0</v>
      </c>
      <c r="E225" s="35"/>
      <c r="F225" s="35"/>
      <c r="G225" s="35">
        <f t="shared" si="261"/>
        <v>0</v>
      </c>
      <c r="H225" s="35"/>
      <c r="I225" s="35"/>
      <c r="J225" s="35">
        <f t="shared" si="262"/>
        <v>0</v>
      </c>
      <c r="K225" s="35">
        <v>25999</v>
      </c>
      <c r="L225" s="35">
        <v>25999</v>
      </c>
      <c r="M225" s="35">
        <f t="shared" si="263"/>
        <v>0</v>
      </c>
      <c r="N225" s="35">
        <v>0</v>
      </c>
      <c r="O225" s="35">
        <v>0</v>
      </c>
      <c r="P225" s="35">
        <f t="shared" si="264"/>
        <v>0</v>
      </c>
      <c r="Q225" s="35"/>
      <c r="R225" s="35"/>
      <c r="S225" s="35">
        <f t="shared" si="265"/>
        <v>0</v>
      </c>
      <c r="T225" s="35"/>
      <c r="U225" s="35"/>
      <c r="V225" s="35">
        <f t="shared" si="266"/>
        <v>0</v>
      </c>
      <c r="W225" s="35"/>
      <c r="X225" s="35"/>
      <c r="Y225" s="35">
        <f t="shared" si="267"/>
        <v>0</v>
      </c>
      <c r="Z225" s="35"/>
      <c r="AA225" s="35"/>
      <c r="AB225" s="35">
        <f t="shared" si="268"/>
        <v>0</v>
      </c>
    </row>
    <row r="226" spans="1:188" s="29" customFormat="1" x14ac:dyDescent="0.25">
      <c r="A226" s="34" t="s">
        <v>209</v>
      </c>
      <c r="B226" s="35">
        <f t="shared" si="260"/>
        <v>3000</v>
      </c>
      <c r="C226" s="35">
        <f t="shared" si="260"/>
        <v>3000</v>
      </c>
      <c r="D226" s="35">
        <f t="shared" si="260"/>
        <v>0</v>
      </c>
      <c r="E226" s="35"/>
      <c r="F226" s="35"/>
      <c r="G226" s="35">
        <f t="shared" si="261"/>
        <v>0</v>
      </c>
      <c r="H226" s="35"/>
      <c r="I226" s="35"/>
      <c r="J226" s="35">
        <f t="shared" si="262"/>
        <v>0</v>
      </c>
      <c r="K226" s="35">
        <v>3000</v>
      </c>
      <c r="L226" s="35">
        <v>3000</v>
      </c>
      <c r="M226" s="35">
        <f t="shared" si="263"/>
        <v>0</v>
      </c>
      <c r="N226" s="35">
        <v>0</v>
      </c>
      <c r="O226" s="35">
        <v>0</v>
      </c>
      <c r="P226" s="35">
        <f t="shared" si="264"/>
        <v>0</v>
      </c>
      <c r="Q226" s="35"/>
      <c r="R226" s="35"/>
      <c r="S226" s="35">
        <f t="shared" si="265"/>
        <v>0</v>
      </c>
      <c r="T226" s="35"/>
      <c r="U226" s="35"/>
      <c r="V226" s="35">
        <f t="shared" si="266"/>
        <v>0</v>
      </c>
      <c r="W226" s="35"/>
      <c r="X226" s="35"/>
      <c r="Y226" s="35">
        <f t="shared" si="267"/>
        <v>0</v>
      </c>
      <c r="Z226" s="35"/>
      <c r="AA226" s="35"/>
      <c r="AB226" s="35">
        <f t="shared" si="268"/>
        <v>0</v>
      </c>
    </row>
    <row r="227" spans="1:188" s="29" customFormat="1" x14ac:dyDescent="0.25">
      <c r="A227" s="27" t="s">
        <v>128</v>
      </c>
      <c r="B227" s="28">
        <f t="shared" si="260"/>
        <v>553745</v>
      </c>
      <c r="C227" s="28">
        <f t="shared" si="260"/>
        <v>553745</v>
      </c>
      <c r="D227" s="28">
        <f t="shared" si="260"/>
        <v>0</v>
      </c>
      <c r="E227" s="28">
        <f t="shared" ref="E227:AA227" si="269">SUM(E228:E229)</f>
        <v>0</v>
      </c>
      <c r="F227" s="28">
        <f t="shared" si="269"/>
        <v>0</v>
      </c>
      <c r="G227" s="28">
        <f t="shared" si="261"/>
        <v>0</v>
      </c>
      <c r="H227" s="28">
        <f t="shared" ref="H227" si="270">SUM(H228:H229)</f>
        <v>0</v>
      </c>
      <c r="I227" s="28">
        <f t="shared" si="269"/>
        <v>0</v>
      </c>
      <c r="J227" s="28">
        <f t="shared" si="262"/>
        <v>0</v>
      </c>
      <c r="K227" s="28">
        <f t="shared" ref="K227" si="271">SUM(K228:K229)</f>
        <v>0</v>
      </c>
      <c r="L227" s="28">
        <f t="shared" si="269"/>
        <v>0</v>
      </c>
      <c r="M227" s="28">
        <f t="shared" si="263"/>
        <v>0</v>
      </c>
      <c r="N227" s="28">
        <f t="shared" ref="N227" si="272">SUM(N228:N229)</f>
        <v>551745</v>
      </c>
      <c r="O227" s="28">
        <f t="shared" si="269"/>
        <v>551745</v>
      </c>
      <c r="P227" s="28">
        <f t="shared" si="264"/>
        <v>0</v>
      </c>
      <c r="Q227" s="28">
        <f t="shared" ref="Q227" si="273">SUM(Q228:Q229)</f>
        <v>2000</v>
      </c>
      <c r="R227" s="28">
        <f t="shared" si="269"/>
        <v>2000</v>
      </c>
      <c r="S227" s="28">
        <f t="shared" si="265"/>
        <v>0</v>
      </c>
      <c r="T227" s="28">
        <f t="shared" ref="T227" si="274">SUM(T228:T229)</f>
        <v>0</v>
      </c>
      <c r="U227" s="28">
        <f t="shared" si="269"/>
        <v>0</v>
      </c>
      <c r="V227" s="28">
        <f t="shared" si="266"/>
        <v>0</v>
      </c>
      <c r="W227" s="28">
        <f t="shared" si="269"/>
        <v>0</v>
      </c>
      <c r="X227" s="28">
        <f t="shared" si="269"/>
        <v>0</v>
      </c>
      <c r="Y227" s="28">
        <f t="shared" si="267"/>
        <v>0</v>
      </c>
      <c r="Z227" s="28">
        <f t="shared" ref="Z227" si="275">SUM(Z228:Z229)</f>
        <v>0</v>
      </c>
      <c r="AA227" s="28">
        <f t="shared" si="269"/>
        <v>0</v>
      </c>
      <c r="AB227" s="28">
        <f t="shared" si="268"/>
        <v>0</v>
      </c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  <c r="FE227" s="26"/>
      <c r="FF227" s="26"/>
      <c r="FG227" s="26"/>
      <c r="FH227" s="26"/>
      <c r="FI227" s="26"/>
      <c r="FJ227" s="26"/>
      <c r="FK227" s="26"/>
      <c r="FL227" s="26"/>
      <c r="FM227" s="26"/>
      <c r="FN227" s="26"/>
      <c r="FO227" s="26"/>
      <c r="FP227" s="26"/>
      <c r="FQ227" s="26"/>
      <c r="FR227" s="26"/>
      <c r="FS227" s="26"/>
      <c r="FT227" s="26"/>
      <c r="FU227" s="26"/>
      <c r="FV227" s="26"/>
      <c r="FW227" s="26"/>
      <c r="FX227" s="26"/>
      <c r="FY227" s="26"/>
      <c r="FZ227" s="26"/>
      <c r="GA227" s="26"/>
      <c r="GB227" s="26"/>
      <c r="GC227" s="26"/>
      <c r="GD227" s="26"/>
      <c r="GE227" s="26"/>
    </row>
    <row r="228" spans="1:188" s="29" customFormat="1" ht="78.75" x14ac:dyDescent="0.25">
      <c r="A228" s="34" t="s">
        <v>210</v>
      </c>
      <c r="B228" s="35">
        <f t="shared" si="260"/>
        <v>551745</v>
      </c>
      <c r="C228" s="35">
        <f t="shared" si="260"/>
        <v>551745</v>
      </c>
      <c r="D228" s="35">
        <f t="shared" si="260"/>
        <v>0</v>
      </c>
      <c r="E228" s="35"/>
      <c r="F228" s="35"/>
      <c r="G228" s="35">
        <f t="shared" si="261"/>
        <v>0</v>
      </c>
      <c r="H228" s="35"/>
      <c r="I228" s="35"/>
      <c r="J228" s="35">
        <f t="shared" si="262"/>
        <v>0</v>
      </c>
      <c r="K228" s="35"/>
      <c r="L228" s="35"/>
      <c r="M228" s="35">
        <f t="shared" si="263"/>
        <v>0</v>
      </c>
      <c r="N228" s="35">
        <v>551745</v>
      </c>
      <c r="O228" s="35">
        <v>551745</v>
      </c>
      <c r="P228" s="35">
        <f t="shared" si="264"/>
        <v>0</v>
      </c>
      <c r="Q228" s="35"/>
      <c r="R228" s="35"/>
      <c r="S228" s="35">
        <f t="shared" si="265"/>
        <v>0</v>
      </c>
      <c r="T228" s="35"/>
      <c r="U228" s="35"/>
      <c r="V228" s="35">
        <f t="shared" si="266"/>
        <v>0</v>
      </c>
      <c r="W228" s="35"/>
      <c r="X228" s="35"/>
      <c r="Y228" s="35">
        <f t="shared" si="267"/>
        <v>0</v>
      </c>
      <c r="Z228" s="35"/>
      <c r="AA228" s="35"/>
      <c r="AB228" s="35">
        <f t="shared" si="268"/>
        <v>0</v>
      </c>
    </row>
    <row r="229" spans="1:188" s="29" customFormat="1" ht="31.5" x14ac:dyDescent="0.25">
      <c r="A229" s="40" t="s">
        <v>211</v>
      </c>
      <c r="B229" s="35">
        <f t="shared" si="260"/>
        <v>2000</v>
      </c>
      <c r="C229" s="35">
        <f t="shared" si="260"/>
        <v>2000</v>
      </c>
      <c r="D229" s="35">
        <f t="shared" si="260"/>
        <v>0</v>
      </c>
      <c r="E229" s="35"/>
      <c r="F229" s="35"/>
      <c r="G229" s="35">
        <f t="shared" si="261"/>
        <v>0</v>
      </c>
      <c r="H229" s="35"/>
      <c r="I229" s="35"/>
      <c r="J229" s="35">
        <f t="shared" si="262"/>
        <v>0</v>
      </c>
      <c r="K229" s="35"/>
      <c r="L229" s="35"/>
      <c r="M229" s="35">
        <f t="shared" si="263"/>
        <v>0</v>
      </c>
      <c r="N229" s="35">
        <v>0</v>
      </c>
      <c r="O229" s="35">
        <v>0</v>
      </c>
      <c r="P229" s="35">
        <f t="shared" si="264"/>
        <v>0</v>
      </c>
      <c r="Q229" s="35">
        <v>2000</v>
      </c>
      <c r="R229" s="35">
        <v>2000</v>
      </c>
      <c r="S229" s="35">
        <f t="shared" si="265"/>
        <v>0</v>
      </c>
      <c r="T229" s="35"/>
      <c r="U229" s="35"/>
      <c r="V229" s="35">
        <f t="shared" si="266"/>
        <v>0</v>
      </c>
      <c r="W229" s="35"/>
      <c r="X229" s="35"/>
      <c r="Y229" s="35">
        <f t="shared" si="267"/>
        <v>0</v>
      </c>
      <c r="Z229" s="35"/>
      <c r="AA229" s="35"/>
      <c r="AB229" s="35">
        <f t="shared" si="268"/>
        <v>0</v>
      </c>
    </row>
    <row r="230" spans="1:188" s="29" customFormat="1" x14ac:dyDescent="0.25">
      <c r="A230" s="27" t="s">
        <v>104</v>
      </c>
      <c r="B230" s="28">
        <f t="shared" si="260"/>
        <v>369363</v>
      </c>
      <c r="C230" s="28">
        <f t="shared" si="260"/>
        <v>391531</v>
      </c>
      <c r="D230" s="28">
        <f t="shared" si="260"/>
        <v>22168</v>
      </c>
      <c r="E230" s="28">
        <f t="shared" ref="E230:AA230" si="276">SUM(E231:E232)</f>
        <v>0</v>
      </c>
      <c r="F230" s="28">
        <f t="shared" si="276"/>
        <v>0</v>
      </c>
      <c r="G230" s="28">
        <f t="shared" si="261"/>
        <v>0</v>
      </c>
      <c r="H230" s="28">
        <f t="shared" ref="H230" si="277">SUM(H231:H232)</f>
        <v>0</v>
      </c>
      <c r="I230" s="28">
        <f t="shared" si="276"/>
        <v>0</v>
      </c>
      <c r="J230" s="28">
        <f t="shared" si="262"/>
        <v>0</v>
      </c>
      <c r="K230" s="28">
        <f t="shared" ref="K230" si="278">SUM(K231:K232)</f>
        <v>13563</v>
      </c>
      <c r="L230" s="28">
        <f t="shared" si="276"/>
        <v>35731</v>
      </c>
      <c r="M230" s="28">
        <f t="shared" si="263"/>
        <v>22168</v>
      </c>
      <c r="N230" s="28">
        <f t="shared" ref="N230" si="279">SUM(N231:N232)</f>
        <v>0</v>
      </c>
      <c r="O230" s="28">
        <f t="shared" si="276"/>
        <v>0</v>
      </c>
      <c r="P230" s="28">
        <f t="shared" si="264"/>
        <v>0</v>
      </c>
      <c r="Q230" s="28">
        <f t="shared" ref="Q230" si="280">SUM(Q231:Q232)</f>
        <v>0</v>
      </c>
      <c r="R230" s="28">
        <f t="shared" si="276"/>
        <v>0</v>
      </c>
      <c r="S230" s="28">
        <f t="shared" si="265"/>
        <v>0</v>
      </c>
      <c r="T230" s="28">
        <f t="shared" ref="T230" si="281">SUM(T231:T232)</f>
        <v>177000</v>
      </c>
      <c r="U230" s="28">
        <f t="shared" si="276"/>
        <v>177000</v>
      </c>
      <c r="V230" s="28">
        <f t="shared" si="266"/>
        <v>0</v>
      </c>
      <c r="W230" s="28">
        <f t="shared" si="276"/>
        <v>0</v>
      </c>
      <c r="X230" s="28">
        <f t="shared" si="276"/>
        <v>0</v>
      </c>
      <c r="Y230" s="28">
        <f t="shared" si="267"/>
        <v>0</v>
      </c>
      <c r="Z230" s="28">
        <f t="shared" ref="Z230" si="282">SUM(Z231:Z232)</f>
        <v>178800</v>
      </c>
      <c r="AA230" s="28">
        <f t="shared" si="276"/>
        <v>178800</v>
      </c>
      <c r="AB230" s="28">
        <f t="shared" si="268"/>
        <v>0</v>
      </c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  <c r="EF230" s="26"/>
      <c r="EG230" s="26"/>
      <c r="EH230" s="26"/>
      <c r="EI230" s="26"/>
      <c r="EJ230" s="26"/>
      <c r="EK230" s="26"/>
      <c r="EL230" s="26"/>
      <c r="EM230" s="26"/>
      <c r="EN230" s="26"/>
      <c r="EO230" s="26"/>
      <c r="EP230" s="26"/>
      <c r="EQ230" s="26"/>
      <c r="ER230" s="26"/>
      <c r="ES230" s="26"/>
      <c r="ET230" s="26"/>
      <c r="EU230" s="26"/>
      <c r="EV230" s="26"/>
      <c r="EW230" s="26"/>
      <c r="EX230" s="26"/>
      <c r="EY230" s="26"/>
      <c r="EZ230" s="26"/>
      <c r="FA230" s="26"/>
      <c r="FB230" s="26"/>
      <c r="FC230" s="26"/>
      <c r="FD230" s="26"/>
      <c r="FE230" s="26"/>
      <c r="FF230" s="26"/>
      <c r="FG230" s="26"/>
      <c r="FH230" s="26"/>
      <c r="FI230" s="26"/>
      <c r="FJ230" s="26"/>
      <c r="FK230" s="26"/>
      <c r="FL230" s="26"/>
      <c r="FM230" s="26"/>
      <c r="FN230" s="26"/>
      <c r="FO230" s="26"/>
      <c r="FP230" s="26"/>
      <c r="FQ230" s="26"/>
      <c r="FR230" s="26"/>
      <c r="FS230" s="26"/>
      <c r="FT230" s="26"/>
      <c r="FU230" s="26"/>
      <c r="FV230" s="26"/>
      <c r="FW230" s="26"/>
      <c r="FX230" s="26"/>
      <c r="FY230" s="26"/>
      <c r="FZ230" s="26"/>
      <c r="GA230" s="26"/>
      <c r="GB230" s="26"/>
      <c r="GC230" s="26"/>
      <c r="GD230" s="26"/>
      <c r="GE230" s="26"/>
    </row>
    <row r="231" spans="1:188" s="29" customFormat="1" ht="31.5" x14ac:dyDescent="0.25">
      <c r="A231" s="31" t="s">
        <v>212</v>
      </c>
      <c r="B231" s="35">
        <f t="shared" si="260"/>
        <v>13563</v>
      </c>
      <c r="C231" s="35">
        <f t="shared" si="260"/>
        <v>35731</v>
      </c>
      <c r="D231" s="35">
        <f t="shared" si="260"/>
        <v>22168</v>
      </c>
      <c r="E231" s="35"/>
      <c r="F231" s="35"/>
      <c r="G231" s="35">
        <f t="shared" si="261"/>
        <v>0</v>
      </c>
      <c r="H231" s="35"/>
      <c r="I231" s="35"/>
      <c r="J231" s="35">
        <f t="shared" si="262"/>
        <v>0</v>
      </c>
      <c r="K231" s="35">
        <v>13563</v>
      </c>
      <c r="L231" s="35">
        <f>13563+22168</f>
        <v>35731</v>
      </c>
      <c r="M231" s="35">
        <f t="shared" si="263"/>
        <v>22168</v>
      </c>
      <c r="N231" s="35"/>
      <c r="O231" s="35"/>
      <c r="P231" s="35">
        <f t="shared" si="264"/>
        <v>0</v>
      </c>
      <c r="Q231" s="35"/>
      <c r="R231" s="35"/>
      <c r="S231" s="35">
        <f t="shared" si="265"/>
        <v>0</v>
      </c>
      <c r="T231" s="35"/>
      <c r="U231" s="35"/>
      <c r="V231" s="35">
        <f t="shared" si="266"/>
        <v>0</v>
      </c>
      <c r="W231" s="35"/>
      <c r="X231" s="35"/>
      <c r="Y231" s="35">
        <f t="shared" si="267"/>
        <v>0</v>
      </c>
      <c r="Z231" s="35"/>
      <c r="AA231" s="35"/>
      <c r="AB231" s="35">
        <f t="shared" si="268"/>
        <v>0</v>
      </c>
      <c r="FL231" s="26"/>
      <c r="FM231" s="26"/>
      <c r="FN231" s="26"/>
      <c r="FO231" s="26"/>
      <c r="FP231" s="26"/>
      <c r="FQ231" s="26"/>
      <c r="FR231" s="26"/>
      <c r="FS231" s="26"/>
      <c r="FT231" s="26"/>
      <c r="FU231" s="26"/>
      <c r="FV231" s="26"/>
      <c r="FW231" s="26"/>
      <c r="FX231" s="26"/>
      <c r="FY231" s="26"/>
      <c r="FZ231" s="26"/>
      <c r="GA231" s="26"/>
      <c r="GB231" s="26"/>
      <c r="GC231" s="26"/>
      <c r="GD231" s="26"/>
      <c r="GE231" s="26"/>
    </row>
    <row r="232" spans="1:188" s="29" customFormat="1" ht="31.5" x14ac:dyDescent="0.25">
      <c r="A232" s="34" t="s">
        <v>213</v>
      </c>
      <c r="B232" s="35">
        <f t="shared" si="260"/>
        <v>355800</v>
      </c>
      <c r="C232" s="35">
        <f t="shared" si="260"/>
        <v>355800</v>
      </c>
      <c r="D232" s="35">
        <f t="shared" si="260"/>
        <v>0</v>
      </c>
      <c r="E232" s="35">
        <f>177000-177000</f>
        <v>0</v>
      </c>
      <c r="F232" s="35">
        <f>177000-177000</f>
        <v>0</v>
      </c>
      <c r="G232" s="35">
        <f t="shared" si="261"/>
        <v>0</v>
      </c>
      <c r="H232" s="35"/>
      <c r="I232" s="35"/>
      <c r="J232" s="35">
        <f t="shared" si="262"/>
        <v>0</v>
      </c>
      <c r="K232" s="35">
        <v>0</v>
      </c>
      <c r="L232" s="35">
        <v>0</v>
      </c>
      <c r="M232" s="35">
        <f t="shared" si="263"/>
        <v>0</v>
      </c>
      <c r="N232" s="35"/>
      <c r="O232" s="35"/>
      <c r="P232" s="35">
        <f t="shared" si="264"/>
        <v>0</v>
      </c>
      <c r="Q232" s="35"/>
      <c r="R232" s="35"/>
      <c r="S232" s="35">
        <f t="shared" si="265"/>
        <v>0</v>
      </c>
      <c r="T232" s="35">
        <f>177000</f>
        <v>177000</v>
      </c>
      <c r="U232" s="35">
        <f>177000</f>
        <v>177000</v>
      </c>
      <c r="V232" s="35">
        <f t="shared" si="266"/>
        <v>0</v>
      </c>
      <c r="W232" s="35"/>
      <c r="X232" s="35"/>
      <c r="Y232" s="35">
        <f t="shared" si="267"/>
        <v>0</v>
      </c>
      <c r="Z232" s="35">
        <v>178800</v>
      </c>
      <c r="AA232" s="35">
        <v>178800</v>
      </c>
      <c r="AB232" s="35">
        <f t="shared" si="268"/>
        <v>0</v>
      </c>
      <c r="FL232" s="26"/>
      <c r="FM232" s="26"/>
      <c r="FN232" s="26"/>
      <c r="FO232" s="26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26"/>
      <c r="GA232" s="26"/>
      <c r="GB232" s="26"/>
      <c r="GC232" s="26"/>
      <c r="GD232" s="26"/>
      <c r="GE232" s="26"/>
    </row>
    <row r="233" spans="1:188" s="29" customFormat="1" x14ac:dyDescent="0.25">
      <c r="A233" s="27" t="s">
        <v>214</v>
      </c>
      <c r="B233" s="28">
        <f t="shared" si="260"/>
        <v>30000</v>
      </c>
      <c r="C233" s="28">
        <f t="shared" si="260"/>
        <v>30000</v>
      </c>
      <c r="D233" s="28">
        <f t="shared" si="260"/>
        <v>0</v>
      </c>
      <c r="E233" s="28">
        <f t="shared" ref="E233:AA233" si="283">SUM(E234:E234)</f>
        <v>0</v>
      </c>
      <c r="F233" s="28">
        <f t="shared" si="283"/>
        <v>0</v>
      </c>
      <c r="G233" s="28">
        <f t="shared" si="261"/>
        <v>0</v>
      </c>
      <c r="H233" s="28">
        <f t="shared" si="283"/>
        <v>0</v>
      </c>
      <c r="I233" s="28">
        <f t="shared" si="283"/>
        <v>0</v>
      </c>
      <c r="J233" s="28">
        <f t="shared" si="262"/>
        <v>0</v>
      </c>
      <c r="K233" s="28">
        <f t="shared" si="283"/>
        <v>30000</v>
      </c>
      <c r="L233" s="28">
        <f t="shared" si="283"/>
        <v>30000</v>
      </c>
      <c r="M233" s="28">
        <f t="shared" si="263"/>
        <v>0</v>
      </c>
      <c r="N233" s="28">
        <f t="shared" si="283"/>
        <v>0</v>
      </c>
      <c r="O233" s="28">
        <f t="shared" si="283"/>
        <v>0</v>
      </c>
      <c r="P233" s="28">
        <f t="shared" si="264"/>
        <v>0</v>
      </c>
      <c r="Q233" s="28">
        <f t="shared" si="283"/>
        <v>0</v>
      </c>
      <c r="R233" s="28">
        <f t="shared" si="283"/>
        <v>0</v>
      </c>
      <c r="S233" s="28">
        <f t="shared" si="265"/>
        <v>0</v>
      </c>
      <c r="T233" s="28">
        <f t="shared" si="283"/>
        <v>0</v>
      </c>
      <c r="U233" s="28">
        <f t="shared" si="283"/>
        <v>0</v>
      </c>
      <c r="V233" s="28">
        <f t="shared" si="266"/>
        <v>0</v>
      </c>
      <c r="W233" s="28">
        <f t="shared" si="283"/>
        <v>0</v>
      </c>
      <c r="X233" s="28">
        <f t="shared" si="283"/>
        <v>0</v>
      </c>
      <c r="Y233" s="28">
        <f t="shared" si="267"/>
        <v>0</v>
      </c>
      <c r="Z233" s="28">
        <f t="shared" si="283"/>
        <v>0</v>
      </c>
      <c r="AA233" s="28">
        <f t="shared" si="283"/>
        <v>0</v>
      </c>
      <c r="AB233" s="28">
        <f t="shared" si="268"/>
        <v>0</v>
      </c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  <c r="EF233" s="26"/>
      <c r="EG233" s="26"/>
      <c r="EH233" s="26"/>
      <c r="EI233" s="26"/>
      <c r="EJ233" s="26"/>
      <c r="EK233" s="26"/>
      <c r="EL233" s="26"/>
      <c r="EM233" s="26"/>
      <c r="EN233" s="26"/>
      <c r="EO233" s="26"/>
      <c r="EP233" s="26"/>
      <c r="EQ233" s="26"/>
      <c r="ER233" s="26"/>
      <c r="ES233" s="26"/>
      <c r="ET233" s="26"/>
      <c r="EU233" s="26"/>
      <c r="EV233" s="26"/>
      <c r="EW233" s="26"/>
      <c r="EX233" s="26"/>
      <c r="EY233" s="26"/>
      <c r="EZ233" s="26"/>
      <c r="FA233" s="26"/>
      <c r="FB233" s="26"/>
      <c r="FC233" s="26"/>
      <c r="FD233" s="26"/>
      <c r="FE233" s="26"/>
      <c r="FF233" s="26"/>
      <c r="FG233" s="26"/>
      <c r="FH233" s="26"/>
      <c r="FI233" s="26"/>
      <c r="FJ233" s="26"/>
      <c r="FK233" s="26"/>
      <c r="FL233" s="26"/>
      <c r="FM233" s="26"/>
      <c r="FN233" s="26"/>
      <c r="FO233" s="26"/>
      <c r="FP233" s="26"/>
      <c r="FQ233" s="26"/>
      <c r="FR233" s="26"/>
      <c r="FS233" s="26"/>
      <c r="FT233" s="26"/>
      <c r="FU233" s="26"/>
      <c r="FV233" s="26"/>
      <c r="FW233" s="26"/>
      <c r="FX233" s="26"/>
      <c r="FY233" s="26"/>
      <c r="FZ233" s="26"/>
      <c r="GA233" s="26"/>
      <c r="GB233" s="26"/>
      <c r="GC233" s="26"/>
      <c r="GD233" s="26"/>
      <c r="GE233" s="26"/>
    </row>
    <row r="234" spans="1:188" s="29" customFormat="1" ht="63" x14ac:dyDescent="0.25">
      <c r="A234" s="34" t="s">
        <v>215</v>
      </c>
      <c r="B234" s="35">
        <f t="shared" si="260"/>
        <v>30000</v>
      </c>
      <c r="C234" s="35">
        <f t="shared" si="260"/>
        <v>30000</v>
      </c>
      <c r="D234" s="35">
        <f t="shared" si="260"/>
        <v>0</v>
      </c>
      <c r="E234" s="35"/>
      <c r="F234" s="35"/>
      <c r="G234" s="35">
        <f t="shared" si="261"/>
        <v>0</v>
      </c>
      <c r="H234" s="35"/>
      <c r="I234" s="35"/>
      <c r="J234" s="35">
        <f t="shared" si="262"/>
        <v>0</v>
      </c>
      <c r="K234" s="35">
        <v>30000</v>
      </c>
      <c r="L234" s="35">
        <v>30000</v>
      </c>
      <c r="M234" s="35">
        <f t="shared" si="263"/>
        <v>0</v>
      </c>
      <c r="N234" s="35"/>
      <c r="O234" s="35"/>
      <c r="P234" s="35">
        <f t="shared" si="264"/>
        <v>0</v>
      </c>
      <c r="Q234" s="35"/>
      <c r="R234" s="35"/>
      <c r="S234" s="35">
        <f t="shared" si="265"/>
        <v>0</v>
      </c>
      <c r="T234" s="35"/>
      <c r="U234" s="35"/>
      <c r="V234" s="35">
        <f t="shared" si="266"/>
        <v>0</v>
      </c>
      <c r="W234" s="35"/>
      <c r="X234" s="35"/>
      <c r="Y234" s="35">
        <f t="shared" si="267"/>
        <v>0</v>
      </c>
      <c r="Z234" s="35"/>
      <c r="AA234" s="35"/>
      <c r="AB234" s="35">
        <f t="shared" si="268"/>
        <v>0</v>
      </c>
      <c r="FL234" s="26"/>
      <c r="FM234" s="26"/>
      <c r="FN234" s="26"/>
      <c r="FO234" s="26"/>
      <c r="FP234" s="26"/>
      <c r="FQ234" s="26"/>
      <c r="FR234" s="26"/>
      <c r="FS234" s="26"/>
      <c r="FT234" s="26"/>
      <c r="FU234" s="26"/>
      <c r="FV234" s="26"/>
      <c r="FW234" s="26"/>
      <c r="FX234" s="26"/>
      <c r="FY234" s="26"/>
      <c r="FZ234" s="26"/>
      <c r="GA234" s="26"/>
      <c r="GB234" s="26"/>
      <c r="GC234" s="26"/>
      <c r="GD234" s="26"/>
      <c r="GE234" s="26"/>
    </row>
    <row r="235" spans="1:188" s="29" customFormat="1" x14ac:dyDescent="0.25">
      <c r="A235" s="27" t="s">
        <v>88</v>
      </c>
      <c r="B235" s="28">
        <f t="shared" si="260"/>
        <v>4273515</v>
      </c>
      <c r="C235" s="28">
        <f t="shared" si="260"/>
        <v>4273515</v>
      </c>
      <c r="D235" s="28">
        <f t="shared" si="260"/>
        <v>0</v>
      </c>
      <c r="E235" s="28">
        <f t="shared" ref="E235:AA235" si="284">SUM(E236,E238,E242)</f>
        <v>1077036</v>
      </c>
      <c r="F235" s="28">
        <f t="shared" si="284"/>
        <v>1077036</v>
      </c>
      <c r="G235" s="28">
        <f t="shared" si="261"/>
        <v>0</v>
      </c>
      <c r="H235" s="28">
        <f t="shared" ref="H235" si="285">SUM(H236,H238,H242)</f>
        <v>0</v>
      </c>
      <c r="I235" s="28">
        <f t="shared" si="284"/>
        <v>0</v>
      </c>
      <c r="J235" s="28">
        <f t="shared" si="262"/>
        <v>0</v>
      </c>
      <c r="K235" s="28">
        <f t="shared" ref="K235" si="286">SUM(K236,K238,K242)</f>
        <v>95510</v>
      </c>
      <c r="L235" s="28">
        <f t="shared" si="284"/>
        <v>95510</v>
      </c>
      <c r="M235" s="28">
        <f t="shared" si="263"/>
        <v>0</v>
      </c>
      <c r="N235" s="28">
        <f t="shared" ref="N235" si="287">SUM(N236,N238,N242)</f>
        <v>3100969</v>
      </c>
      <c r="O235" s="28">
        <f t="shared" si="284"/>
        <v>3100969</v>
      </c>
      <c r="P235" s="28">
        <f t="shared" si="264"/>
        <v>0</v>
      </c>
      <c r="Q235" s="28">
        <f t="shared" ref="Q235" si="288">SUM(Q236,Q238,Q242)</f>
        <v>0</v>
      </c>
      <c r="R235" s="28">
        <f t="shared" si="284"/>
        <v>0</v>
      </c>
      <c r="S235" s="28">
        <f t="shared" si="265"/>
        <v>0</v>
      </c>
      <c r="T235" s="28">
        <f t="shared" ref="T235" si="289">SUM(T236,T238,T242)</f>
        <v>0</v>
      </c>
      <c r="U235" s="28">
        <f t="shared" si="284"/>
        <v>0</v>
      </c>
      <c r="V235" s="28">
        <f t="shared" si="266"/>
        <v>0</v>
      </c>
      <c r="W235" s="28">
        <f t="shared" si="284"/>
        <v>0</v>
      </c>
      <c r="X235" s="28">
        <f t="shared" si="284"/>
        <v>0</v>
      </c>
      <c r="Y235" s="28">
        <f t="shared" si="267"/>
        <v>0</v>
      </c>
      <c r="Z235" s="28">
        <f t="shared" ref="Z235" si="290">SUM(Z236,Z238,Z242)</f>
        <v>0</v>
      </c>
      <c r="AA235" s="28">
        <f t="shared" si="284"/>
        <v>0</v>
      </c>
      <c r="AB235" s="28">
        <f t="shared" si="268"/>
        <v>0</v>
      </c>
      <c r="FL235" s="26"/>
      <c r="FM235" s="26"/>
      <c r="FN235" s="26"/>
      <c r="FO235" s="26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26"/>
      <c r="GA235" s="26"/>
      <c r="GB235" s="26"/>
      <c r="GC235" s="26"/>
      <c r="GD235" s="26"/>
      <c r="GE235" s="26"/>
    </row>
    <row r="236" spans="1:188" s="29" customFormat="1" ht="31.5" x14ac:dyDescent="0.25">
      <c r="A236" s="27" t="s">
        <v>97</v>
      </c>
      <c r="B236" s="28">
        <f t="shared" si="260"/>
        <v>1231273</v>
      </c>
      <c r="C236" s="28">
        <f t="shared" si="260"/>
        <v>1231273</v>
      </c>
      <c r="D236" s="28">
        <f t="shared" si="260"/>
        <v>0</v>
      </c>
      <c r="E236" s="28">
        <f t="shared" ref="E236:AA236" si="291">SUM(E237:E237)</f>
        <v>0</v>
      </c>
      <c r="F236" s="28">
        <f t="shared" si="291"/>
        <v>0</v>
      </c>
      <c r="G236" s="28">
        <f t="shared" si="261"/>
        <v>0</v>
      </c>
      <c r="H236" s="28">
        <f t="shared" si="291"/>
        <v>0</v>
      </c>
      <c r="I236" s="28">
        <f t="shared" si="291"/>
        <v>0</v>
      </c>
      <c r="J236" s="28">
        <f t="shared" si="262"/>
        <v>0</v>
      </c>
      <c r="K236" s="28">
        <f t="shared" si="291"/>
        <v>0</v>
      </c>
      <c r="L236" s="28">
        <f t="shared" si="291"/>
        <v>0</v>
      </c>
      <c r="M236" s="28">
        <f t="shared" si="263"/>
        <v>0</v>
      </c>
      <c r="N236" s="28">
        <f t="shared" si="291"/>
        <v>1231273</v>
      </c>
      <c r="O236" s="28">
        <f t="shared" si="291"/>
        <v>1231273</v>
      </c>
      <c r="P236" s="28">
        <f t="shared" si="264"/>
        <v>0</v>
      </c>
      <c r="Q236" s="28">
        <f t="shared" si="291"/>
        <v>0</v>
      </c>
      <c r="R236" s="28">
        <f t="shared" si="291"/>
        <v>0</v>
      </c>
      <c r="S236" s="28">
        <f t="shared" si="265"/>
        <v>0</v>
      </c>
      <c r="T236" s="28">
        <f t="shared" si="291"/>
        <v>0</v>
      </c>
      <c r="U236" s="28">
        <f t="shared" si="291"/>
        <v>0</v>
      </c>
      <c r="V236" s="28">
        <f t="shared" si="266"/>
        <v>0</v>
      </c>
      <c r="W236" s="28">
        <f t="shared" si="291"/>
        <v>0</v>
      </c>
      <c r="X236" s="28">
        <f t="shared" si="291"/>
        <v>0</v>
      </c>
      <c r="Y236" s="28">
        <f t="shared" si="267"/>
        <v>0</v>
      </c>
      <c r="Z236" s="28">
        <f t="shared" si="291"/>
        <v>0</v>
      </c>
      <c r="AA236" s="28">
        <f t="shared" si="291"/>
        <v>0</v>
      </c>
      <c r="AB236" s="28">
        <f t="shared" si="268"/>
        <v>0</v>
      </c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  <c r="EL236" s="26"/>
      <c r="EM236" s="26"/>
      <c r="EN236" s="26"/>
      <c r="EO236" s="26"/>
      <c r="EP236" s="26"/>
      <c r="EQ236" s="26"/>
      <c r="ER236" s="26"/>
      <c r="ES236" s="26"/>
      <c r="ET236" s="26"/>
      <c r="EU236" s="26"/>
      <c r="EV236" s="26"/>
      <c r="EW236" s="26"/>
      <c r="EX236" s="26"/>
      <c r="EY236" s="26"/>
      <c r="EZ236" s="26"/>
      <c r="FA236" s="26"/>
      <c r="FB236" s="26"/>
      <c r="FC236" s="26"/>
      <c r="FD236" s="26"/>
      <c r="FE236" s="26"/>
      <c r="FF236" s="26"/>
      <c r="FG236" s="26"/>
      <c r="FH236" s="26"/>
      <c r="FI236" s="26"/>
      <c r="FJ236" s="26"/>
      <c r="FK236" s="26"/>
    </row>
    <row r="237" spans="1:188" s="29" customFormat="1" ht="78.75" x14ac:dyDescent="0.25">
      <c r="A237" s="34" t="s">
        <v>216</v>
      </c>
      <c r="B237" s="35">
        <f t="shared" si="260"/>
        <v>1231273</v>
      </c>
      <c r="C237" s="35">
        <f t="shared" si="260"/>
        <v>1231273</v>
      </c>
      <c r="D237" s="35">
        <f t="shared" si="260"/>
        <v>0</v>
      </c>
      <c r="E237" s="35"/>
      <c r="F237" s="35"/>
      <c r="G237" s="35">
        <f t="shared" si="261"/>
        <v>0</v>
      </c>
      <c r="H237" s="35"/>
      <c r="I237" s="35"/>
      <c r="J237" s="35">
        <f t="shared" si="262"/>
        <v>0</v>
      </c>
      <c r="K237" s="35"/>
      <c r="L237" s="35"/>
      <c r="M237" s="35">
        <f t="shared" si="263"/>
        <v>0</v>
      </c>
      <c r="N237" s="35">
        <v>1231273</v>
      </c>
      <c r="O237" s="35">
        <v>1231273</v>
      </c>
      <c r="P237" s="35">
        <f t="shared" si="264"/>
        <v>0</v>
      </c>
      <c r="Q237" s="35"/>
      <c r="R237" s="35"/>
      <c r="S237" s="35">
        <f t="shared" si="265"/>
        <v>0</v>
      </c>
      <c r="T237" s="35"/>
      <c r="U237" s="35"/>
      <c r="V237" s="35">
        <f t="shared" si="266"/>
        <v>0</v>
      </c>
      <c r="W237" s="35"/>
      <c r="X237" s="35"/>
      <c r="Y237" s="35">
        <f t="shared" si="267"/>
        <v>0</v>
      </c>
      <c r="Z237" s="35"/>
      <c r="AA237" s="35"/>
      <c r="AB237" s="35">
        <f t="shared" si="268"/>
        <v>0</v>
      </c>
      <c r="FL237" s="26"/>
      <c r="FM237" s="26"/>
      <c r="FN237" s="26"/>
      <c r="FO237" s="26"/>
      <c r="FP237" s="26"/>
      <c r="FQ237" s="26"/>
      <c r="FR237" s="26"/>
      <c r="FS237" s="26"/>
      <c r="FT237" s="26"/>
      <c r="FU237" s="26"/>
      <c r="FV237" s="26"/>
      <c r="FW237" s="26"/>
      <c r="FX237" s="26"/>
      <c r="FY237" s="26"/>
      <c r="FZ237" s="26"/>
      <c r="GA237" s="26"/>
      <c r="GB237" s="26"/>
      <c r="GC237" s="26"/>
      <c r="GD237" s="26"/>
      <c r="GE237" s="26"/>
    </row>
    <row r="238" spans="1:188" s="29" customFormat="1" x14ac:dyDescent="0.25">
      <c r="A238" s="27" t="s">
        <v>104</v>
      </c>
      <c r="B238" s="28">
        <f t="shared" si="260"/>
        <v>2017250</v>
      </c>
      <c r="C238" s="28">
        <f t="shared" si="260"/>
        <v>2017250</v>
      </c>
      <c r="D238" s="28">
        <f t="shared" si="260"/>
        <v>0</v>
      </c>
      <c r="E238" s="28">
        <f t="shared" ref="E238:AA238" si="292">SUM(E239:E241)</f>
        <v>1077036</v>
      </c>
      <c r="F238" s="28">
        <f t="shared" si="292"/>
        <v>1077036</v>
      </c>
      <c r="G238" s="28">
        <f t="shared" si="261"/>
        <v>0</v>
      </c>
      <c r="H238" s="28">
        <f t="shared" ref="H238" si="293">SUM(H239:H241)</f>
        <v>0</v>
      </c>
      <c r="I238" s="28">
        <f t="shared" si="292"/>
        <v>0</v>
      </c>
      <c r="J238" s="28">
        <f t="shared" si="262"/>
        <v>0</v>
      </c>
      <c r="K238" s="28">
        <f t="shared" ref="K238" si="294">SUM(K239:K241)</f>
        <v>80000</v>
      </c>
      <c r="L238" s="28">
        <f t="shared" si="292"/>
        <v>80000</v>
      </c>
      <c r="M238" s="28">
        <f t="shared" si="263"/>
        <v>0</v>
      </c>
      <c r="N238" s="28">
        <f t="shared" ref="N238" si="295">SUM(N239:N241)</f>
        <v>860214</v>
      </c>
      <c r="O238" s="28">
        <f t="shared" si="292"/>
        <v>860214</v>
      </c>
      <c r="P238" s="28">
        <f t="shared" si="264"/>
        <v>0</v>
      </c>
      <c r="Q238" s="28">
        <f t="shared" ref="Q238" si="296">SUM(Q239:Q241)</f>
        <v>0</v>
      </c>
      <c r="R238" s="28">
        <f t="shared" si="292"/>
        <v>0</v>
      </c>
      <c r="S238" s="28">
        <f t="shared" si="265"/>
        <v>0</v>
      </c>
      <c r="T238" s="28">
        <f t="shared" ref="T238" si="297">SUM(T239:T241)</f>
        <v>0</v>
      </c>
      <c r="U238" s="28">
        <f t="shared" si="292"/>
        <v>0</v>
      </c>
      <c r="V238" s="28">
        <f t="shared" si="266"/>
        <v>0</v>
      </c>
      <c r="W238" s="28">
        <f t="shared" si="292"/>
        <v>0</v>
      </c>
      <c r="X238" s="28">
        <f t="shared" si="292"/>
        <v>0</v>
      </c>
      <c r="Y238" s="28">
        <f t="shared" si="267"/>
        <v>0</v>
      </c>
      <c r="Z238" s="28">
        <f t="shared" ref="Z238" si="298">SUM(Z239:Z241)</f>
        <v>0</v>
      </c>
      <c r="AA238" s="28">
        <f t="shared" si="292"/>
        <v>0</v>
      </c>
      <c r="AB238" s="28">
        <f t="shared" si="268"/>
        <v>0</v>
      </c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  <c r="EF238" s="26"/>
      <c r="EG238" s="26"/>
      <c r="EH238" s="26"/>
      <c r="EI238" s="26"/>
      <c r="EJ238" s="26"/>
      <c r="EK238" s="26"/>
      <c r="EL238" s="26"/>
      <c r="EM238" s="26"/>
      <c r="EN238" s="26"/>
      <c r="EO238" s="26"/>
      <c r="EP238" s="26"/>
      <c r="EQ238" s="26"/>
      <c r="ER238" s="26"/>
      <c r="ES238" s="26"/>
      <c r="ET238" s="26"/>
      <c r="EU238" s="26"/>
      <c r="EV238" s="26"/>
      <c r="EW238" s="26"/>
      <c r="EX238" s="26"/>
      <c r="EY238" s="26"/>
      <c r="EZ238" s="26"/>
      <c r="FA238" s="26"/>
      <c r="FB238" s="26"/>
      <c r="FC238" s="26"/>
      <c r="FD238" s="26"/>
      <c r="FE238" s="26"/>
      <c r="FF238" s="26"/>
      <c r="FG238" s="26"/>
      <c r="FH238" s="26"/>
      <c r="FI238" s="26"/>
      <c r="FJ238" s="26"/>
      <c r="FK238" s="26"/>
      <c r="FL238" s="26"/>
      <c r="FM238" s="26"/>
      <c r="FN238" s="26"/>
      <c r="FO238" s="26"/>
      <c r="FP238" s="26"/>
      <c r="FQ238" s="26"/>
      <c r="FR238" s="26"/>
      <c r="FS238" s="26"/>
      <c r="FT238" s="26"/>
      <c r="FU238" s="26"/>
      <c r="FV238" s="26"/>
      <c r="FW238" s="26"/>
      <c r="FX238" s="26"/>
      <c r="FY238" s="26"/>
      <c r="FZ238" s="26"/>
      <c r="GA238" s="26"/>
      <c r="GB238" s="26"/>
      <c r="GC238" s="26"/>
      <c r="GD238" s="26"/>
      <c r="GE238" s="26"/>
    </row>
    <row r="239" spans="1:188" s="29" customFormat="1" ht="94.5" x14ac:dyDescent="0.25">
      <c r="A239" s="34" t="s">
        <v>217</v>
      </c>
      <c r="B239" s="35">
        <f t="shared" si="260"/>
        <v>860214</v>
      </c>
      <c r="C239" s="35">
        <f t="shared" si="260"/>
        <v>860214</v>
      </c>
      <c r="D239" s="35">
        <f t="shared" si="260"/>
        <v>0</v>
      </c>
      <c r="E239" s="35"/>
      <c r="F239" s="35"/>
      <c r="G239" s="35">
        <f t="shared" si="261"/>
        <v>0</v>
      </c>
      <c r="H239" s="35"/>
      <c r="I239" s="35"/>
      <c r="J239" s="35">
        <f t="shared" si="262"/>
        <v>0</v>
      </c>
      <c r="K239" s="35"/>
      <c r="L239" s="35"/>
      <c r="M239" s="35">
        <f t="shared" si="263"/>
        <v>0</v>
      </c>
      <c r="N239" s="35">
        <v>860214</v>
      </c>
      <c r="O239" s="35">
        <v>860214</v>
      </c>
      <c r="P239" s="35">
        <f t="shared" si="264"/>
        <v>0</v>
      </c>
      <c r="Q239" s="35"/>
      <c r="R239" s="35"/>
      <c r="S239" s="35">
        <f t="shared" si="265"/>
        <v>0</v>
      </c>
      <c r="T239" s="35"/>
      <c r="U239" s="35"/>
      <c r="V239" s="35">
        <f t="shared" si="266"/>
        <v>0</v>
      </c>
      <c r="W239" s="35"/>
      <c r="X239" s="35"/>
      <c r="Y239" s="35">
        <f t="shared" si="267"/>
        <v>0</v>
      </c>
      <c r="Z239" s="35"/>
      <c r="AA239" s="35"/>
      <c r="AB239" s="35">
        <f t="shared" si="268"/>
        <v>0</v>
      </c>
      <c r="FL239" s="26"/>
      <c r="FM239" s="26"/>
      <c r="FN239" s="26"/>
      <c r="FO239" s="26"/>
      <c r="FP239" s="26"/>
      <c r="FQ239" s="26"/>
      <c r="FR239" s="26"/>
      <c r="FS239" s="26"/>
      <c r="FT239" s="26"/>
      <c r="FU239" s="26"/>
      <c r="FV239" s="26"/>
      <c r="FW239" s="26"/>
      <c r="FX239" s="26"/>
      <c r="FY239" s="26"/>
      <c r="FZ239" s="26"/>
      <c r="GA239" s="26"/>
      <c r="GB239" s="26"/>
      <c r="GC239" s="26"/>
      <c r="GD239" s="26"/>
      <c r="GE239" s="26"/>
    </row>
    <row r="240" spans="1:188" s="29" customFormat="1" ht="63" x14ac:dyDescent="0.25">
      <c r="A240" s="36" t="s">
        <v>218</v>
      </c>
      <c r="B240" s="35">
        <f t="shared" si="260"/>
        <v>1077036</v>
      </c>
      <c r="C240" s="35">
        <f t="shared" si="260"/>
        <v>1077036</v>
      </c>
      <c r="D240" s="35">
        <f t="shared" si="260"/>
        <v>0</v>
      </c>
      <c r="E240" s="35">
        <f>1077036</f>
        <v>1077036</v>
      </c>
      <c r="F240" s="35">
        <f>1077036</f>
        <v>1077036</v>
      </c>
      <c r="G240" s="35">
        <f t="shared" si="261"/>
        <v>0</v>
      </c>
      <c r="H240" s="35"/>
      <c r="I240" s="35"/>
      <c r="J240" s="35">
        <f t="shared" si="262"/>
        <v>0</v>
      </c>
      <c r="K240" s="35"/>
      <c r="L240" s="35"/>
      <c r="M240" s="35">
        <f t="shared" si="263"/>
        <v>0</v>
      </c>
      <c r="N240" s="35"/>
      <c r="O240" s="35"/>
      <c r="P240" s="35">
        <f t="shared" si="264"/>
        <v>0</v>
      </c>
      <c r="Q240" s="35"/>
      <c r="R240" s="35"/>
      <c r="S240" s="35">
        <f t="shared" si="265"/>
        <v>0</v>
      </c>
      <c r="T240" s="35"/>
      <c r="U240" s="35"/>
      <c r="V240" s="35">
        <f t="shared" si="266"/>
        <v>0</v>
      </c>
      <c r="W240" s="42">
        <v>0</v>
      </c>
      <c r="X240" s="42">
        <v>0</v>
      </c>
      <c r="Y240" s="35">
        <f t="shared" si="267"/>
        <v>0</v>
      </c>
      <c r="Z240" s="42">
        <v>0</v>
      </c>
      <c r="AA240" s="42">
        <v>0</v>
      </c>
      <c r="AB240" s="35">
        <f t="shared" si="268"/>
        <v>0</v>
      </c>
      <c r="FM240" s="26"/>
      <c r="FN240" s="26"/>
      <c r="FO240" s="26"/>
      <c r="FP240" s="26"/>
      <c r="FQ240" s="26"/>
      <c r="FR240" s="26"/>
      <c r="FS240" s="26"/>
      <c r="FT240" s="26"/>
      <c r="FU240" s="26"/>
      <c r="FV240" s="26"/>
      <c r="FW240" s="26"/>
      <c r="FX240" s="26"/>
      <c r="FY240" s="26"/>
      <c r="FZ240" s="26"/>
      <c r="GA240" s="26"/>
      <c r="GB240" s="26"/>
      <c r="GC240" s="26"/>
      <c r="GD240" s="26"/>
      <c r="GE240" s="26"/>
      <c r="GF240" s="26"/>
    </row>
    <row r="241" spans="1:187" s="29" customFormat="1" ht="31.5" x14ac:dyDescent="0.25">
      <c r="A241" s="34" t="s">
        <v>219</v>
      </c>
      <c r="B241" s="35">
        <f t="shared" si="260"/>
        <v>80000</v>
      </c>
      <c r="C241" s="35">
        <f t="shared" si="260"/>
        <v>80000</v>
      </c>
      <c r="D241" s="35">
        <f t="shared" si="260"/>
        <v>0</v>
      </c>
      <c r="E241" s="35"/>
      <c r="F241" s="35"/>
      <c r="G241" s="35">
        <f t="shared" si="261"/>
        <v>0</v>
      </c>
      <c r="H241" s="35"/>
      <c r="I241" s="35"/>
      <c r="J241" s="35">
        <f t="shared" si="262"/>
        <v>0</v>
      </c>
      <c r="K241" s="35">
        <v>80000</v>
      </c>
      <c r="L241" s="35">
        <v>80000</v>
      </c>
      <c r="M241" s="35">
        <f t="shared" si="263"/>
        <v>0</v>
      </c>
      <c r="N241" s="35"/>
      <c r="O241" s="35"/>
      <c r="P241" s="35">
        <f t="shared" si="264"/>
        <v>0</v>
      </c>
      <c r="Q241" s="35"/>
      <c r="R241" s="35"/>
      <c r="S241" s="35">
        <f t="shared" si="265"/>
        <v>0</v>
      </c>
      <c r="T241" s="35"/>
      <c r="U241" s="35"/>
      <c r="V241" s="35">
        <f t="shared" si="266"/>
        <v>0</v>
      </c>
      <c r="W241" s="35"/>
      <c r="X241" s="35"/>
      <c r="Y241" s="35">
        <f t="shared" si="267"/>
        <v>0</v>
      </c>
      <c r="Z241" s="35"/>
      <c r="AA241" s="35"/>
      <c r="AB241" s="35">
        <f t="shared" si="268"/>
        <v>0</v>
      </c>
      <c r="FL241" s="26"/>
      <c r="FM241" s="26"/>
      <c r="FN241" s="26"/>
      <c r="FO241" s="26"/>
      <c r="FP241" s="26"/>
      <c r="FQ241" s="26"/>
      <c r="FR241" s="26"/>
      <c r="FS241" s="26"/>
      <c r="FT241" s="26"/>
      <c r="FU241" s="26"/>
      <c r="FV241" s="26"/>
      <c r="FW241" s="26"/>
      <c r="FX241" s="26"/>
      <c r="FY241" s="26"/>
      <c r="FZ241" s="26"/>
      <c r="GA241" s="26"/>
      <c r="GB241" s="26"/>
      <c r="GC241" s="26"/>
      <c r="GD241" s="26"/>
      <c r="GE241" s="26"/>
    </row>
    <row r="242" spans="1:187" s="29" customFormat="1" x14ac:dyDescent="0.25">
      <c r="A242" s="27" t="s">
        <v>214</v>
      </c>
      <c r="B242" s="28">
        <f t="shared" si="260"/>
        <v>1024992</v>
      </c>
      <c r="C242" s="28">
        <f t="shared" si="260"/>
        <v>1024992</v>
      </c>
      <c r="D242" s="28">
        <f t="shared" si="260"/>
        <v>0</v>
      </c>
      <c r="E242" s="28">
        <f t="shared" ref="E242:AA242" si="299">SUM(E243:E244)</f>
        <v>0</v>
      </c>
      <c r="F242" s="28">
        <f t="shared" si="299"/>
        <v>0</v>
      </c>
      <c r="G242" s="28">
        <f t="shared" si="261"/>
        <v>0</v>
      </c>
      <c r="H242" s="28">
        <f t="shared" ref="H242" si="300">SUM(H243:H244)</f>
        <v>0</v>
      </c>
      <c r="I242" s="28">
        <f t="shared" si="299"/>
        <v>0</v>
      </c>
      <c r="J242" s="28">
        <f t="shared" si="262"/>
        <v>0</v>
      </c>
      <c r="K242" s="28">
        <f t="shared" ref="K242" si="301">SUM(K243:K244)</f>
        <v>15510</v>
      </c>
      <c r="L242" s="28">
        <f t="shared" si="299"/>
        <v>15510</v>
      </c>
      <c r="M242" s="28">
        <f t="shared" si="263"/>
        <v>0</v>
      </c>
      <c r="N242" s="28">
        <f t="shared" ref="N242" si="302">SUM(N243:N244)</f>
        <v>1009482</v>
      </c>
      <c r="O242" s="28">
        <f t="shared" si="299"/>
        <v>1009482</v>
      </c>
      <c r="P242" s="28">
        <f t="shared" si="264"/>
        <v>0</v>
      </c>
      <c r="Q242" s="28">
        <f t="shared" ref="Q242" si="303">SUM(Q243:Q244)</f>
        <v>0</v>
      </c>
      <c r="R242" s="28">
        <f t="shared" si="299"/>
        <v>0</v>
      </c>
      <c r="S242" s="28">
        <f t="shared" si="265"/>
        <v>0</v>
      </c>
      <c r="T242" s="28">
        <f t="shared" ref="T242" si="304">SUM(T243:T244)</f>
        <v>0</v>
      </c>
      <c r="U242" s="28">
        <f t="shared" si="299"/>
        <v>0</v>
      </c>
      <c r="V242" s="28">
        <f t="shared" si="266"/>
        <v>0</v>
      </c>
      <c r="W242" s="28">
        <f t="shared" si="299"/>
        <v>0</v>
      </c>
      <c r="X242" s="28">
        <f t="shared" si="299"/>
        <v>0</v>
      </c>
      <c r="Y242" s="28">
        <f t="shared" si="267"/>
        <v>0</v>
      </c>
      <c r="Z242" s="28">
        <f t="shared" ref="Z242" si="305">SUM(Z243:Z244)</f>
        <v>0</v>
      </c>
      <c r="AA242" s="28">
        <f t="shared" si="299"/>
        <v>0</v>
      </c>
      <c r="AB242" s="28">
        <f t="shared" si="268"/>
        <v>0</v>
      </c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  <c r="EL242" s="26"/>
      <c r="EM242" s="26"/>
      <c r="EN242" s="26"/>
      <c r="EO242" s="26"/>
      <c r="EP242" s="26"/>
      <c r="EQ242" s="26"/>
      <c r="ER242" s="26"/>
      <c r="ES242" s="26"/>
      <c r="ET242" s="26"/>
      <c r="EU242" s="26"/>
      <c r="EV242" s="26"/>
      <c r="EW242" s="26"/>
      <c r="EX242" s="26"/>
      <c r="EY242" s="26"/>
      <c r="EZ242" s="26"/>
      <c r="FA242" s="26"/>
      <c r="FB242" s="26"/>
      <c r="FC242" s="26"/>
      <c r="FD242" s="26"/>
      <c r="FE242" s="26"/>
      <c r="FF242" s="26"/>
      <c r="FG242" s="26"/>
      <c r="FH242" s="26"/>
      <c r="FI242" s="26"/>
      <c r="FJ242" s="26"/>
      <c r="FK242" s="26"/>
      <c r="FL242" s="26"/>
      <c r="FM242" s="26"/>
      <c r="FN242" s="26"/>
      <c r="FO242" s="26"/>
      <c r="FP242" s="26"/>
      <c r="FQ242" s="26"/>
      <c r="FR242" s="26"/>
      <c r="FS242" s="26"/>
      <c r="FT242" s="26"/>
      <c r="FU242" s="26"/>
      <c r="FV242" s="26"/>
      <c r="FW242" s="26"/>
      <c r="FX242" s="26"/>
      <c r="FY242" s="26"/>
      <c r="FZ242" s="26"/>
      <c r="GA242" s="26"/>
      <c r="GB242" s="26"/>
      <c r="GC242" s="26"/>
      <c r="GD242" s="26"/>
      <c r="GE242" s="26"/>
    </row>
    <row r="243" spans="1:187" s="29" customFormat="1" ht="31.5" x14ac:dyDescent="0.25">
      <c r="A243" s="34" t="s">
        <v>220</v>
      </c>
      <c r="B243" s="35">
        <f t="shared" si="260"/>
        <v>15510</v>
      </c>
      <c r="C243" s="35">
        <f t="shared" si="260"/>
        <v>15510</v>
      </c>
      <c r="D243" s="35">
        <f t="shared" si="260"/>
        <v>0</v>
      </c>
      <c r="E243" s="35">
        <v>0</v>
      </c>
      <c r="F243" s="35">
        <v>0</v>
      </c>
      <c r="G243" s="35">
        <f t="shared" si="261"/>
        <v>0</v>
      </c>
      <c r="H243" s="35">
        <v>0</v>
      </c>
      <c r="I243" s="35">
        <v>0</v>
      </c>
      <c r="J243" s="35">
        <f t="shared" si="262"/>
        <v>0</v>
      </c>
      <c r="K243" s="35">
        <v>15510</v>
      </c>
      <c r="L243" s="35">
        <v>15510</v>
      </c>
      <c r="M243" s="35">
        <f t="shared" si="263"/>
        <v>0</v>
      </c>
      <c r="N243" s="35"/>
      <c r="O243" s="35"/>
      <c r="P243" s="35">
        <f t="shared" si="264"/>
        <v>0</v>
      </c>
      <c r="Q243" s="35"/>
      <c r="R243" s="35"/>
      <c r="S243" s="35">
        <f t="shared" si="265"/>
        <v>0</v>
      </c>
      <c r="T243" s="35"/>
      <c r="U243" s="35"/>
      <c r="V243" s="35">
        <f t="shared" si="266"/>
        <v>0</v>
      </c>
      <c r="W243" s="35"/>
      <c r="X243" s="35"/>
      <c r="Y243" s="35">
        <f t="shared" si="267"/>
        <v>0</v>
      </c>
      <c r="Z243" s="35"/>
      <c r="AA243" s="35"/>
      <c r="AB243" s="35">
        <f t="shared" si="268"/>
        <v>0</v>
      </c>
    </row>
    <row r="244" spans="1:187" s="29" customFormat="1" ht="78.75" x14ac:dyDescent="0.25">
      <c r="A244" s="34" t="s">
        <v>221</v>
      </c>
      <c r="B244" s="35">
        <f t="shared" si="260"/>
        <v>1009482</v>
      </c>
      <c r="C244" s="35">
        <f t="shared" si="260"/>
        <v>1009482</v>
      </c>
      <c r="D244" s="35">
        <f t="shared" si="260"/>
        <v>0</v>
      </c>
      <c r="E244" s="35"/>
      <c r="F244" s="35"/>
      <c r="G244" s="35">
        <f t="shared" si="261"/>
        <v>0</v>
      </c>
      <c r="H244" s="35"/>
      <c r="I244" s="35"/>
      <c r="J244" s="35">
        <f t="shared" si="262"/>
        <v>0</v>
      </c>
      <c r="K244" s="35"/>
      <c r="L244" s="35"/>
      <c r="M244" s="35">
        <f t="shared" si="263"/>
        <v>0</v>
      </c>
      <c r="N244" s="35">
        <v>1009482</v>
      </c>
      <c r="O244" s="35">
        <v>1009482</v>
      </c>
      <c r="P244" s="35">
        <f t="shared" si="264"/>
        <v>0</v>
      </c>
      <c r="Q244" s="35"/>
      <c r="R244" s="35"/>
      <c r="S244" s="35">
        <f t="shared" si="265"/>
        <v>0</v>
      </c>
      <c r="T244" s="35"/>
      <c r="U244" s="35"/>
      <c r="V244" s="35">
        <f t="shared" si="266"/>
        <v>0</v>
      </c>
      <c r="W244" s="35"/>
      <c r="X244" s="35"/>
      <c r="Y244" s="35">
        <f t="shared" si="267"/>
        <v>0</v>
      </c>
      <c r="Z244" s="35"/>
      <c r="AA244" s="35"/>
      <c r="AB244" s="35">
        <f t="shared" si="268"/>
        <v>0</v>
      </c>
      <c r="FL244" s="26"/>
      <c r="FM244" s="26"/>
      <c r="FN244" s="26"/>
      <c r="FO244" s="26"/>
      <c r="FP244" s="26"/>
      <c r="FQ244" s="26"/>
      <c r="FR244" s="26"/>
      <c r="FS244" s="26"/>
      <c r="FT244" s="26"/>
      <c r="FU244" s="26"/>
      <c r="FV244" s="26"/>
      <c r="FW244" s="26"/>
      <c r="FX244" s="26"/>
      <c r="FY244" s="26"/>
      <c r="FZ244" s="26"/>
      <c r="GA244" s="26"/>
      <c r="GB244" s="26"/>
      <c r="GC244" s="26"/>
      <c r="GD244" s="26"/>
      <c r="GE244" s="26"/>
    </row>
    <row r="245" spans="1:187" s="26" customFormat="1" x14ac:dyDescent="0.25">
      <c r="A245" s="27" t="s">
        <v>222</v>
      </c>
      <c r="B245" s="28">
        <f t="shared" si="260"/>
        <v>93490</v>
      </c>
      <c r="C245" s="28">
        <f t="shared" si="260"/>
        <v>93490</v>
      </c>
      <c r="D245" s="28">
        <f t="shared" si="260"/>
        <v>0</v>
      </c>
      <c r="E245" s="28">
        <f>SUM(E246,E250,E253)</f>
        <v>0</v>
      </c>
      <c r="F245" s="28">
        <f>SUM(F246,F250,F253)</f>
        <v>0</v>
      </c>
      <c r="G245" s="28">
        <f t="shared" si="261"/>
        <v>0</v>
      </c>
      <c r="H245" s="28">
        <f t="shared" ref="H245:I245" si="306">SUM(H246,H250,H253)</f>
        <v>0</v>
      </c>
      <c r="I245" s="28">
        <f t="shared" si="306"/>
        <v>0</v>
      </c>
      <c r="J245" s="28">
        <f t="shared" si="262"/>
        <v>0</v>
      </c>
      <c r="K245" s="28">
        <f t="shared" ref="K245:L245" si="307">SUM(K246,K250,K253)</f>
        <v>91020</v>
      </c>
      <c r="L245" s="28">
        <f t="shared" si="307"/>
        <v>91020</v>
      </c>
      <c r="M245" s="28">
        <f t="shared" si="263"/>
        <v>0</v>
      </c>
      <c r="N245" s="28">
        <f t="shared" ref="N245:O245" si="308">SUM(N246,N250,N253)</f>
        <v>0</v>
      </c>
      <c r="O245" s="28">
        <f t="shared" si="308"/>
        <v>0</v>
      </c>
      <c r="P245" s="28">
        <f t="shared" si="264"/>
        <v>0</v>
      </c>
      <c r="Q245" s="28">
        <f t="shared" ref="Q245:R245" si="309">SUM(Q246,Q250,Q253)</f>
        <v>2470</v>
      </c>
      <c r="R245" s="28">
        <f t="shared" si="309"/>
        <v>2470</v>
      </c>
      <c r="S245" s="28">
        <f t="shared" si="265"/>
        <v>0</v>
      </c>
      <c r="T245" s="28">
        <f t="shared" ref="T245:U245" si="310">SUM(T246,T250,T253)</f>
        <v>0</v>
      </c>
      <c r="U245" s="28">
        <f t="shared" si="310"/>
        <v>0</v>
      </c>
      <c r="V245" s="28">
        <f t="shared" si="266"/>
        <v>0</v>
      </c>
      <c r="W245" s="28">
        <f t="shared" ref="W245:X245" si="311">SUM(W246,W250,W253)</f>
        <v>0</v>
      </c>
      <c r="X245" s="28">
        <f t="shared" si="311"/>
        <v>0</v>
      </c>
      <c r="Y245" s="28">
        <f t="shared" si="267"/>
        <v>0</v>
      </c>
      <c r="Z245" s="28">
        <f t="shared" ref="Z245:AA245" si="312">SUM(Z246,Z250,Z253)</f>
        <v>0</v>
      </c>
      <c r="AA245" s="28">
        <f t="shared" si="312"/>
        <v>0</v>
      </c>
      <c r="AB245" s="28">
        <f t="shared" si="268"/>
        <v>0</v>
      </c>
      <c r="FL245" s="29"/>
      <c r="FM245" s="29"/>
      <c r="FN245" s="29"/>
      <c r="FO245" s="29"/>
      <c r="FP245" s="29"/>
      <c r="FQ245" s="29"/>
      <c r="FR245" s="29"/>
      <c r="FS245" s="29"/>
      <c r="FT245" s="29"/>
      <c r="FU245" s="29"/>
      <c r="FV245" s="29"/>
      <c r="FW245" s="29"/>
      <c r="FX245" s="29"/>
      <c r="FY245" s="29"/>
      <c r="FZ245" s="29"/>
      <c r="GA245" s="29"/>
      <c r="GB245" s="29"/>
      <c r="GC245" s="29"/>
      <c r="GD245" s="29"/>
      <c r="GE245" s="29"/>
    </row>
    <row r="246" spans="1:187" s="29" customFormat="1" x14ac:dyDescent="0.25">
      <c r="A246" s="27" t="s">
        <v>26</v>
      </c>
      <c r="B246" s="28">
        <f t="shared" si="260"/>
        <v>67020</v>
      </c>
      <c r="C246" s="28">
        <f t="shared" si="260"/>
        <v>67020</v>
      </c>
      <c r="D246" s="28">
        <f t="shared" si="260"/>
        <v>0</v>
      </c>
      <c r="E246" s="28">
        <f t="shared" ref="E246:AA246" si="313">SUM(E247)</f>
        <v>0</v>
      </c>
      <c r="F246" s="28">
        <f t="shared" si="313"/>
        <v>0</v>
      </c>
      <c r="G246" s="28">
        <f t="shared" si="261"/>
        <v>0</v>
      </c>
      <c r="H246" s="28">
        <f t="shared" si="313"/>
        <v>0</v>
      </c>
      <c r="I246" s="28">
        <f t="shared" si="313"/>
        <v>0</v>
      </c>
      <c r="J246" s="28">
        <f t="shared" si="262"/>
        <v>0</v>
      </c>
      <c r="K246" s="28">
        <f t="shared" si="313"/>
        <v>67020</v>
      </c>
      <c r="L246" s="28">
        <f t="shared" si="313"/>
        <v>67020</v>
      </c>
      <c r="M246" s="28">
        <f t="shared" si="263"/>
        <v>0</v>
      </c>
      <c r="N246" s="28">
        <f t="shared" si="313"/>
        <v>0</v>
      </c>
      <c r="O246" s="28">
        <f t="shared" si="313"/>
        <v>0</v>
      </c>
      <c r="P246" s="28">
        <f t="shared" si="264"/>
        <v>0</v>
      </c>
      <c r="Q246" s="28">
        <f t="shared" si="313"/>
        <v>0</v>
      </c>
      <c r="R246" s="28">
        <f t="shared" si="313"/>
        <v>0</v>
      </c>
      <c r="S246" s="28">
        <f t="shared" si="265"/>
        <v>0</v>
      </c>
      <c r="T246" s="28">
        <f t="shared" si="313"/>
        <v>0</v>
      </c>
      <c r="U246" s="28">
        <f t="shared" si="313"/>
        <v>0</v>
      </c>
      <c r="V246" s="28">
        <f t="shared" si="266"/>
        <v>0</v>
      </c>
      <c r="W246" s="28">
        <f t="shared" si="313"/>
        <v>0</v>
      </c>
      <c r="X246" s="28">
        <f t="shared" si="313"/>
        <v>0</v>
      </c>
      <c r="Y246" s="28">
        <f t="shared" si="267"/>
        <v>0</v>
      </c>
      <c r="Z246" s="28">
        <f t="shared" si="313"/>
        <v>0</v>
      </c>
      <c r="AA246" s="28">
        <f t="shared" si="313"/>
        <v>0</v>
      </c>
      <c r="AB246" s="28">
        <f t="shared" si="268"/>
        <v>0</v>
      </c>
    </row>
    <row r="247" spans="1:187" s="29" customFormat="1" ht="31.5" x14ac:dyDescent="0.25">
      <c r="A247" s="27" t="s">
        <v>223</v>
      </c>
      <c r="B247" s="28">
        <f t="shared" si="260"/>
        <v>67020</v>
      </c>
      <c r="C247" s="28">
        <f t="shared" si="260"/>
        <v>67020</v>
      </c>
      <c r="D247" s="28">
        <f t="shared" si="260"/>
        <v>0</v>
      </c>
      <c r="E247" s="28">
        <f>SUM(E248:E249)</f>
        <v>0</v>
      </c>
      <c r="F247" s="28">
        <f>SUM(F248:F249)</f>
        <v>0</v>
      </c>
      <c r="G247" s="28">
        <f t="shared" si="261"/>
        <v>0</v>
      </c>
      <c r="H247" s="28">
        <f t="shared" ref="H247:I247" si="314">SUM(H248:H249)</f>
        <v>0</v>
      </c>
      <c r="I247" s="28">
        <f t="shared" si="314"/>
        <v>0</v>
      </c>
      <c r="J247" s="28">
        <f t="shared" si="262"/>
        <v>0</v>
      </c>
      <c r="K247" s="28">
        <f t="shared" ref="K247:L247" si="315">SUM(K248:K249)</f>
        <v>67020</v>
      </c>
      <c r="L247" s="28">
        <f t="shared" si="315"/>
        <v>67020</v>
      </c>
      <c r="M247" s="28">
        <f t="shared" si="263"/>
        <v>0</v>
      </c>
      <c r="N247" s="28">
        <f t="shared" ref="N247:O247" si="316">SUM(N248:N249)</f>
        <v>0</v>
      </c>
      <c r="O247" s="28">
        <f t="shared" si="316"/>
        <v>0</v>
      </c>
      <c r="P247" s="28">
        <f t="shared" si="264"/>
        <v>0</v>
      </c>
      <c r="Q247" s="28">
        <f t="shared" ref="Q247:R247" si="317">SUM(Q248:Q249)</f>
        <v>0</v>
      </c>
      <c r="R247" s="28">
        <f t="shared" si="317"/>
        <v>0</v>
      </c>
      <c r="S247" s="28">
        <f t="shared" si="265"/>
        <v>0</v>
      </c>
      <c r="T247" s="28">
        <f t="shared" ref="T247:U247" si="318">SUM(T248:T249)</f>
        <v>0</v>
      </c>
      <c r="U247" s="28">
        <f t="shared" si="318"/>
        <v>0</v>
      </c>
      <c r="V247" s="28">
        <f t="shared" si="266"/>
        <v>0</v>
      </c>
      <c r="W247" s="28">
        <f t="shared" ref="W247:X247" si="319">SUM(W248:W249)</f>
        <v>0</v>
      </c>
      <c r="X247" s="28">
        <f t="shared" si="319"/>
        <v>0</v>
      </c>
      <c r="Y247" s="28">
        <f t="shared" si="267"/>
        <v>0</v>
      </c>
      <c r="Z247" s="28">
        <f t="shared" ref="Z247:AA247" si="320">SUM(Z248:Z249)</f>
        <v>0</v>
      </c>
      <c r="AA247" s="28">
        <f t="shared" si="320"/>
        <v>0</v>
      </c>
      <c r="AB247" s="28">
        <f t="shared" si="268"/>
        <v>0</v>
      </c>
    </row>
    <row r="248" spans="1:187" s="29" customFormat="1" ht="31.5" x14ac:dyDescent="0.25">
      <c r="A248" s="41" t="s">
        <v>224</v>
      </c>
      <c r="B248" s="32">
        <f t="shared" si="260"/>
        <v>19020</v>
      </c>
      <c r="C248" s="32">
        <f t="shared" si="260"/>
        <v>19020</v>
      </c>
      <c r="D248" s="32">
        <f t="shared" si="260"/>
        <v>0</v>
      </c>
      <c r="E248" s="32"/>
      <c r="F248" s="32"/>
      <c r="G248" s="32">
        <f t="shared" si="261"/>
        <v>0</v>
      </c>
      <c r="H248" s="32"/>
      <c r="I248" s="32"/>
      <c r="J248" s="32">
        <f t="shared" si="262"/>
        <v>0</v>
      </c>
      <c r="K248" s="32">
        <v>19020</v>
      </c>
      <c r="L248" s="32">
        <v>19020</v>
      </c>
      <c r="M248" s="32">
        <f t="shared" si="263"/>
        <v>0</v>
      </c>
      <c r="N248" s="32"/>
      <c r="O248" s="32"/>
      <c r="P248" s="32">
        <f t="shared" si="264"/>
        <v>0</v>
      </c>
      <c r="Q248" s="32"/>
      <c r="R248" s="32"/>
      <c r="S248" s="32">
        <f t="shared" si="265"/>
        <v>0</v>
      </c>
      <c r="T248" s="32"/>
      <c r="U248" s="32"/>
      <c r="V248" s="32">
        <f t="shared" si="266"/>
        <v>0</v>
      </c>
      <c r="W248" s="32"/>
      <c r="X248" s="32"/>
      <c r="Y248" s="32">
        <f t="shared" si="267"/>
        <v>0</v>
      </c>
      <c r="Z248" s="32">
        <v>0</v>
      </c>
      <c r="AA248" s="32">
        <v>0</v>
      </c>
      <c r="AB248" s="32">
        <f t="shared" si="268"/>
        <v>0</v>
      </c>
    </row>
    <row r="249" spans="1:187" s="29" customFormat="1" ht="31.5" x14ac:dyDescent="0.25">
      <c r="A249" s="41" t="s">
        <v>225</v>
      </c>
      <c r="B249" s="32">
        <f t="shared" si="260"/>
        <v>48000</v>
      </c>
      <c r="C249" s="32">
        <f t="shared" si="260"/>
        <v>48000</v>
      </c>
      <c r="D249" s="32">
        <f t="shared" si="260"/>
        <v>0</v>
      </c>
      <c r="E249" s="32"/>
      <c r="F249" s="32"/>
      <c r="G249" s="32">
        <f t="shared" si="261"/>
        <v>0</v>
      </c>
      <c r="H249" s="32"/>
      <c r="I249" s="32"/>
      <c r="J249" s="32">
        <f t="shared" si="262"/>
        <v>0</v>
      </c>
      <c r="K249" s="32">
        <v>48000</v>
      </c>
      <c r="L249" s="32">
        <v>48000</v>
      </c>
      <c r="M249" s="32">
        <f t="shared" si="263"/>
        <v>0</v>
      </c>
      <c r="N249" s="32"/>
      <c r="O249" s="32"/>
      <c r="P249" s="32">
        <f t="shared" si="264"/>
        <v>0</v>
      </c>
      <c r="Q249" s="32"/>
      <c r="R249" s="32"/>
      <c r="S249" s="32">
        <f t="shared" si="265"/>
        <v>0</v>
      </c>
      <c r="T249" s="32"/>
      <c r="U249" s="32"/>
      <c r="V249" s="32">
        <f t="shared" si="266"/>
        <v>0</v>
      </c>
      <c r="W249" s="32"/>
      <c r="X249" s="32"/>
      <c r="Y249" s="32">
        <f t="shared" si="267"/>
        <v>0</v>
      </c>
      <c r="Z249" s="32">
        <v>0</v>
      </c>
      <c r="AA249" s="32">
        <v>0</v>
      </c>
      <c r="AB249" s="32">
        <f t="shared" si="268"/>
        <v>0</v>
      </c>
    </row>
    <row r="250" spans="1:187" s="29" customFormat="1" ht="31.5" x14ac:dyDescent="0.25">
      <c r="A250" s="27" t="s">
        <v>78</v>
      </c>
      <c r="B250" s="28">
        <f t="shared" si="260"/>
        <v>2470</v>
      </c>
      <c r="C250" s="28">
        <f t="shared" si="260"/>
        <v>2470</v>
      </c>
      <c r="D250" s="28">
        <f t="shared" si="260"/>
        <v>0</v>
      </c>
      <c r="E250" s="28">
        <f>SUM(E251)</f>
        <v>0</v>
      </c>
      <c r="F250" s="28">
        <f>SUM(F251)</f>
        <v>0</v>
      </c>
      <c r="G250" s="28">
        <f t="shared" si="261"/>
        <v>0</v>
      </c>
      <c r="H250" s="28">
        <f>SUM(H251)</f>
        <v>0</v>
      </c>
      <c r="I250" s="28">
        <f>SUM(I251)</f>
        <v>0</v>
      </c>
      <c r="J250" s="28">
        <f t="shared" si="262"/>
        <v>0</v>
      </c>
      <c r="K250" s="28">
        <v>0</v>
      </c>
      <c r="L250" s="28">
        <v>0</v>
      </c>
      <c r="M250" s="28">
        <f t="shared" si="263"/>
        <v>0</v>
      </c>
      <c r="N250" s="28">
        <f t="shared" ref="N250:AA250" si="321">SUM(N251)</f>
        <v>0</v>
      </c>
      <c r="O250" s="28">
        <f t="shared" si="321"/>
        <v>0</v>
      </c>
      <c r="P250" s="28">
        <f t="shared" si="264"/>
        <v>0</v>
      </c>
      <c r="Q250" s="28">
        <f t="shared" si="321"/>
        <v>2470</v>
      </c>
      <c r="R250" s="28">
        <f t="shared" si="321"/>
        <v>2470</v>
      </c>
      <c r="S250" s="28">
        <f t="shared" si="265"/>
        <v>0</v>
      </c>
      <c r="T250" s="28">
        <f t="shared" si="321"/>
        <v>0</v>
      </c>
      <c r="U250" s="28">
        <f t="shared" si="321"/>
        <v>0</v>
      </c>
      <c r="V250" s="28">
        <f t="shared" si="266"/>
        <v>0</v>
      </c>
      <c r="W250" s="28">
        <f t="shared" si="321"/>
        <v>0</v>
      </c>
      <c r="X250" s="28">
        <f t="shared" si="321"/>
        <v>0</v>
      </c>
      <c r="Y250" s="28">
        <f t="shared" si="267"/>
        <v>0</v>
      </c>
      <c r="Z250" s="28">
        <f t="shared" si="321"/>
        <v>0</v>
      </c>
      <c r="AA250" s="28">
        <f t="shared" si="321"/>
        <v>0</v>
      </c>
      <c r="AB250" s="28">
        <f t="shared" si="268"/>
        <v>0</v>
      </c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  <c r="EF250" s="26"/>
      <c r="EG250" s="26"/>
      <c r="EH250" s="26"/>
      <c r="EI250" s="26"/>
      <c r="EJ250" s="26"/>
      <c r="EK250" s="26"/>
      <c r="EL250" s="26"/>
      <c r="EM250" s="26"/>
      <c r="EN250" s="26"/>
      <c r="EO250" s="26"/>
      <c r="EP250" s="26"/>
      <c r="EQ250" s="26"/>
      <c r="ER250" s="26"/>
      <c r="ES250" s="26"/>
      <c r="ET250" s="26"/>
      <c r="EU250" s="26"/>
      <c r="EV250" s="26"/>
      <c r="EW250" s="26"/>
      <c r="EX250" s="26"/>
      <c r="EY250" s="26"/>
      <c r="EZ250" s="26"/>
      <c r="FA250" s="26"/>
      <c r="FB250" s="26"/>
      <c r="FC250" s="26"/>
      <c r="FD250" s="26"/>
      <c r="FE250" s="26"/>
      <c r="FF250" s="26"/>
      <c r="FG250" s="26"/>
      <c r="FH250" s="26"/>
      <c r="FI250" s="26"/>
      <c r="FJ250" s="26"/>
      <c r="FK250" s="26"/>
      <c r="FL250" s="26"/>
      <c r="FM250" s="26"/>
      <c r="FN250" s="26"/>
      <c r="FO250" s="26"/>
      <c r="FP250" s="26"/>
      <c r="FQ250" s="26"/>
      <c r="FR250" s="26"/>
      <c r="FS250" s="26"/>
      <c r="FT250" s="26"/>
      <c r="FU250" s="26"/>
      <c r="FV250" s="26"/>
      <c r="FW250" s="26"/>
      <c r="FX250" s="26"/>
      <c r="FY250" s="26"/>
      <c r="FZ250" s="26"/>
      <c r="GA250" s="26"/>
      <c r="GB250" s="26"/>
      <c r="GC250" s="26"/>
      <c r="GD250" s="26"/>
      <c r="GE250" s="26"/>
    </row>
    <row r="251" spans="1:187" s="29" customFormat="1" ht="31.5" x14ac:dyDescent="0.25">
      <c r="A251" s="27" t="s">
        <v>223</v>
      </c>
      <c r="B251" s="28">
        <f t="shared" si="260"/>
        <v>2470</v>
      </c>
      <c r="C251" s="28">
        <f t="shared" si="260"/>
        <v>2470</v>
      </c>
      <c r="D251" s="28">
        <f t="shared" si="260"/>
        <v>0</v>
      </c>
      <c r="E251" s="28">
        <f t="shared" ref="E251:AA251" si="322">SUM(E252:E252)</f>
        <v>0</v>
      </c>
      <c r="F251" s="28">
        <f t="shared" si="322"/>
        <v>0</v>
      </c>
      <c r="G251" s="28">
        <f t="shared" si="261"/>
        <v>0</v>
      </c>
      <c r="H251" s="28">
        <f t="shared" si="322"/>
        <v>0</v>
      </c>
      <c r="I251" s="28">
        <f t="shared" si="322"/>
        <v>0</v>
      </c>
      <c r="J251" s="28">
        <f t="shared" si="262"/>
        <v>0</v>
      </c>
      <c r="K251" s="28">
        <f t="shared" si="322"/>
        <v>0</v>
      </c>
      <c r="L251" s="28">
        <f t="shared" si="322"/>
        <v>0</v>
      </c>
      <c r="M251" s="28">
        <f t="shared" si="263"/>
        <v>0</v>
      </c>
      <c r="N251" s="28">
        <f t="shared" si="322"/>
        <v>0</v>
      </c>
      <c r="O251" s="28">
        <f t="shared" si="322"/>
        <v>0</v>
      </c>
      <c r="P251" s="28">
        <f t="shared" si="264"/>
        <v>0</v>
      </c>
      <c r="Q251" s="28">
        <f t="shared" si="322"/>
        <v>2470</v>
      </c>
      <c r="R251" s="28">
        <f t="shared" si="322"/>
        <v>2470</v>
      </c>
      <c r="S251" s="28">
        <f t="shared" si="265"/>
        <v>0</v>
      </c>
      <c r="T251" s="28">
        <f t="shared" si="322"/>
        <v>0</v>
      </c>
      <c r="U251" s="28">
        <f t="shared" si="322"/>
        <v>0</v>
      </c>
      <c r="V251" s="28">
        <f t="shared" si="266"/>
        <v>0</v>
      </c>
      <c r="W251" s="28">
        <f t="shared" si="322"/>
        <v>0</v>
      </c>
      <c r="X251" s="28">
        <f t="shared" si="322"/>
        <v>0</v>
      </c>
      <c r="Y251" s="28">
        <f t="shared" si="267"/>
        <v>0</v>
      </c>
      <c r="Z251" s="28">
        <f t="shared" si="322"/>
        <v>0</v>
      </c>
      <c r="AA251" s="28">
        <f t="shared" si="322"/>
        <v>0</v>
      </c>
      <c r="AB251" s="28">
        <f t="shared" si="268"/>
        <v>0</v>
      </c>
    </row>
    <row r="252" spans="1:187" s="29" customFormat="1" ht="31.5" x14ac:dyDescent="0.25">
      <c r="A252" s="31" t="s">
        <v>226</v>
      </c>
      <c r="B252" s="35">
        <f t="shared" si="260"/>
        <v>2470</v>
      </c>
      <c r="C252" s="35">
        <f t="shared" si="260"/>
        <v>2470</v>
      </c>
      <c r="D252" s="35">
        <f t="shared" si="260"/>
        <v>0</v>
      </c>
      <c r="E252" s="35"/>
      <c r="F252" s="35"/>
      <c r="G252" s="35">
        <f t="shared" si="261"/>
        <v>0</v>
      </c>
      <c r="H252" s="35"/>
      <c r="I252" s="35"/>
      <c r="J252" s="35">
        <f t="shared" si="262"/>
        <v>0</v>
      </c>
      <c r="K252" s="35"/>
      <c r="L252" s="35"/>
      <c r="M252" s="35">
        <f t="shared" si="263"/>
        <v>0</v>
      </c>
      <c r="N252" s="35"/>
      <c r="O252" s="35"/>
      <c r="P252" s="35">
        <f t="shared" si="264"/>
        <v>0</v>
      </c>
      <c r="Q252" s="35">
        <v>2470</v>
      </c>
      <c r="R252" s="35">
        <v>2470</v>
      </c>
      <c r="S252" s="35">
        <f t="shared" si="265"/>
        <v>0</v>
      </c>
      <c r="T252" s="35"/>
      <c r="U252" s="35"/>
      <c r="V252" s="35">
        <f t="shared" si="266"/>
        <v>0</v>
      </c>
      <c r="W252" s="35"/>
      <c r="X252" s="35"/>
      <c r="Y252" s="35">
        <f t="shared" si="267"/>
        <v>0</v>
      </c>
      <c r="Z252" s="35"/>
      <c r="AA252" s="35"/>
      <c r="AB252" s="35">
        <f t="shared" si="268"/>
        <v>0</v>
      </c>
    </row>
    <row r="253" spans="1:187" s="29" customFormat="1" x14ac:dyDescent="0.25">
      <c r="A253" s="27" t="s">
        <v>88</v>
      </c>
      <c r="B253" s="28">
        <f t="shared" si="260"/>
        <v>24000</v>
      </c>
      <c r="C253" s="28">
        <f t="shared" si="260"/>
        <v>24000</v>
      </c>
      <c r="D253" s="28">
        <f t="shared" si="260"/>
        <v>0</v>
      </c>
      <c r="E253" s="28">
        <f>SUM(E254)</f>
        <v>0</v>
      </c>
      <c r="F253" s="28">
        <f>SUM(F254)</f>
        <v>0</v>
      </c>
      <c r="G253" s="28">
        <f t="shared" si="261"/>
        <v>0</v>
      </c>
      <c r="H253" s="28">
        <f t="shared" ref="H253:I253" si="323">SUM(H254)</f>
        <v>0</v>
      </c>
      <c r="I253" s="28">
        <f t="shared" si="323"/>
        <v>0</v>
      </c>
      <c r="J253" s="28">
        <f t="shared" si="262"/>
        <v>0</v>
      </c>
      <c r="K253" s="28">
        <f t="shared" ref="K253:L253" si="324">SUM(K254)</f>
        <v>24000</v>
      </c>
      <c r="L253" s="28">
        <f t="shared" si="324"/>
        <v>24000</v>
      </c>
      <c r="M253" s="28">
        <f t="shared" si="263"/>
        <v>0</v>
      </c>
      <c r="N253" s="28">
        <f t="shared" ref="N253:O253" si="325">SUM(N254)</f>
        <v>0</v>
      </c>
      <c r="O253" s="28">
        <f t="shared" si="325"/>
        <v>0</v>
      </c>
      <c r="P253" s="28">
        <f t="shared" si="264"/>
        <v>0</v>
      </c>
      <c r="Q253" s="28">
        <f t="shared" ref="Q253:R253" si="326">SUM(Q254)</f>
        <v>0</v>
      </c>
      <c r="R253" s="28">
        <f t="shared" si="326"/>
        <v>0</v>
      </c>
      <c r="S253" s="28">
        <f t="shared" si="265"/>
        <v>0</v>
      </c>
      <c r="T253" s="28">
        <f t="shared" ref="T253:U253" si="327">SUM(T254)</f>
        <v>0</v>
      </c>
      <c r="U253" s="28">
        <f t="shared" si="327"/>
        <v>0</v>
      </c>
      <c r="V253" s="28">
        <f t="shared" si="266"/>
        <v>0</v>
      </c>
      <c r="W253" s="28">
        <f t="shared" ref="W253:X253" si="328">SUM(W254)</f>
        <v>0</v>
      </c>
      <c r="X253" s="28">
        <f t="shared" si="328"/>
        <v>0</v>
      </c>
      <c r="Y253" s="28">
        <f t="shared" si="267"/>
        <v>0</v>
      </c>
      <c r="Z253" s="28">
        <f t="shared" ref="Z253:AA253" si="329">SUM(Z254)</f>
        <v>0</v>
      </c>
      <c r="AA253" s="28">
        <f t="shared" si="329"/>
        <v>0</v>
      </c>
      <c r="AB253" s="28">
        <f t="shared" si="268"/>
        <v>0</v>
      </c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  <c r="DZ253" s="26"/>
      <c r="EA253" s="26"/>
      <c r="EB253" s="26"/>
      <c r="EC253" s="26"/>
      <c r="ED253" s="26"/>
      <c r="EE253" s="26"/>
      <c r="EF253" s="26"/>
      <c r="EG253" s="26"/>
      <c r="EH253" s="26"/>
      <c r="EI253" s="26"/>
      <c r="EJ253" s="26"/>
      <c r="EK253" s="26"/>
      <c r="EL253" s="26"/>
      <c r="EM253" s="26"/>
      <c r="EN253" s="26"/>
      <c r="EO253" s="26"/>
      <c r="EP253" s="26"/>
      <c r="EQ253" s="26"/>
      <c r="ER253" s="26"/>
      <c r="ES253" s="26"/>
      <c r="ET253" s="26"/>
      <c r="EU253" s="26"/>
      <c r="EV253" s="26"/>
      <c r="EW253" s="26"/>
      <c r="EX253" s="26"/>
      <c r="EY253" s="26"/>
      <c r="EZ253" s="26"/>
      <c r="FA253" s="26"/>
      <c r="FB253" s="26"/>
      <c r="FC253" s="26"/>
      <c r="FD253" s="26"/>
      <c r="FE253" s="26"/>
      <c r="FF253" s="26"/>
      <c r="FG253" s="26"/>
      <c r="FH253" s="26"/>
      <c r="FI253" s="26"/>
      <c r="FJ253" s="26"/>
      <c r="FK253" s="26"/>
      <c r="FL253" s="26"/>
      <c r="FM253" s="26"/>
      <c r="FN253" s="26"/>
      <c r="FO253" s="26"/>
      <c r="FP253" s="26"/>
      <c r="FQ253" s="26"/>
      <c r="FR253" s="26"/>
      <c r="FS253" s="26"/>
      <c r="FT253" s="26"/>
      <c r="FU253" s="26"/>
      <c r="FV253" s="26"/>
      <c r="FW253" s="26"/>
      <c r="FX253" s="26"/>
      <c r="FY253" s="26"/>
      <c r="FZ253" s="26"/>
      <c r="GA253" s="26"/>
      <c r="GB253" s="26"/>
      <c r="GC253" s="26"/>
      <c r="GD253" s="26"/>
      <c r="GE253" s="26"/>
    </row>
    <row r="254" spans="1:187" s="29" customFormat="1" ht="31.5" x14ac:dyDescent="0.25">
      <c r="A254" s="27" t="s">
        <v>223</v>
      </c>
      <c r="B254" s="28">
        <f t="shared" si="260"/>
        <v>24000</v>
      </c>
      <c r="C254" s="28">
        <f t="shared" si="260"/>
        <v>24000</v>
      </c>
      <c r="D254" s="28">
        <f t="shared" si="260"/>
        <v>0</v>
      </c>
      <c r="E254" s="28">
        <f t="shared" ref="E254:AA254" si="330">SUM(E255:E255)</f>
        <v>0</v>
      </c>
      <c r="F254" s="28">
        <f t="shared" si="330"/>
        <v>0</v>
      </c>
      <c r="G254" s="28">
        <f t="shared" si="261"/>
        <v>0</v>
      </c>
      <c r="H254" s="28">
        <f t="shared" si="330"/>
        <v>0</v>
      </c>
      <c r="I254" s="28">
        <f t="shared" si="330"/>
        <v>0</v>
      </c>
      <c r="J254" s="28">
        <f t="shared" si="262"/>
        <v>0</v>
      </c>
      <c r="K254" s="28">
        <f t="shared" si="330"/>
        <v>24000</v>
      </c>
      <c r="L254" s="28">
        <f t="shared" si="330"/>
        <v>24000</v>
      </c>
      <c r="M254" s="28">
        <f t="shared" si="263"/>
        <v>0</v>
      </c>
      <c r="N254" s="28">
        <f t="shared" si="330"/>
        <v>0</v>
      </c>
      <c r="O254" s="28">
        <f t="shared" si="330"/>
        <v>0</v>
      </c>
      <c r="P254" s="28">
        <f t="shared" si="264"/>
        <v>0</v>
      </c>
      <c r="Q254" s="28">
        <f t="shared" si="330"/>
        <v>0</v>
      </c>
      <c r="R254" s="28">
        <f t="shared" si="330"/>
        <v>0</v>
      </c>
      <c r="S254" s="28">
        <f t="shared" si="265"/>
        <v>0</v>
      </c>
      <c r="T254" s="28">
        <f t="shared" si="330"/>
        <v>0</v>
      </c>
      <c r="U254" s="28">
        <f t="shared" si="330"/>
        <v>0</v>
      </c>
      <c r="V254" s="28">
        <f t="shared" si="266"/>
        <v>0</v>
      </c>
      <c r="W254" s="28">
        <f t="shared" si="330"/>
        <v>0</v>
      </c>
      <c r="X254" s="28">
        <f t="shared" si="330"/>
        <v>0</v>
      </c>
      <c r="Y254" s="28">
        <f t="shared" si="267"/>
        <v>0</v>
      </c>
      <c r="Z254" s="28">
        <f t="shared" si="330"/>
        <v>0</v>
      </c>
      <c r="AA254" s="28">
        <f t="shared" si="330"/>
        <v>0</v>
      </c>
      <c r="AB254" s="28">
        <f t="shared" si="268"/>
        <v>0</v>
      </c>
    </row>
    <row r="255" spans="1:187" s="29" customFormat="1" ht="31.5" x14ac:dyDescent="0.25">
      <c r="A255" s="41" t="s">
        <v>227</v>
      </c>
      <c r="B255" s="35">
        <f t="shared" si="260"/>
        <v>24000</v>
      </c>
      <c r="C255" s="35">
        <f t="shared" si="260"/>
        <v>24000</v>
      </c>
      <c r="D255" s="35">
        <f t="shared" si="260"/>
        <v>0</v>
      </c>
      <c r="E255" s="35"/>
      <c r="F255" s="35"/>
      <c r="G255" s="35">
        <f t="shared" si="261"/>
        <v>0</v>
      </c>
      <c r="H255" s="35"/>
      <c r="I255" s="35"/>
      <c r="J255" s="35">
        <f t="shared" si="262"/>
        <v>0</v>
      </c>
      <c r="K255" s="35">
        <v>24000</v>
      </c>
      <c r="L255" s="35">
        <v>24000</v>
      </c>
      <c r="M255" s="35">
        <f t="shared" si="263"/>
        <v>0</v>
      </c>
      <c r="N255" s="35"/>
      <c r="O255" s="35"/>
      <c r="P255" s="35">
        <f t="shared" si="264"/>
        <v>0</v>
      </c>
      <c r="Q255" s="35"/>
      <c r="R255" s="35"/>
      <c r="S255" s="35">
        <f t="shared" si="265"/>
        <v>0</v>
      </c>
      <c r="T255" s="35"/>
      <c r="U255" s="35"/>
      <c r="V255" s="35">
        <f t="shared" si="266"/>
        <v>0</v>
      </c>
      <c r="W255" s="35"/>
      <c r="X255" s="35"/>
      <c r="Y255" s="35">
        <f t="shared" si="267"/>
        <v>0</v>
      </c>
      <c r="Z255" s="35"/>
      <c r="AA255" s="35"/>
      <c r="AB255" s="35">
        <f t="shared" si="268"/>
        <v>0</v>
      </c>
    </row>
    <row r="256" spans="1:187" s="29" customFormat="1" x14ac:dyDescent="0.25">
      <c r="A256" s="43" t="s">
        <v>228</v>
      </c>
      <c r="B256" s="28">
        <f t="shared" si="260"/>
        <v>104500</v>
      </c>
      <c r="C256" s="28">
        <f t="shared" si="260"/>
        <v>110352</v>
      </c>
      <c r="D256" s="28">
        <f t="shared" si="260"/>
        <v>5852</v>
      </c>
      <c r="E256" s="28">
        <f t="shared" ref="E256:AA256" si="331">SUM(E257)</f>
        <v>0</v>
      </c>
      <c r="F256" s="28">
        <f t="shared" si="331"/>
        <v>0</v>
      </c>
      <c r="G256" s="28">
        <f t="shared" si="261"/>
        <v>0</v>
      </c>
      <c r="H256" s="28">
        <f t="shared" si="331"/>
        <v>0</v>
      </c>
      <c r="I256" s="28">
        <f t="shared" si="331"/>
        <v>0</v>
      </c>
      <c r="J256" s="28">
        <f t="shared" si="262"/>
        <v>0</v>
      </c>
      <c r="K256" s="28">
        <f t="shared" si="331"/>
        <v>104500</v>
      </c>
      <c r="L256" s="28">
        <f t="shared" si="331"/>
        <v>110352</v>
      </c>
      <c r="M256" s="28">
        <f t="shared" si="263"/>
        <v>5852</v>
      </c>
      <c r="N256" s="28">
        <f t="shared" si="331"/>
        <v>0</v>
      </c>
      <c r="O256" s="28">
        <f t="shared" si="331"/>
        <v>0</v>
      </c>
      <c r="P256" s="28">
        <f t="shared" si="264"/>
        <v>0</v>
      </c>
      <c r="Q256" s="28">
        <f t="shared" si="331"/>
        <v>0</v>
      </c>
      <c r="R256" s="28">
        <f t="shared" si="331"/>
        <v>0</v>
      </c>
      <c r="S256" s="28">
        <f t="shared" si="265"/>
        <v>0</v>
      </c>
      <c r="T256" s="28">
        <f t="shared" si="331"/>
        <v>0</v>
      </c>
      <c r="U256" s="28">
        <f t="shared" si="331"/>
        <v>0</v>
      </c>
      <c r="V256" s="28">
        <f t="shared" si="266"/>
        <v>0</v>
      </c>
      <c r="W256" s="28">
        <f t="shared" si="331"/>
        <v>0</v>
      </c>
      <c r="X256" s="28">
        <f t="shared" si="331"/>
        <v>0</v>
      </c>
      <c r="Y256" s="28">
        <f t="shared" si="267"/>
        <v>0</v>
      </c>
      <c r="Z256" s="28">
        <f t="shared" si="331"/>
        <v>0</v>
      </c>
      <c r="AA256" s="28">
        <f t="shared" si="331"/>
        <v>0</v>
      </c>
      <c r="AB256" s="28">
        <f t="shared" si="268"/>
        <v>0</v>
      </c>
    </row>
    <row r="257" spans="1:188" s="29" customFormat="1" ht="31.5" x14ac:dyDescent="0.25">
      <c r="A257" s="27" t="s">
        <v>66</v>
      </c>
      <c r="B257" s="28">
        <f t="shared" si="260"/>
        <v>104500</v>
      </c>
      <c r="C257" s="28">
        <f t="shared" si="260"/>
        <v>110352</v>
      </c>
      <c r="D257" s="28">
        <f t="shared" si="260"/>
        <v>5852</v>
      </c>
      <c r="E257" s="28">
        <f t="shared" ref="E257:X257" si="332">SUM(E258:E259)</f>
        <v>0</v>
      </c>
      <c r="F257" s="28">
        <f t="shared" si="332"/>
        <v>0</v>
      </c>
      <c r="G257" s="28">
        <f t="shared" si="261"/>
        <v>0</v>
      </c>
      <c r="H257" s="28">
        <f t="shared" ref="H257" si="333">SUM(H258:H259)</f>
        <v>0</v>
      </c>
      <c r="I257" s="28">
        <f t="shared" si="332"/>
        <v>0</v>
      </c>
      <c r="J257" s="28">
        <f t="shared" si="262"/>
        <v>0</v>
      </c>
      <c r="K257" s="28">
        <f t="shared" ref="K257:L257" si="334">SUM(K258:K259)</f>
        <v>104500</v>
      </c>
      <c r="L257" s="28">
        <f t="shared" si="334"/>
        <v>110352</v>
      </c>
      <c r="M257" s="28">
        <f t="shared" si="263"/>
        <v>5852</v>
      </c>
      <c r="N257" s="28">
        <f t="shared" ref="N257:O257" si="335">SUM(N258:N259)</f>
        <v>0</v>
      </c>
      <c r="O257" s="28">
        <f t="shared" si="335"/>
        <v>0</v>
      </c>
      <c r="P257" s="28">
        <f t="shared" si="264"/>
        <v>0</v>
      </c>
      <c r="Q257" s="28">
        <f t="shared" ref="Q257:R257" si="336">SUM(Q258:Q259)</f>
        <v>0</v>
      </c>
      <c r="R257" s="28">
        <f t="shared" si="336"/>
        <v>0</v>
      </c>
      <c r="S257" s="28">
        <f t="shared" si="265"/>
        <v>0</v>
      </c>
      <c r="T257" s="28">
        <f t="shared" ref="T257:U257" si="337">SUM(T258:T259)</f>
        <v>0</v>
      </c>
      <c r="U257" s="28">
        <f t="shared" si="337"/>
        <v>0</v>
      </c>
      <c r="V257" s="28">
        <f t="shared" si="266"/>
        <v>0</v>
      </c>
      <c r="W257" s="28">
        <f t="shared" si="332"/>
        <v>0</v>
      </c>
      <c r="X257" s="28">
        <f t="shared" si="332"/>
        <v>0</v>
      </c>
      <c r="Y257" s="28">
        <f t="shared" si="267"/>
        <v>0</v>
      </c>
      <c r="Z257" s="28">
        <f t="shared" ref="Z257:AA257" si="338">SUM(Z258:Z259)</f>
        <v>0</v>
      </c>
      <c r="AA257" s="28">
        <f t="shared" si="338"/>
        <v>0</v>
      </c>
      <c r="AB257" s="28">
        <f t="shared" si="268"/>
        <v>0</v>
      </c>
    </row>
    <row r="258" spans="1:188" s="29" customFormat="1" ht="47.25" x14ac:dyDescent="0.25">
      <c r="A258" s="36" t="s">
        <v>229</v>
      </c>
      <c r="B258" s="35">
        <f t="shared" si="260"/>
        <v>100000</v>
      </c>
      <c r="C258" s="35">
        <f t="shared" si="260"/>
        <v>100000</v>
      </c>
      <c r="D258" s="35">
        <f t="shared" si="260"/>
        <v>0</v>
      </c>
      <c r="E258" s="35"/>
      <c r="F258" s="35"/>
      <c r="G258" s="35">
        <f t="shared" si="261"/>
        <v>0</v>
      </c>
      <c r="H258" s="35"/>
      <c r="I258" s="35"/>
      <c r="J258" s="35">
        <f t="shared" si="262"/>
        <v>0</v>
      </c>
      <c r="K258" s="35">
        <v>100000</v>
      </c>
      <c r="L258" s="35">
        <v>100000</v>
      </c>
      <c r="M258" s="35">
        <f t="shared" si="263"/>
        <v>0</v>
      </c>
      <c r="N258" s="35"/>
      <c r="O258" s="35"/>
      <c r="P258" s="35">
        <f t="shared" si="264"/>
        <v>0</v>
      </c>
      <c r="Q258" s="35"/>
      <c r="R258" s="35"/>
      <c r="S258" s="35">
        <f t="shared" si="265"/>
        <v>0</v>
      </c>
      <c r="T258" s="35"/>
      <c r="U258" s="35"/>
      <c r="V258" s="35">
        <f t="shared" si="266"/>
        <v>0</v>
      </c>
      <c r="W258" s="35"/>
      <c r="X258" s="35"/>
      <c r="Y258" s="35">
        <f t="shared" si="267"/>
        <v>0</v>
      </c>
      <c r="Z258" s="42"/>
      <c r="AA258" s="42"/>
      <c r="AB258" s="35">
        <f t="shared" si="268"/>
        <v>0</v>
      </c>
      <c r="FL258" s="26"/>
      <c r="FM258" s="26"/>
      <c r="FN258" s="26"/>
      <c r="FO258" s="26"/>
      <c r="FP258" s="26"/>
      <c r="FQ258" s="26"/>
      <c r="FR258" s="26"/>
      <c r="FS258" s="26"/>
      <c r="FT258" s="26"/>
      <c r="FU258" s="26"/>
      <c r="FV258" s="26"/>
      <c r="FW258" s="26"/>
      <c r="FX258" s="26"/>
      <c r="FY258" s="26"/>
      <c r="FZ258" s="26"/>
      <c r="GA258" s="26"/>
      <c r="GB258" s="26"/>
      <c r="GC258" s="26"/>
      <c r="GD258" s="26"/>
      <c r="GE258" s="26"/>
    </row>
    <row r="259" spans="1:188" s="29" customFormat="1" ht="31.5" x14ac:dyDescent="0.25">
      <c r="A259" s="36" t="s">
        <v>230</v>
      </c>
      <c r="B259" s="35">
        <f t="shared" si="260"/>
        <v>4500</v>
      </c>
      <c r="C259" s="35">
        <f t="shared" si="260"/>
        <v>10352</v>
      </c>
      <c r="D259" s="35">
        <f t="shared" si="260"/>
        <v>5852</v>
      </c>
      <c r="E259" s="35"/>
      <c r="F259" s="35"/>
      <c r="G259" s="35">
        <f t="shared" si="261"/>
        <v>0</v>
      </c>
      <c r="H259" s="35"/>
      <c r="I259" s="35"/>
      <c r="J259" s="35">
        <f t="shared" si="262"/>
        <v>0</v>
      </c>
      <c r="K259" s="35">
        <v>4500</v>
      </c>
      <c r="L259" s="35">
        <f>4500+5852</f>
        <v>10352</v>
      </c>
      <c r="M259" s="35">
        <f t="shared" si="263"/>
        <v>5852</v>
      </c>
      <c r="N259" s="35"/>
      <c r="O259" s="35"/>
      <c r="P259" s="35">
        <f t="shared" si="264"/>
        <v>0</v>
      </c>
      <c r="Q259" s="35"/>
      <c r="R259" s="35"/>
      <c r="S259" s="35">
        <f t="shared" si="265"/>
        <v>0</v>
      </c>
      <c r="T259" s="35"/>
      <c r="U259" s="35"/>
      <c r="V259" s="35">
        <f t="shared" si="266"/>
        <v>0</v>
      </c>
      <c r="W259" s="35"/>
      <c r="X259" s="35"/>
      <c r="Y259" s="35">
        <f t="shared" si="267"/>
        <v>0</v>
      </c>
      <c r="Z259" s="42"/>
      <c r="AA259" s="42"/>
      <c r="AB259" s="35">
        <f t="shared" si="268"/>
        <v>0</v>
      </c>
      <c r="FL259" s="26"/>
      <c r="FM259" s="26"/>
      <c r="FN259" s="26"/>
      <c r="FO259" s="26"/>
      <c r="FP259" s="26"/>
      <c r="FQ259" s="26"/>
      <c r="FR259" s="26"/>
      <c r="FS259" s="26"/>
      <c r="FT259" s="26"/>
      <c r="FU259" s="26"/>
      <c r="FV259" s="26"/>
      <c r="FW259" s="26"/>
      <c r="FX259" s="26"/>
      <c r="FY259" s="26"/>
      <c r="FZ259" s="26"/>
      <c r="GA259" s="26"/>
      <c r="GB259" s="26"/>
      <c r="GC259" s="26"/>
      <c r="GD259" s="26"/>
      <c r="GE259" s="26"/>
    </row>
    <row r="260" spans="1:188" s="29" customFormat="1" ht="31.5" x14ac:dyDescent="0.25">
      <c r="A260" s="43" t="s">
        <v>231</v>
      </c>
      <c r="B260" s="28">
        <f t="shared" si="260"/>
        <v>639749</v>
      </c>
      <c r="C260" s="28">
        <f t="shared" si="260"/>
        <v>639749</v>
      </c>
      <c r="D260" s="28">
        <f t="shared" si="260"/>
        <v>0</v>
      </c>
      <c r="E260" s="28">
        <f t="shared" ref="E260:AA261" si="339">SUM(E261)</f>
        <v>639749</v>
      </c>
      <c r="F260" s="28">
        <f t="shared" si="339"/>
        <v>639749</v>
      </c>
      <c r="G260" s="28">
        <f t="shared" si="261"/>
        <v>0</v>
      </c>
      <c r="H260" s="28">
        <f t="shared" si="339"/>
        <v>0</v>
      </c>
      <c r="I260" s="28">
        <f t="shared" si="339"/>
        <v>0</v>
      </c>
      <c r="J260" s="28">
        <f t="shared" si="262"/>
        <v>0</v>
      </c>
      <c r="K260" s="28">
        <f t="shared" si="339"/>
        <v>0</v>
      </c>
      <c r="L260" s="28">
        <f t="shared" si="339"/>
        <v>0</v>
      </c>
      <c r="M260" s="28">
        <f t="shared" si="263"/>
        <v>0</v>
      </c>
      <c r="N260" s="28">
        <f t="shared" si="339"/>
        <v>0</v>
      </c>
      <c r="O260" s="28">
        <f t="shared" si="339"/>
        <v>0</v>
      </c>
      <c r="P260" s="28">
        <f t="shared" si="264"/>
        <v>0</v>
      </c>
      <c r="Q260" s="28">
        <f t="shared" si="339"/>
        <v>0</v>
      </c>
      <c r="R260" s="28">
        <f t="shared" si="339"/>
        <v>0</v>
      </c>
      <c r="S260" s="28">
        <f t="shared" si="265"/>
        <v>0</v>
      </c>
      <c r="T260" s="28">
        <f t="shared" si="339"/>
        <v>0</v>
      </c>
      <c r="U260" s="28">
        <f t="shared" si="339"/>
        <v>0</v>
      </c>
      <c r="V260" s="28">
        <f t="shared" si="266"/>
        <v>0</v>
      </c>
      <c r="W260" s="28">
        <f t="shared" si="339"/>
        <v>0</v>
      </c>
      <c r="X260" s="28">
        <f t="shared" si="339"/>
        <v>0</v>
      </c>
      <c r="Y260" s="28">
        <f t="shared" si="267"/>
        <v>0</v>
      </c>
      <c r="Z260" s="28">
        <f t="shared" si="339"/>
        <v>0</v>
      </c>
      <c r="AA260" s="28">
        <f t="shared" si="339"/>
        <v>0</v>
      </c>
      <c r="AB260" s="28">
        <f t="shared" si="268"/>
        <v>0</v>
      </c>
    </row>
    <row r="261" spans="1:188" s="29" customFormat="1" ht="31.5" x14ac:dyDescent="0.25">
      <c r="A261" s="27" t="s">
        <v>66</v>
      </c>
      <c r="B261" s="28">
        <f t="shared" si="260"/>
        <v>639749</v>
      </c>
      <c r="C261" s="28">
        <f t="shared" si="260"/>
        <v>639749</v>
      </c>
      <c r="D261" s="28">
        <f t="shared" si="260"/>
        <v>0</v>
      </c>
      <c r="E261" s="28">
        <f t="shared" si="339"/>
        <v>639749</v>
      </c>
      <c r="F261" s="28">
        <f t="shared" si="339"/>
        <v>639749</v>
      </c>
      <c r="G261" s="28">
        <f t="shared" si="261"/>
        <v>0</v>
      </c>
      <c r="H261" s="28">
        <f t="shared" si="339"/>
        <v>0</v>
      </c>
      <c r="I261" s="28">
        <f t="shared" si="339"/>
        <v>0</v>
      </c>
      <c r="J261" s="28">
        <f t="shared" si="262"/>
        <v>0</v>
      </c>
      <c r="K261" s="28">
        <f t="shared" si="339"/>
        <v>0</v>
      </c>
      <c r="L261" s="28">
        <f t="shared" si="339"/>
        <v>0</v>
      </c>
      <c r="M261" s="28">
        <f t="shared" si="263"/>
        <v>0</v>
      </c>
      <c r="N261" s="28">
        <f t="shared" si="339"/>
        <v>0</v>
      </c>
      <c r="O261" s="28">
        <f t="shared" si="339"/>
        <v>0</v>
      </c>
      <c r="P261" s="28">
        <f t="shared" si="264"/>
        <v>0</v>
      </c>
      <c r="Q261" s="28">
        <f t="shared" si="339"/>
        <v>0</v>
      </c>
      <c r="R261" s="28">
        <f t="shared" si="339"/>
        <v>0</v>
      </c>
      <c r="S261" s="28">
        <f t="shared" si="265"/>
        <v>0</v>
      </c>
      <c r="T261" s="28">
        <f t="shared" si="339"/>
        <v>0</v>
      </c>
      <c r="U261" s="28">
        <f t="shared" si="339"/>
        <v>0</v>
      </c>
      <c r="V261" s="28">
        <f t="shared" si="266"/>
        <v>0</v>
      </c>
      <c r="W261" s="28">
        <f t="shared" si="339"/>
        <v>0</v>
      </c>
      <c r="X261" s="28">
        <f t="shared" si="339"/>
        <v>0</v>
      </c>
      <c r="Y261" s="28">
        <f t="shared" si="267"/>
        <v>0</v>
      </c>
      <c r="Z261" s="28">
        <f t="shared" si="339"/>
        <v>0</v>
      </c>
      <c r="AA261" s="28">
        <f t="shared" si="339"/>
        <v>0</v>
      </c>
      <c r="AB261" s="28">
        <f t="shared" si="268"/>
        <v>0</v>
      </c>
    </row>
    <row r="262" spans="1:188" s="29" customFormat="1" ht="31.5" x14ac:dyDescent="0.25">
      <c r="A262" s="36" t="s">
        <v>232</v>
      </c>
      <c r="B262" s="35">
        <f t="shared" si="260"/>
        <v>639749</v>
      </c>
      <c r="C262" s="35">
        <f t="shared" si="260"/>
        <v>639749</v>
      </c>
      <c r="D262" s="35">
        <f t="shared" si="260"/>
        <v>0</v>
      </c>
      <c r="E262" s="35">
        <v>639749</v>
      </c>
      <c r="F262" s="35">
        <v>639749</v>
      </c>
      <c r="G262" s="35">
        <f t="shared" si="261"/>
        <v>0</v>
      </c>
      <c r="H262" s="35"/>
      <c r="I262" s="35"/>
      <c r="J262" s="35">
        <f t="shared" si="262"/>
        <v>0</v>
      </c>
      <c r="K262" s="35"/>
      <c r="L262" s="35"/>
      <c r="M262" s="35">
        <f t="shared" si="263"/>
        <v>0</v>
      </c>
      <c r="N262" s="35"/>
      <c r="O262" s="35"/>
      <c r="P262" s="35">
        <f t="shared" si="264"/>
        <v>0</v>
      </c>
      <c r="Q262" s="35"/>
      <c r="R262" s="35"/>
      <c r="S262" s="35">
        <f t="shared" si="265"/>
        <v>0</v>
      </c>
      <c r="T262" s="35"/>
      <c r="U262" s="35"/>
      <c r="V262" s="35">
        <f t="shared" si="266"/>
        <v>0</v>
      </c>
      <c r="W262" s="42">
        <v>0</v>
      </c>
      <c r="X262" s="42">
        <v>0</v>
      </c>
      <c r="Y262" s="35">
        <f t="shared" si="267"/>
        <v>0</v>
      </c>
      <c r="Z262" s="42">
        <v>0</v>
      </c>
      <c r="AA262" s="42">
        <v>0</v>
      </c>
      <c r="AB262" s="35">
        <f t="shared" si="268"/>
        <v>0</v>
      </c>
      <c r="FM262" s="26"/>
      <c r="FN262" s="26"/>
      <c r="FO262" s="26"/>
      <c r="FP262" s="26"/>
      <c r="FQ262" s="26"/>
      <c r="FR262" s="26"/>
      <c r="FS262" s="26"/>
      <c r="FT262" s="26"/>
      <c r="FU262" s="26"/>
      <c r="FV262" s="26"/>
      <c r="FW262" s="26"/>
      <c r="FX262" s="26"/>
      <c r="FY262" s="26"/>
      <c r="FZ262" s="26"/>
      <c r="GA262" s="26"/>
      <c r="GB262" s="26"/>
      <c r="GC262" s="26"/>
      <c r="GD262" s="26"/>
      <c r="GE262" s="26"/>
      <c r="GF262" s="26"/>
    </row>
    <row r="264" spans="1:188" x14ac:dyDescent="0.25">
      <c r="E264" s="44"/>
    </row>
    <row r="265" spans="1:188" s="1" customFormat="1" x14ac:dyDescent="0.25">
      <c r="A265" s="1" t="s">
        <v>307</v>
      </c>
      <c r="F265" s="2"/>
    </row>
    <row r="266" spans="1:188" s="3" customFormat="1" x14ac:dyDescent="0.25">
      <c r="A266" s="3" t="s">
        <v>304</v>
      </c>
      <c r="F266" s="4"/>
    </row>
    <row r="267" spans="1:188" s="46" customFormat="1" x14ac:dyDescent="0.25">
      <c r="A267" s="45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</row>
    <row r="268" spans="1:188" x14ac:dyDescent="0.25">
      <c r="A268" s="46" t="s">
        <v>4</v>
      </c>
    </row>
    <row r="269" spans="1:188" s="7" customFormat="1" x14ac:dyDescent="0.25">
      <c r="A269" s="47" t="s">
        <v>233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</row>
    <row r="270" spans="1:188" s="7" customFormat="1" x14ac:dyDescent="0.25">
      <c r="A270" s="48" t="s">
        <v>234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</row>
    <row r="271" spans="1:188" s="7" customFormat="1" x14ac:dyDescent="0.25">
      <c r="A271" s="6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  <c r="FX271" s="8"/>
      <c r="FY271" s="8"/>
      <c r="FZ271" s="8"/>
      <c r="GA271" s="8"/>
      <c r="GB271" s="8"/>
      <c r="GC271" s="8"/>
      <c r="GD271" s="8"/>
      <c r="GE271" s="8"/>
    </row>
    <row r="272" spans="1:188" s="7" customFormat="1" x14ac:dyDescent="0.25">
      <c r="A272" s="46" t="s">
        <v>9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  <c r="FX272" s="8"/>
      <c r="FY272" s="8"/>
      <c r="FZ272" s="8"/>
      <c r="GA272" s="8"/>
      <c r="GB272" s="8"/>
      <c r="GC272" s="8"/>
      <c r="GD272" s="8"/>
      <c r="GE272" s="8"/>
    </row>
    <row r="273" spans="1:187" s="7" customFormat="1" x14ac:dyDescent="0.25">
      <c r="A273" s="46" t="s">
        <v>235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</row>
    <row r="274" spans="1:187" s="7" customFormat="1" x14ac:dyDescent="0.25">
      <c r="A274" s="46" t="s">
        <v>236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</row>
  </sheetData>
  <autoFilter ref="A1:XBT274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Normal="100" zoomScaleSheetLayoutView="100" workbookViewId="0">
      <selection activeCell="D21" sqref="D21"/>
    </sheetView>
  </sheetViews>
  <sheetFormatPr defaultRowHeight="12" x14ac:dyDescent="0.2"/>
  <cols>
    <col min="1" max="1" width="8.28515625" style="66" customWidth="1"/>
    <col min="2" max="2" width="44" style="61" customWidth="1"/>
    <col min="3" max="6" width="13" style="84" customWidth="1"/>
    <col min="7" max="15" width="9.140625" style="60"/>
    <col min="16" max="212" width="9.140625" style="61"/>
    <col min="213" max="213" width="5.140625" style="61" customWidth="1"/>
    <col min="214" max="214" width="63.85546875" style="61" customWidth="1"/>
    <col min="215" max="216" width="0" style="61" hidden="1" customWidth="1"/>
    <col min="217" max="217" width="11" style="61" customWidth="1"/>
    <col min="218" max="218" width="11.5703125" style="61" customWidth="1"/>
    <col min="219" max="219" width="11" style="61" customWidth="1"/>
    <col min="220" max="220" width="11.5703125" style="61" customWidth="1"/>
    <col min="221" max="468" width="9.140625" style="61"/>
    <col min="469" max="469" width="5.140625" style="61" customWidth="1"/>
    <col min="470" max="470" width="63.85546875" style="61" customWidth="1"/>
    <col min="471" max="472" width="0" style="61" hidden="1" customWidth="1"/>
    <col min="473" max="473" width="11" style="61" customWidth="1"/>
    <col min="474" max="474" width="11.5703125" style="61" customWidth="1"/>
    <col min="475" max="475" width="11" style="61" customWidth="1"/>
    <col min="476" max="476" width="11.5703125" style="61" customWidth="1"/>
    <col min="477" max="724" width="9.140625" style="61"/>
    <col min="725" max="725" width="5.140625" style="61" customWidth="1"/>
    <col min="726" max="726" width="63.85546875" style="61" customWidth="1"/>
    <col min="727" max="728" width="0" style="61" hidden="1" customWidth="1"/>
    <col min="729" max="729" width="11" style="61" customWidth="1"/>
    <col min="730" max="730" width="11.5703125" style="61" customWidth="1"/>
    <col min="731" max="731" width="11" style="61" customWidth="1"/>
    <col min="732" max="732" width="11.5703125" style="61" customWidth="1"/>
    <col min="733" max="980" width="9.140625" style="61"/>
    <col min="981" max="981" width="5.140625" style="61" customWidth="1"/>
    <col min="982" max="982" width="63.85546875" style="61" customWidth="1"/>
    <col min="983" max="984" width="0" style="61" hidden="1" customWidth="1"/>
    <col min="985" max="985" width="11" style="61" customWidth="1"/>
    <col min="986" max="986" width="11.5703125" style="61" customWidth="1"/>
    <col min="987" max="987" width="11" style="61" customWidth="1"/>
    <col min="988" max="988" width="11.5703125" style="61" customWidth="1"/>
    <col min="989" max="1236" width="9.140625" style="61"/>
    <col min="1237" max="1237" width="5.140625" style="61" customWidth="1"/>
    <col min="1238" max="1238" width="63.85546875" style="61" customWidth="1"/>
    <col min="1239" max="1240" width="0" style="61" hidden="1" customWidth="1"/>
    <col min="1241" max="1241" width="11" style="61" customWidth="1"/>
    <col min="1242" max="1242" width="11.5703125" style="61" customWidth="1"/>
    <col min="1243" max="1243" width="11" style="61" customWidth="1"/>
    <col min="1244" max="1244" width="11.5703125" style="61" customWidth="1"/>
    <col min="1245" max="1492" width="9.140625" style="61"/>
    <col min="1493" max="1493" width="5.140625" style="61" customWidth="1"/>
    <col min="1494" max="1494" width="63.85546875" style="61" customWidth="1"/>
    <col min="1495" max="1496" width="0" style="61" hidden="1" customWidth="1"/>
    <col min="1497" max="1497" width="11" style="61" customWidth="1"/>
    <col min="1498" max="1498" width="11.5703125" style="61" customWidth="1"/>
    <col min="1499" max="1499" width="11" style="61" customWidth="1"/>
    <col min="1500" max="1500" width="11.5703125" style="61" customWidth="1"/>
    <col min="1501" max="1748" width="9.140625" style="61"/>
    <col min="1749" max="1749" width="5.140625" style="61" customWidth="1"/>
    <col min="1750" max="1750" width="63.85546875" style="61" customWidth="1"/>
    <col min="1751" max="1752" width="0" style="61" hidden="1" customWidth="1"/>
    <col min="1753" max="1753" width="11" style="61" customWidth="1"/>
    <col min="1754" max="1754" width="11.5703125" style="61" customWidth="1"/>
    <col min="1755" max="1755" width="11" style="61" customWidth="1"/>
    <col min="1756" max="1756" width="11.5703125" style="61" customWidth="1"/>
    <col min="1757" max="2004" width="9.140625" style="61"/>
    <col min="2005" max="2005" width="5.140625" style="61" customWidth="1"/>
    <col min="2006" max="2006" width="63.85546875" style="61" customWidth="1"/>
    <col min="2007" max="2008" width="0" style="61" hidden="1" customWidth="1"/>
    <col min="2009" max="2009" width="11" style="61" customWidth="1"/>
    <col min="2010" max="2010" width="11.5703125" style="61" customWidth="1"/>
    <col min="2011" max="2011" width="11" style="61" customWidth="1"/>
    <col min="2012" max="2012" width="11.5703125" style="61" customWidth="1"/>
    <col min="2013" max="2260" width="9.140625" style="61"/>
    <col min="2261" max="2261" width="5.140625" style="61" customWidth="1"/>
    <col min="2262" max="2262" width="63.85546875" style="61" customWidth="1"/>
    <col min="2263" max="2264" width="0" style="61" hidden="1" customWidth="1"/>
    <col min="2265" max="2265" width="11" style="61" customWidth="1"/>
    <col min="2266" max="2266" width="11.5703125" style="61" customWidth="1"/>
    <col min="2267" max="2267" width="11" style="61" customWidth="1"/>
    <col min="2268" max="2268" width="11.5703125" style="61" customWidth="1"/>
    <col min="2269" max="2516" width="9.140625" style="61"/>
    <col min="2517" max="2517" width="5.140625" style="61" customWidth="1"/>
    <col min="2518" max="2518" width="63.85546875" style="61" customWidth="1"/>
    <col min="2519" max="2520" width="0" style="61" hidden="1" customWidth="1"/>
    <col min="2521" max="2521" width="11" style="61" customWidth="1"/>
    <col min="2522" max="2522" width="11.5703125" style="61" customWidth="1"/>
    <col min="2523" max="2523" width="11" style="61" customWidth="1"/>
    <col min="2524" max="2524" width="11.5703125" style="61" customWidth="1"/>
    <col min="2525" max="2772" width="9.140625" style="61"/>
    <col min="2773" max="2773" width="5.140625" style="61" customWidth="1"/>
    <col min="2774" max="2774" width="63.85546875" style="61" customWidth="1"/>
    <col min="2775" max="2776" width="0" style="61" hidden="1" customWidth="1"/>
    <col min="2777" max="2777" width="11" style="61" customWidth="1"/>
    <col min="2778" max="2778" width="11.5703125" style="61" customWidth="1"/>
    <col min="2779" max="2779" width="11" style="61" customWidth="1"/>
    <col min="2780" max="2780" width="11.5703125" style="61" customWidth="1"/>
    <col min="2781" max="3028" width="9.140625" style="61"/>
    <col min="3029" max="3029" width="5.140625" style="61" customWidth="1"/>
    <col min="3030" max="3030" width="63.85546875" style="61" customWidth="1"/>
    <col min="3031" max="3032" width="0" style="61" hidden="1" customWidth="1"/>
    <col min="3033" max="3033" width="11" style="61" customWidth="1"/>
    <col min="3034" max="3034" width="11.5703125" style="61" customWidth="1"/>
    <col min="3035" max="3035" width="11" style="61" customWidth="1"/>
    <col min="3036" max="3036" width="11.5703125" style="61" customWidth="1"/>
    <col min="3037" max="3284" width="9.140625" style="61"/>
    <col min="3285" max="3285" width="5.140625" style="61" customWidth="1"/>
    <col min="3286" max="3286" width="63.85546875" style="61" customWidth="1"/>
    <col min="3287" max="3288" width="0" style="61" hidden="1" customWidth="1"/>
    <col min="3289" max="3289" width="11" style="61" customWidth="1"/>
    <col min="3290" max="3290" width="11.5703125" style="61" customWidth="1"/>
    <col min="3291" max="3291" width="11" style="61" customWidth="1"/>
    <col min="3292" max="3292" width="11.5703125" style="61" customWidth="1"/>
    <col min="3293" max="3540" width="9.140625" style="61"/>
    <col min="3541" max="3541" width="5.140625" style="61" customWidth="1"/>
    <col min="3542" max="3542" width="63.85546875" style="61" customWidth="1"/>
    <col min="3543" max="3544" width="0" style="61" hidden="1" customWidth="1"/>
    <col min="3545" max="3545" width="11" style="61" customWidth="1"/>
    <col min="3546" max="3546" width="11.5703125" style="61" customWidth="1"/>
    <col min="3547" max="3547" width="11" style="61" customWidth="1"/>
    <col min="3548" max="3548" width="11.5703125" style="61" customWidth="1"/>
    <col min="3549" max="3796" width="9.140625" style="61"/>
    <col min="3797" max="3797" width="5.140625" style="61" customWidth="1"/>
    <col min="3798" max="3798" width="63.85546875" style="61" customWidth="1"/>
    <col min="3799" max="3800" width="0" style="61" hidden="1" customWidth="1"/>
    <col min="3801" max="3801" width="11" style="61" customWidth="1"/>
    <col min="3802" max="3802" width="11.5703125" style="61" customWidth="1"/>
    <col min="3803" max="3803" width="11" style="61" customWidth="1"/>
    <col min="3804" max="3804" width="11.5703125" style="61" customWidth="1"/>
    <col min="3805" max="4052" width="9.140625" style="61"/>
    <col min="4053" max="4053" width="5.140625" style="61" customWidth="1"/>
    <col min="4054" max="4054" width="63.85546875" style="61" customWidth="1"/>
    <col min="4055" max="4056" width="0" style="61" hidden="1" customWidth="1"/>
    <col min="4057" max="4057" width="11" style="61" customWidth="1"/>
    <col min="4058" max="4058" width="11.5703125" style="61" customWidth="1"/>
    <col min="4059" max="4059" width="11" style="61" customWidth="1"/>
    <col min="4060" max="4060" width="11.5703125" style="61" customWidth="1"/>
    <col min="4061" max="4308" width="9.140625" style="61"/>
    <col min="4309" max="4309" width="5.140625" style="61" customWidth="1"/>
    <col min="4310" max="4310" width="63.85546875" style="61" customWidth="1"/>
    <col min="4311" max="4312" width="0" style="61" hidden="1" customWidth="1"/>
    <col min="4313" max="4313" width="11" style="61" customWidth="1"/>
    <col min="4314" max="4314" width="11.5703125" style="61" customWidth="1"/>
    <col min="4315" max="4315" width="11" style="61" customWidth="1"/>
    <col min="4316" max="4316" width="11.5703125" style="61" customWidth="1"/>
    <col min="4317" max="4564" width="9.140625" style="61"/>
    <col min="4565" max="4565" width="5.140625" style="61" customWidth="1"/>
    <col min="4566" max="4566" width="63.85546875" style="61" customWidth="1"/>
    <col min="4567" max="4568" width="0" style="61" hidden="1" customWidth="1"/>
    <col min="4569" max="4569" width="11" style="61" customWidth="1"/>
    <col min="4570" max="4570" width="11.5703125" style="61" customWidth="1"/>
    <col min="4571" max="4571" width="11" style="61" customWidth="1"/>
    <col min="4572" max="4572" width="11.5703125" style="61" customWidth="1"/>
    <col min="4573" max="4820" width="9.140625" style="61"/>
    <col min="4821" max="4821" width="5.140625" style="61" customWidth="1"/>
    <col min="4822" max="4822" width="63.85546875" style="61" customWidth="1"/>
    <col min="4823" max="4824" width="0" style="61" hidden="1" customWidth="1"/>
    <col min="4825" max="4825" width="11" style="61" customWidth="1"/>
    <col min="4826" max="4826" width="11.5703125" style="61" customWidth="1"/>
    <col min="4827" max="4827" width="11" style="61" customWidth="1"/>
    <col min="4828" max="4828" width="11.5703125" style="61" customWidth="1"/>
    <col min="4829" max="5076" width="9.140625" style="61"/>
    <col min="5077" max="5077" width="5.140625" style="61" customWidth="1"/>
    <col min="5078" max="5078" width="63.85546875" style="61" customWidth="1"/>
    <col min="5079" max="5080" width="0" style="61" hidden="1" customWidth="1"/>
    <col min="5081" max="5081" width="11" style="61" customWidth="1"/>
    <col min="5082" max="5082" width="11.5703125" style="61" customWidth="1"/>
    <col min="5083" max="5083" width="11" style="61" customWidth="1"/>
    <col min="5084" max="5084" width="11.5703125" style="61" customWidth="1"/>
    <col min="5085" max="5332" width="9.140625" style="61"/>
    <col min="5333" max="5333" width="5.140625" style="61" customWidth="1"/>
    <col min="5334" max="5334" width="63.85546875" style="61" customWidth="1"/>
    <col min="5335" max="5336" width="0" style="61" hidden="1" customWidth="1"/>
    <col min="5337" max="5337" width="11" style="61" customWidth="1"/>
    <col min="5338" max="5338" width="11.5703125" style="61" customWidth="1"/>
    <col min="5339" max="5339" width="11" style="61" customWidth="1"/>
    <col min="5340" max="5340" width="11.5703125" style="61" customWidth="1"/>
    <col min="5341" max="5588" width="9.140625" style="61"/>
    <col min="5589" max="5589" width="5.140625" style="61" customWidth="1"/>
    <col min="5590" max="5590" width="63.85546875" style="61" customWidth="1"/>
    <col min="5591" max="5592" width="0" style="61" hidden="1" customWidth="1"/>
    <col min="5593" max="5593" width="11" style="61" customWidth="1"/>
    <col min="5594" max="5594" width="11.5703125" style="61" customWidth="1"/>
    <col min="5595" max="5595" width="11" style="61" customWidth="1"/>
    <col min="5596" max="5596" width="11.5703125" style="61" customWidth="1"/>
    <col min="5597" max="5844" width="9.140625" style="61"/>
    <col min="5845" max="5845" width="5.140625" style="61" customWidth="1"/>
    <col min="5846" max="5846" width="63.85546875" style="61" customWidth="1"/>
    <col min="5847" max="5848" width="0" style="61" hidden="1" customWidth="1"/>
    <col min="5849" max="5849" width="11" style="61" customWidth="1"/>
    <col min="5850" max="5850" width="11.5703125" style="61" customWidth="1"/>
    <col min="5851" max="5851" width="11" style="61" customWidth="1"/>
    <col min="5852" max="5852" width="11.5703125" style="61" customWidth="1"/>
    <col min="5853" max="6100" width="9.140625" style="61"/>
    <col min="6101" max="6101" width="5.140625" style="61" customWidth="1"/>
    <col min="6102" max="6102" width="63.85546875" style="61" customWidth="1"/>
    <col min="6103" max="6104" width="0" style="61" hidden="1" customWidth="1"/>
    <col min="6105" max="6105" width="11" style="61" customWidth="1"/>
    <col min="6106" max="6106" width="11.5703125" style="61" customWidth="1"/>
    <col min="6107" max="6107" width="11" style="61" customWidth="1"/>
    <col min="6108" max="6108" width="11.5703125" style="61" customWidth="1"/>
    <col min="6109" max="6356" width="9.140625" style="61"/>
    <col min="6357" max="6357" width="5.140625" style="61" customWidth="1"/>
    <col min="6358" max="6358" width="63.85546875" style="61" customWidth="1"/>
    <col min="6359" max="6360" width="0" style="61" hidden="1" customWidth="1"/>
    <col min="6361" max="6361" width="11" style="61" customWidth="1"/>
    <col min="6362" max="6362" width="11.5703125" style="61" customWidth="1"/>
    <col min="6363" max="6363" width="11" style="61" customWidth="1"/>
    <col min="6364" max="6364" width="11.5703125" style="61" customWidth="1"/>
    <col min="6365" max="6612" width="9.140625" style="61"/>
    <col min="6613" max="6613" width="5.140625" style="61" customWidth="1"/>
    <col min="6614" max="6614" width="63.85546875" style="61" customWidth="1"/>
    <col min="6615" max="6616" width="0" style="61" hidden="1" customWidth="1"/>
    <col min="6617" max="6617" width="11" style="61" customWidth="1"/>
    <col min="6618" max="6618" width="11.5703125" style="61" customWidth="1"/>
    <col min="6619" max="6619" width="11" style="61" customWidth="1"/>
    <col min="6620" max="6620" width="11.5703125" style="61" customWidth="1"/>
    <col min="6621" max="6868" width="9.140625" style="61"/>
    <col min="6869" max="6869" width="5.140625" style="61" customWidth="1"/>
    <col min="6870" max="6870" width="63.85546875" style="61" customWidth="1"/>
    <col min="6871" max="6872" width="0" style="61" hidden="1" customWidth="1"/>
    <col min="6873" max="6873" width="11" style="61" customWidth="1"/>
    <col min="6874" max="6874" width="11.5703125" style="61" customWidth="1"/>
    <col min="6875" max="6875" width="11" style="61" customWidth="1"/>
    <col min="6876" max="6876" width="11.5703125" style="61" customWidth="1"/>
    <col min="6877" max="7124" width="9.140625" style="61"/>
    <col min="7125" max="7125" width="5.140625" style="61" customWidth="1"/>
    <col min="7126" max="7126" width="63.85546875" style="61" customWidth="1"/>
    <col min="7127" max="7128" width="0" style="61" hidden="1" customWidth="1"/>
    <col min="7129" max="7129" width="11" style="61" customWidth="1"/>
    <col min="7130" max="7130" width="11.5703125" style="61" customWidth="1"/>
    <col min="7131" max="7131" width="11" style="61" customWidth="1"/>
    <col min="7132" max="7132" width="11.5703125" style="61" customWidth="1"/>
    <col min="7133" max="7380" width="9.140625" style="61"/>
    <col min="7381" max="7381" width="5.140625" style="61" customWidth="1"/>
    <col min="7382" max="7382" width="63.85546875" style="61" customWidth="1"/>
    <col min="7383" max="7384" width="0" style="61" hidden="1" customWidth="1"/>
    <col min="7385" max="7385" width="11" style="61" customWidth="1"/>
    <col min="7386" max="7386" width="11.5703125" style="61" customWidth="1"/>
    <col min="7387" max="7387" width="11" style="61" customWidth="1"/>
    <col min="7388" max="7388" width="11.5703125" style="61" customWidth="1"/>
    <col min="7389" max="7636" width="9.140625" style="61"/>
    <col min="7637" max="7637" width="5.140625" style="61" customWidth="1"/>
    <col min="7638" max="7638" width="63.85546875" style="61" customWidth="1"/>
    <col min="7639" max="7640" width="0" style="61" hidden="1" customWidth="1"/>
    <col min="7641" max="7641" width="11" style="61" customWidth="1"/>
    <col min="7642" max="7642" width="11.5703125" style="61" customWidth="1"/>
    <col min="7643" max="7643" width="11" style="61" customWidth="1"/>
    <col min="7644" max="7644" width="11.5703125" style="61" customWidth="1"/>
    <col min="7645" max="7892" width="9.140625" style="61"/>
    <col min="7893" max="7893" width="5.140625" style="61" customWidth="1"/>
    <col min="7894" max="7894" width="63.85546875" style="61" customWidth="1"/>
    <col min="7895" max="7896" width="0" style="61" hidden="1" customWidth="1"/>
    <col min="7897" max="7897" width="11" style="61" customWidth="1"/>
    <col min="7898" max="7898" width="11.5703125" style="61" customWidth="1"/>
    <col min="7899" max="7899" width="11" style="61" customWidth="1"/>
    <col min="7900" max="7900" width="11.5703125" style="61" customWidth="1"/>
    <col min="7901" max="8148" width="9.140625" style="61"/>
    <col min="8149" max="8149" width="5.140625" style="61" customWidth="1"/>
    <col min="8150" max="8150" width="63.85546875" style="61" customWidth="1"/>
    <col min="8151" max="8152" width="0" style="61" hidden="1" customWidth="1"/>
    <col min="8153" max="8153" width="11" style="61" customWidth="1"/>
    <col min="8154" max="8154" width="11.5703125" style="61" customWidth="1"/>
    <col min="8155" max="8155" width="11" style="61" customWidth="1"/>
    <col min="8156" max="8156" width="11.5703125" style="61" customWidth="1"/>
    <col min="8157" max="8404" width="9.140625" style="61"/>
    <col min="8405" max="8405" width="5.140625" style="61" customWidth="1"/>
    <col min="8406" max="8406" width="63.85546875" style="61" customWidth="1"/>
    <col min="8407" max="8408" width="0" style="61" hidden="1" customWidth="1"/>
    <col min="8409" max="8409" width="11" style="61" customWidth="1"/>
    <col min="8410" max="8410" width="11.5703125" style="61" customWidth="1"/>
    <col min="8411" max="8411" width="11" style="61" customWidth="1"/>
    <col min="8412" max="8412" width="11.5703125" style="61" customWidth="1"/>
    <col min="8413" max="8660" width="9.140625" style="61"/>
    <col min="8661" max="8661" width="5.140625" style="61" customWidth="1"/>
    <col min="8662" max="8662" width="63.85546875" style="61" customWidth="1"/>
    <col min="8663" max="8664" width="0" style="61" hidden="1" customWidth="1"/>
    <col min="8665" max="8665" width="11" style="61" customWidth="1"/>
    <col min="8666" max="8666" width="11.5703125" style="61" customWidth="1"/>
    <col min="8667" max="8667" width="11" style="61" customWidth="1"/>
    <col min="8668" max="8668" width="11.5703125" style="61" customWidth="1"/>
    <col min="8669" max="8916" width="9.140625" style="61"/>
    <col min="8917" max="8917" width="5.140625" style="61" customWidth="1"/>
    <col min="8918" max="8918" width="63.85546875" style="61" customWidth="1"/>
    <col min="8919" max="8920" width="0" style="61" hidden="1" customWidth="1"/>
    <col min="8921" max="8921" width="11" style="61" customWidth="1"/>
    <col min="8922" max="8922" width="11.5703125" style="61" customWidth="1"/>
    <col min="8923" max="8923" width="11" style="61" customWidth="1"/>
    <col min="8924" max="8924" width="11.5703125" style="61" customWidth="1"/>
    <col min="8925" max="9172" width="9.140625" style="61"/>
    <col min="9173" max="9173" width="5.140625" style="61" customWidth="1"/>
    <col min="9174" max="9174" width="63.85546875" style="61" customWidth="1"/>
    <col min="9175" max="9176" width="0" style="61" hidden="1" customWidth="1"/>
    <col min="9177" max="9177" width="11" style="61" customWidth="1"/>
    <col min="9178" max="9178" width="11.5703125" style="61" customWidth="1"/>
    <col min="9179" max="9179" width="11" style="61" customWidth="1"/>
    <col min="9180" max="9180" width="11.5703125" style="61" customWidth="1"/>
    <col min="9181" max="9428" width="9.140625" style="61"/>
    <col min="9429" max="9429" width="5.140625" style="61" customWidth="1"/>
    <col min="9430" max="9430" width="63.85546875" style="61" customWidth="1"/>
    <col min="9431" max="9432" width="0" style="61" hidden="1" customWidth="1"/>
    <col min="9433" max="9433" width="11" style="61" customWidth="1"/>
    <col min="9434" max="9434" width="11.5703125" style="61" customWidth="1"/>
    <col min="9435" max="9435" width="11" style="61" customWidth="1"/>
    <col min="9436" max="9436" width="11.5703125" style="61" customWidth="1"/>
    <col min="9437" max="9684" width="9.140625" style="61"/>
    <col min="9685" max="9685" width="5.140625" style="61" customWidth="1"/>
    <col min="9686" max="9686" width="63.85546875" style="61" customWidth="1"/>
    <col min="9687" max="9688" width="0" style="61" hidden="1" customWidth="1"/>
    <col min="9689" max="9689" width="11" style="61" customWidth="1"/>
    <col min="9690" max="9690" width="11.5703125" style="61" customWidth="1"/>
    <col min="9691" max="9691" width="11" style="61" customWidth="1"/>
    <col min="9692" max="9692" width="11.5703125" style="61" customWidth="1"/>
    <col min="9693" max="9940" width="9.140625" style="61"/>
    <col min="9941" max="9941" width="5.140625" style="61" customWidth="1"/>
    <col min="9942" max="9942" width="63.85546875" style="61" customWidth="1"/>
    <col min="9943" max="9944" width="0" style="61" hidden="1" customWidth="1"/>
    <col min="9945" max="9945" width="11" style="61" customWidth="1"/>
    <col min="9946" max="9946" width="11.5703125" style="61" customWidth="1"/>
    <col min="9947" max="9947" width="11" style="61" customWidth="1"/>
    <col min="9948" max="9948" width="11.5703125" style="61" customWidth="1"/>
    <col min="9949" max="10196" width="9.140625" style="61"/>
    <col min="10197" max="10197" width="5.140625" style="61" customWidth="1"/>
    <col min="10198" max="10198" width="63.85546875" style="61" customWidth="1"/>
    <col min="10199" max="10200" width="0" style="61" hidden="1" customWidth="1"/>
    <col min="10201" max="10201" width="11" style="61" customWidth="1"/>
    <col min="10202" max="10202" width="11.5703125" style="61" customWidth="1"/>
    <col min="10203" max="10203" width="11" style="61" customWidth="1"/>
    <col min="10204" max="10204" width="11.5703125" style="61" customWidth="1"/>
    <col min="10205" max="10452" width="9.140625" style="61"/>
    <col min="10453" max="10453" width="5.140625" style="61" customWidth="1"/>
    <col min="10454" max="10454" width="63.85546875" style="61" customWidth="1"/>
    <col min="10455" max="10456" width="0" style="61" hidden="1" customWidth="1"/>
    <col min="10457" max="10457" width="11" style="61" customWidth="1"/>
    <col min="10458" max="10458" width="11.5703125" style="61" customWidth="1"/>
    <col min="10459" max="10459" width="11" style="61" customWidth="1"/>
    <col min="10460" max="10460" width="11.5703125" style="61" customWidth="1"/>
    <col min="10461" max="10708" width="9.140625" style="61"/>
    <col min="10709" max="10709" width="5.140625" style="61" customWidth="1"/>
    <col min="10710" max="10710" width="63.85546875" style="61" customWidth="1"/>
    <col min="10711" max="10712" width="0" style="61" hidden="1" customWidth="1"/>
    <col min="10713" max="10713" width="11" style="61" customWidth="1"/>
    <col min="10714" max="10714" width="11.5703125" style="61" customWidth="1"/>
    <col min="10715" max="10715" width="11" style="61" customWidth="1"/>
    <col min="10716" max="10716" width="11.5703125" style="61" customWidth="1"/>
    <col min="10717" max="10964" width="9.140625" style="61"/>
    <col min="10965" max="10965" width="5.140625" style="61" customWidth="1"/>
    <col min="10966" max="10966" width="63.85546875" style="61" customWidth="1"/>
    <col min="10967" max="10968" width="0" style="61" hidden="1" customWidth="1"/>
    <col min="10969" max="10969" width="11" style="61" customWidth="1"/>
    <col min="10970" max="10970" width="11.5703125" style="61" customWidth="1"/>
    <col min="10971" max="10971" width="11" style="61" customWidth="1"/>
    <col min="10972" max="10972" width="11.5703125" style="61" customWidth="1"/>
    <col min="10973" max="11220" width="9.140625" style="61"/>
    <col min="11221" max="11221" width="5.140625" style="61" customWidth="1"/>
    <col min="11222" max="11222" width="63.85546875" style="61" customWidth="1"/>
    <col min="11223" max="11224" width="0" style="61" hidden="1" customWidth="1"/>
    <col min="11225" max="11225" width="11" style="61" customWidth="1"/>
    <col min="11226" max="11226" width="11.5703125" style="61" customWidth="1"/>
    <col min="11227" max="11227" width="11" style="61" customWidth="1"/>
    <col min="11228" max="11228" width="11.5703125" style="61" customWidth="1"/>
    <col min="11229" max="11476" width="9.140625" style="61"/>
    <col min="11477" max="11477" width="5.140625" style="61" customWidth="1"/>
    <col min="11478" max="11478" width="63.85546875" style="61" customWidth="1"/>
    <col min="11479" max="11480" width="0" style="61" hidden="1" customWidth="1"/>
    <col min="11481" max="11481" width="11" style="61" customWidth="1"/>
    <col min="11482" max="11482" width="11.5703125" style="61" customWidth="1"/>
    <col min="11483" max="11483" width="11" style="61" customWidth="1"/>
    <col min="11484" max="11484" width="11.5703125" style="61" customWidth="1"/>
    <col min="11485" max="11732" width="9.140625" style="61"/>
    <col min="11733" max="11733" width="5.140625" style="61" customWidth="1"/>
    <col min="11734" max="11734" width="63.85546875" style="61" customWidth="1"/>
    <col min="11735" max="11736" width="0" style="61" hidden="1" customWidth="1"/>
    <col min="11737" max="11737" width="11" style="61" customWidth="1"/>
    <col min="11738" max="11738" width="11.5703125" style="61" customWidth="1"/>
    <col min="11739" max="11739" width="11" style="61" customWidth="1"/>
    <col min="11740" max="11740" width="11.5703125" style="61" customWidth="1"/>
    <col min="11741" max="11988" width="9.140625" style="61"/>
    <col min="11989" max="11989" width="5.140625" style="61" customWidth="1"/>
    <col min="11990" max="11990" width="63.85546875" style="61" customWidth="1"/>
    <col min="11991" max="11992" width="0" style="61" hidden="1" customWidth="1"/>
    <col min="11993" max="11993" width="11" style="61" customWidth="1"/>
    <col min="11994" max="11994" width="11.5703125" style="61" customWidth="1"/>
    <col min="11995" max="11995" width="11" style="61" customWidth="1"/>
    <col min="11996" max="11996" width="11.5703125" style="61" customWidth="1"/>
    <col min="11997" max="12244" width="9.140625" style="61"/>
    <col min="12245" max="12245" width="5.140625" style="61" customWidth="1"/>
    <col min="12246" max="12246" width="63.85546875" style="61" customWidth="1"/>
    <col min="12247" max="12248" width="0" style="61" hidden="1" customWidth="1"/>
    <col min="12249" max="12249" width="11" style="61" customWidth="1"/>
    <col min="12250" max="12250" width="11.5703125" style="61" customWidth="1"/>
    <col min="12251" max="12251" width="11" style="61" customWidth="1"/>
    <col min="12252" max="12252" width="11.5703125" style="61" customWidth="1"/>
    <col min="12253" max="12500" width="9.140625" style="61"/>
    <col min="12501" max="12501" width="5.140625" style="61" customWidth="1"/>
    <col min="12502" max="12502" width="63.85546875" style="61" customWidth="1"/>
    <col min="12503" max="12504" width="0" style="61" hidden="1" customWidth="1"/>
    <col min="12505" max="12505" width="11" style="61" customWidth="1"/>
    <col min="12506" max="12506" width="11.5703125" style="61" customWidth="1"/>
    <col min="12507" max="12507" width="11" style="61" customWidth="1"/>
    <col min="12508" max="12508" width="11.5703125" style="61" customWidth="1"/>
    <col min="12509" max="12756" width="9.140625" style="61"/>
    <col min="12757" max="12757" width="5.140625" style="61" customWidth="1"/>
    <col min="12758" max="12758" width="63.85546875" style="61" customWidth="1"/>
    <col min="12759" max="12760" width="0" style="61" hidden="1" customWidth="1"/>
    <col min="12761" max="12761" width="11" style="61" customWidth="1"/>
    <col min="12762" max="12762" width="11.5703125" style="61" customWidth="1"/>
    <col min="12763" max="12763" width="11" style="61" customWidth="1"/>
    <col min="12764" max="12764" width="11.5703125" style="61" customWidth="1"/>
    <col min="12765" max="13012" width="9.140625" style="61"/>
    <col min="13013" max="13013" width="5.140625" style="61" customWidth="1"/>
    <col min="13014" max="13014" width="63.85546875" style="61" customWidth="1"/>
    <col min="13015" max="13016" width="0" style="61" hidden="1" customWidth="1"/>
    <col min="13017" max="13017" width="11" style="61" customWidth="1"/>
    <col min="13018" max="13018" width="11.5703125" style="61" customWidth="1"/>
    <col min="13019" max="13019" width="11" style="61" customWidth="1"/>
    <col min="13020" max="13020" width="11.5703125" style="61" customWidth="1"/>
    <col min="13021" max="13268" width="9.140625" style="61"/>
    <col min="13269" max="13269" width="5.140625" style="61" customWidth="1"/>
    <col min="13270" max="13270" width="63.85546875" style="61" customWidth="1"/>
    <col min="13271" max="13272" width="0" style="61" hidden="1" customWidth="1"/>
    <col min="13273" max="13273" width="11" style="61" customWidth="1"/>
    <col min="13274" max="13274" width="11.5703125" style="61" customWidth="1"/>
    <col min="13275" max="13275" width="11" style="61" customWidth="1"/>
    <col min="13276" max="13276" width="11.5703125" style="61" customWidth="1"/>
    <col min="13277" max="13524" width="9.140625" style="61"/>
    <col min="13525" max="13525" width="5.140625" style="61" customWidth="1"/>
    <col min="13526" max="13526" width="63.85546875" style="61" customWidth="1"/>
    <col min="13527" max="13528" width="0" style="61" hidden="1" customWidth="1"/>
    <col min="13529" max="13529" width="11" style="61" customWidth="1"/>
    <col min="13530" max="13530" width="11.5703125" style="61" customWidth="1"/>
    <col min="13531" max="13531" width="11" style="61" customWidth="1"/>
    <col min="13532" max="13532" width="11.5703125" style="61" customWidth="1"/>
    <col min="13533" max="13780" width="9.140625" style="61"/>
    <col min="13781" max="13781" width="5.140625" style="61" customWidth="1"/>
    <col min="13782" max="13782" width="63.85546875" style="61" customWidth="1"/>
    <col min="13783" max="13784" width="0" style="61" hidden="1" customWidth="1"/>
    <col min="13785" max="13785" width="11" style="61" customWidth="1"/>
    <col min="13786" max="13786" width="11.5703125" style="61" customWidth="1"/>
    <col min="13787" max="13787" width="11" style="61" customWidth="1"/>
    <col min="13788" max="13788" width="11.5703125" style="61" customWidth="1"/>
    <col min="13789" max="14036" width="9.140625" style="61"/>
    <col min="14037" max="14037" width="5.140625" style="61" customWidth="1"/>
    <col min="14038" max="14038" width="63.85546875" style="61" customWidth="1"/>
    <col min="14039" max="14040" width="0" style="61" hidden="1" customWidth="1"/>
    <col min="14041" max="14041" width="11" style="61" customWidth="1"/>
    <col min="14042" max="14042" width="11.5703125" style="61" customWidth="1"/>
    <col min="14043" max="14043" width="11" style="61" customWidth="1"/>
    <col min="14044" max="14044" width="11.5703125" style="61" customWidth="1"/>
    <col min="14045" max="14292" width="9.140625" style="61"/>
    <col min="14293" max="14293" width="5.140625" style="61" customWidth="1"/>
    <col min="14294" max="14294" width="63.85546875" style="61" customWidth="1"/>
    <col min="14295" max="14296" width="0" style="61" hidden="1" customWidth="1"/>
    <col min="14297" max="14297" width="11" style="61" customWidth="1"/>
    <col min="14298" max="14298" width="11.5703125" style="61" customWidth="1"/>
    <col min="14299" max="14299" width="11" style="61" customWidth="1"/>
    <col min="14300" max="14300" width="11.5703125" style="61" customWidth="1"/>
    <col min="14301" max="14548" width="9.140625" style="61"/>
    <col min="14549" max="14549" width="5.140625" style="61" customWidth="1"/>
    <col min="14550" max="14550" width="63.85546875" style="61" customWidth="1"/>
    <col min="14551" max="14552" width="0" style="61" hidden="1" customWidth="1"/>
    <col min="14553" max="14553" width="11" style="61" customWidth="1"/>
    <col min="14554" max="14554" width="11.5703125" style="61" customWidth="1"/>
    <col min="14555" max="14555" width="11" style="61" customWidth="1"/>
    <col min="14556" max="14556" width="11.5703125" style="61" customWidth="1"/>
    <col min="14557" max="14804" width="9.140625" style="61"/>
    <col min="14805" max="14805" width="5.140625" style="61" customWidth="1"/>
    <col min="14806" max="14806" width="63.85546875" style="61" customWidth="1"/>
    <col min="14807" max="14808" width="0" style="61" hidden="1" customWidth="1"/>
    <col min="14809" max="14809" width="11" style="61" customWidth="1"/>
    <col min="14810" max="14810" width="11.5703125" style="61" customWidth="1"/>
    <col min="14811" max="14811" width="11" style="61" customWidth="1"/>
    <col min="14812" max="14812" width="11.5703125" style="61" customWidth="1"/>
    <col min="14813" max="15060" width="9.140625" style="61"/>
    <col min="15061" max="15061" width="5.140625" style="61" customWidth="1"/>
    <col min="15062" max="15062" width="63.85546875" style="61" customWidth="1"/>
    <col min="15063" max="15064" width="0" style="61" hidden="1" customWidth="1"/>
    <col min="15065" max="15065" width="11" style="61" customWidth="1"/>
    <col min="15066" max="15066" width="11.5703125" style="61" customWidth="1"/>
    <col min="15067" max="15067" width="11" style="61" customWidth="1"/>
    <col min="15068" max="15068" width="11.5703125" style="61" customWidth="1"/>
    <col min="15069" max="15316" width="9.140625" style="61"/>
    <col min="15317" max="15317" width="5.140625" style="61" customWidth="1"/>
    <col min="15318" max="15318" width="63.85546875" style="61" customWidth="1"/>
    <col min="15319" max="15320" width="0" style="61" hidden="1" customWidth="1"/>
    <col min="15321" max="15321" width="11" style="61" customWidth="1"/>
    <col min="15322" max="15322" width="11.5703125" style="61" customWidth="1"/>
    <col min="15323" max="15323" width="11" style="61" customWidth="1"/>
    <col min="15324" max="15324" width="11.5703125" style="61" customWidth="1"/>
    <col min="15325" max="15572" width="9.140625" style="61"/>
    <col min="15573" max="15573" width="5.140625" style="61" customWidth="1"/>
    <col min="15574" max="15574" width="63.85546875" style="61" customWidth="1"/>
    <col min="15575" max="15576" width="0" style="61" hidden="1" customWidth="1"/>
    <col min="15577" max="15577" width="11" style="61" customWidth="1"/>
    <col min="15578" max="15578" width="11.5703125" style="61" customWidth="1"/>
    <col min="15579" max="15579" width="11" style="61" customWidth="1"/>
    <col min="15580" max="15580" width="11.5703125" style="61" customWidth="1"/>
    <col min="15581" max="15828" width="9.140625" style="61"/>
    <col min="15829" max="15829" width="5.140625" style="61" customWidth="1"/>
    <col min="15830" max="15830" width="63.85546875" style="61" customWidth="1"/>
    <col min="15831" max="15832" width="0" style="61" hidden="1" customWidth="1"/>
    <col min="15833" max="15833" width="11" style="61" customWidth="1"/>
    <col min="15834" max="15834" width="11.5703125" style="61" customWidth="1"/>
    <col min="15835" max="15835" width="11" style="61" customWidth="1"/>
    <col min="15836" max="15836" width="11.5703125" style="61" customWidth="1"/>
    <col min="15837" max="16084" width="9.140625" style="61"/>
    <col min="16085" max="16085" width="5.140625" style="61" customWidth="1"/>
    <col min="16086" max="16086" width="63.85546875" style="61" customWidth="1"/>
    <col min="16087" max="16088" width="0" style="61" hidden="1" customWidth="1"/>
    <col min="16089" max="16089" width="11" style="61" customWidth="1"/>
    <col min="16090" max="16090" width="11.5703125" style="61" customWidth="1"/>
    <col min="16091" max="16091" width="11" style="61" customWidth="1"/>
    <col min="16092" max="16092" width="11.5703125" style="61" customWidth="1"/>
    <col min="16093" max="16384" width="9.140625" style="61"/>
  </cols>
  <sheetData>
    <row r="1" spans="1:15" s="50" customFormat="1" x14ac:dyDescent="0.2">
      <c r="A1" s="49"/>
      <c r="C1" s="109"/>
      <c r="D1" s="109"/>
      <c r="E1" s="109" t="s">
        <v>237</v>
      </c>
      <c r="F1" s="109"/>
      <c r="G1" s="51"/>
      <c r="H1" s="51"/>
      <c r="I1" s="51"/>
      <c r="J1" s="51"/>
      <c r="K1" s="51"/>
      <c r="L1" s="51"/>
      <c r="M1" s="51"/>
      <c r="N1" s="51"/>
      <c r="O1" s="51"/>
    </row>
    <row r="2" spans="1:15" s="56" customFormat="1" x14ac:dyDescent="0.2">
      <c r="A2" s="52"/>
      <c r="B2" s="53"/>
      <c r="C2" s="53"/>
      <c r="D2" s="54"/>
      <c r="E2" s="53"/>
      <c r="F2" s="54"/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">
      <c r="A3" s="57" t="s">
        <v>238</v>
      </c>
      <c r="B3" s="57"/>
      <c r="C3" s="58"/>
      <c r="D3" s="59"/>
      <c r="E3" s="58"/>
      <c r="F3" s="59"/>
    </row>
    <row r="4" spans="1:15" x14ac:dyDescent="0.2">
      <c r="A4" s="57"/>
      <c r="B4" s="62"/>
      <c r="C4" s="63"/>
      <c r="D4" s="64"/>
      <c r="E4" s="63"/>
      <c r="F4" s="64"/>
    </row>
    <row r="5" spans="1:15" x14ac:dyDescent="0.2">
      <c r="A5" s="57" t="s">
        <v>239</v>
      </c>
      <c r="B5" s="57"/>
      <c r="C5" s="58"/>
      <c r="D5" s="59"/>
      <c r="E5" s="58"/>
      <c r="F5" s="59"/>
    </row>
    <row r="6" spans="1:15" x14ac:dyDescent="0.2">
      <c r="A6" s="57" t="s">
        <v>240</v>
      </c>
      <c r="B6" s="57"/>
      <c r="C6" s="58"/>
      <c r="D6" s="59"/>
      <c r="E6" s="58"/>
      <c r="F6" s="59"/>
    </row>
    <row r="7" spans="1:15" x14ac:dyDescent="0.2">
      <c r="A7" s="65"/>
      <c r="B7" s="66"/>
      <c r="C7" s="67"/>
      <c r="D7" s="67"/>
      <c r="E7" s="67"/>
      <c r="F7" s="67"/>
    </row>
    <row r="8" spans="1:15" ht="15" customHeight="1" x14ac:dyDescent="0.2">
      <c r="A8" s="65"/>
      <c r="B8" s="66"/>
      <c r="C8" s="68"/>
      <c r="D8" s="68"/>
      <c r="E8" s="68"/>
      <c r="F8" s="68"/>
    </row>
    <row r="9" spans="1:15" s="71" customFormat="1" ht="21.75" customHeight="1" x14ac:dyDescent="0.2">
      <c r="A9" s="69" t="s">
        <v>241</v>
      </c>
      <c r="B9" s="69" t="s">
        <v>242</v>
      </c>
      <c r="C9" s="110" t="s">
        <v>243</v>
      </c>
      <c r="D9" s="111"/>
      <c r="E9" s="110" t="s">
        <v>244</v>
      </c>
      <c r="F9" s="111"/>
      <c r="G9" s="70"/>
      <c r="H9" s="70"/>
      <c r="I9" s="70"/>
      <c r="J9" s="70"/>
      <c r="K9" s="70"/>
      <c r="L9" s="70"/>
      <c r="M9" s="70"/>
      <c r="N9" s="70"/>
      <c r="O9" s="70"/>
    </row>
    <row r="10" spans="1:15" s="76" customFormat="1" ht="60" customHeight="1" x14ac:dyDescent="0.2">
      <c r="A10" s="72"/>
      <c r="B10" s="73"/>
      <c r="C10" s="74" t="s">
        <v>245</v>
      </c>
      <c r="D10" s="74" t="s">
        <v>246</v>
      </c>
      <c r="E10" s="74" t="s">
        <v>245</v>
      </c>
      <c r="F10" s="74" t="s">
        <v>246</v>
      </c>
      <c r="G10" s="75"/>
      <c r="H10" s="75"/>
      <c r="I10" s="75"/>
      <c r="J10" s="75"/>
      <c r="K10" s="75"/>
      <c r="L10" s="75"/>
      <c r="M10" s="75"/>
      <c r="N10" s="75"/>
      <c r="O10" s="75"/>
    </row>
    <row r="11" spans="1:15" x14ac:dyDescent="0.2">
      <c r="A11" s="77"/>
      <c r="B11" s="78"/>
      <c r="C11" s="79"/>
      <c r="D11" s="79"/>
      <c r="E11" s="79"/>
      <c r="F11" s="79"/>
    </row>
    <row r="12" spans="1:15" s="76" customFormat="1" x14ac:dyDescent="0.2">
      <c r="A12" s="72"/>
      <c r="B12" s="80" t="s">
        <v>247</v>
      </c>
      <c r="C12" s="81"/>
      <c r="D12" s="81"/>
      <c r="E12" s="81"/>
      <c r="F12" s="81"/>
      <c r="G12" s="75"/>
      <c r="H12" s="75"/>
      <c r="I12" s="75"/>
      <c r="J12" s="75"/>
      <c r="K12" s="75"/>
      <c r="L12" s="75"/>
      <c r="M12" s="75"/>
      <c r="N12" s="75"/>
      <c r="O12" s="75"/>
    </row>
    <row r="13" spans="1:15" x14ac:dyDescent="0.2">
      <c r="A13" s="77"/>
      <c r="B13" s="82"/>
      <c r="C13" s="79"/>
      <c r="D13" s="79"/>
      <c r="E13" s="79"/>
      <c r="F13" s="79"/>
    </row>
    <row r="14" spans="1:15" s="76" customFormat="1" x14ac:dyDescent="0.2">
      <c r="A14" s="72" t="s">
        <v>248</v>
      </c>
      <c r="B14" s="80" t="s">
        <v>249</v>
      </c>
      <c r="C14" s="81">
        <f>221+44+4+5</f>
        <v>274</v>
      </c>
      <c r="D14" s="81">
        <f>(3354802+1344610+44964)/12</f>
        <v>395364.66666666669</v>
      </c>
      <c r="E14" s="81">
        <f>221+44+4+5</f>
        <v>274</v>
      </c>
      <c r="F14" s="81">
        <f>(3354802+1344610+44964)/12</f>
        <v>395364.66666666669</v>
      </c>
      <c r="G14" s="75">
        <f>D14*12</f>
        <v>4744376</v>
      </c>
      <c r="H14" s="75"/>
      <c r="I14" s="75"/>
      <c r="J14" s="75"/>
      <c r="K14" s="75"/>
      <c r="L14" s="75"/>
      <c r="M14" s="75"/>
      <c r="N14" s="75"/>
      <c r="O14" s="75"/>
    </row>
    <row r="15" spans="1:15" x14ac:dyDescent="0.2">
      <c r="A15" s="77"/>
      <c r="B15" s="82" t="s">
        <v>250</v>
      </c>
      <c r="C15" s="79"/>
      <c r="D15" s="79"/>
      <c r="E15" s="79"/>
      <c r="F15" s="79"/>
      <c r="G15" s="75"/>
    </row>
    <row r="16" spans="1:15" x14ac:dyDescent="0.2">
      <c r="A16" s="77"/>
      <c r="B16" s="82" t="s">
        <v>251</v>
      </c>
      <c r="C16" s="79">
        <f>5</f>
        <v>5</v>
      </c>
      <c r="D16" s="79">
        <f>(34008+10956)/12</f>
        <v>3747</v>
      </c>
      <c r="E16" s="79">
        <f>5</f>
        <v>5</v>
      </c>
      <c r="F16" s="79">
        <f>(34008+10956)/12</f>
        <v>3747</v>
      </c>
      <c r="G16" s="75">
        <f>D16*12</f>
        <v>44964</v>
      </c>
    </row>
    <row r="17" spans="1:15" x14ac:dyDescent="0.2">
      <c r="A17" s="77"/>
      <c r="B17" s="82"/>
      <c r="C17" s="79"/>
      <c r="D17" s="79"/>
      <c r="E17" s="79"/>
      <c r="F17" s="79"/>
      <c r="G17" s="75"/>
    </row>
    <row r="18" spans="1:15" s="76" customFormat="1" x14ac:dyDescent="0.2">
      <c r="A18" s="72" t="s">
        <v>252</v>
      </c>
      <c r="B18" s="80" t="s">
        <v>253</v>
      </c>
      <c r="C18" s="81">
        <f>1+5+6</f>
        <v>12</v>
      </c>
      <c r="D18" s="81">
        <f>(14764+48543+72689)/12</f>
        <v>11333</v>
      </c>
      <c r="E18" s="81">
        <f>1+5+6</f>
        <v>12</v>
      </c>
      <c r="F18" s="81">
        <f>(14764+48543+72689)/12</f>
        <v>11333</v>
      </c>
      <c r="G18" s="75">
        <f>D18*12</f>
        <v>135996</v>
      </c>
      <c r="H18" s="75"/>
      <c r="I18" s="75"/>
      <c r="J18" s="75"/>
      <c r="K18" s="75"/>
      <c r="L18" s="75"/>
      <c r="M18" s="75"/>
      <c r="N18" s="75"/>
      <c r="O18" s="75"/>
    </row>
    <row r="19" spans="1:15" x14ac:dyDescent="0.2">
      <c r="A19" s="77"/>
      <c r="B19" s="82" t="s">
        <v>250</v>
      </c>
      <c r="C19" s="79"/>
      <c r="D19" s="79"/>
      <c r="E19" s="79"/>
      <c r="F19" s="79"/>
      <c r="G19" s="75"/>
    </row>
    <row r="20" spans="1:15" x14ac:dyDescent="0.2">
      <c r="A20" s="77"/>
      <c r="B20" s="82" t="s">
        <v>254</v>
      </c>
      <c r="C20" s="79">
        <v>6</v>
      </c>
      <c r="D20" s="79">
        <f>72689/12</f>
        <v>6057.416666666667</v>
      </c>
      <c r="E20" s="79">
        <v>6</v>
      </c>
      <c r="F20" s="79">
        <f>72689/12</f>
        <v>6057.416666666667</v>
      </c>
      <c r="G20" s="75">
        <f>D20*12</f>
        <v>72689</v>
      </c>
      <c r="L20" s="60">
        <v>1224194</v>
      </c>
    </row>
    <row r="21" spans="1:15" x14ac:dyDescent="0.2">
      <c r="A21" s="77"/>
      <c r="B21" s="82"/>
      <c r="C21" s="79"/>
      <c r="D21" s="79"/>
      <c r="E21" s="79"/>
      <c r="F21" s="79"/>
      <c r="G21" s="75"/>
      <c r="L21" s="60">
        <v>430804</v>
      </c>
    </row>
    <row r="22" spans="1:15" s="76" customFormat="1" x14ac:dyDescent="0.2">
      <c r="A22" s="72" t="s">
        <v>255</v>
      </c>
      <c r="B22" s="80" t="s">
        <v>256</v>
      </c>
      <c r="C22" s="81">
        <f>C24+C25+C26</f>
        <v>237</v>
      </c>
      <c r="D22" s="81">
        <f>D24+D25+D26</f>
        <v>289796.25000000006</v>
      </c>
      <c r="E22" s="81">
        <f>E24+E25+E26</f>
        <v>237</v>
      </c>
      <c r="F22" s="81">
        <f>F24+F25+F26</f>
        <v>289796.25000000006</v>
      </c>
      <c r="G22" s="75">
        <f>D22*12</f>
        <v>3477555.0000000009</v>
      </c>
      <c r="H22" s="75"/>
      <c r="I22" s="75"/>
      <c r="J22" s="75"/>
      <c r="K22" s="75"/>
      <c r="L22" s="75">
        <v>54158</v>
      </c>
      <c r="M22" s="75"/>
      <c r="N22" s="75"/>
      <c r="O22" s="75"/>
    </row>
    <row r="23" spans="1:15" x14ac:dyDescent="0.2">
      <c r="A23" s="77"/>
      <c r="B23" s="82" t="s">
        <v>250</v>
      </c>
      <c r="C23" s="79"/>
      <c r="D23" s="79"/>
      <c r="E23" s="79"/>
      <c r="F23" s="79"/>
      <c r="G23" s="75"/>
      <c r="L23" s="60">
        <v>1056590</v>
      </c>
    </row>
    <row r="24" spans="1:15" x14ac:dyDescent="0.2">
      <c r="A24" s="77">
        <v>1</v>
      </c>
      <c r="B24" s="82" t="s">
        <v>257</v>
      </c>
      <c r="C24" s="79">
        <f>153+23</f>
        <v>176</v>
      </c>
      <c r="D24" s="79">
        <f>2426566/12</f>
        <v>202213.83333333334</v>
      </c>
      <c r="E24" s="79">
        <f>153+23</f>
        <v>176</v>
      </c>
      <c r="F24" s="79">
        <f>2426566/12</f>
        <v>202213.83333333334</v>
      </c>
      <c r="G24" s="75">
        <f>D24*12</f>
        <v>2426566</v>
      </c>
      <c r="L24" s="60">
        <v>997634</v>
      </c>
    </row>
    <row r="25" spans="1:15" x14ac:dyDescent="0.2">
      <c r="A25" s="77">
        <v>2</v>
      </c>
      <c r="B25" s="82" t="s">
        <v>258</v>
      </c>
      <c r="C25" s="79">
        <v>52</v>
      </c>
      <c r="D25" s="79">
        <f>931476/12</f>
        <v>77623</v>
      </c>
      <c r="E25" s="79">
        <v>52</v>
      </c>
      <c r="F25" s="79">
        <f>931476/12</f>
        <v>77623</v>
      </c>
      <c r="G25" s="75">
        <f>D25*12</f>
        <v>931476</v>
      </c>
    </row>
    <row r="26" spans="1:15" x14ac:dyDescent="0.2">
      <c r="A26" s="77">
        <v>3</v>
      </c>
      <c r="B26" s="82" t="s">
        <v>259</v>
      </c>
      <c r="C26" s="79">
        <f>2+7</f>
        <v>9</v>
      </c>
      <c r="D26" s="79">
        <f>119513/12</f>
        <v>9959.4166666666661</v>
      </c>
      <c r="E26" s="79">
        <f>2+7</f>
        <v>9</v>
      </c>
      <c r="F26" s="79">
        <f>119513/12</f>
        <v>9959.4166666666661</v>
      </c>
      <c r="G26" s="75">
        <f>D26*12</f>
        <v>119513</v>
      </c>
    </row>
    <row r="27" spans="1:15" x14ac:dyDescent="0.2">
      <c r="A27" s="77"/>
      <c r="B27" s="82"/>
      <c r="C27" s="79"/>
      <c r="D27" s="79"/>
      <c r="E27" s="79"/>
      <c r="F27" s="79"/>
      <c r="G27" s="75"/>
    </row>
    <row r="28" spans="1:15" s="76" customFormat="1" ht="24" x14ac:dyDescent="0.2">
      <c r="A28" s="72" t="s">
        <v>260</v>
      </c>
      <c r="B28" s="80" t="s">
        <v>261</v>
      </c>
      <c r="C28" s="83">
        <f>75.5+32+4+72+62.5+69+17+15+13.5+4</f>
        <v>364.5</v>
      </c>
      <c r="D28" s="81">
        <f>(1224194+430804+54158+1056590+997634+798392+280664+254460+229080)/12+4901</f>
        <v>448732.33333333331</v>
      </c>
      <c r="E28" s="83">
        <f>75.5+32+4+72+62.5+69+17+15+13.5+4</f>
        <v>364.5</v>
      </c>
      <c r="F28" s="81">
        <f>(1224194+430804+54158+1056590+997634+798392+280664+254460+229080)/12+4901</f>
        <v>448732.33333333331</v>
      </c>
      <c r="G28" s="75">
        <f>D28*12</f>
        <v>5384788</v>
      </c>
      <c r="H28" s="75"/>
      <c r="I28" s="75"/>
      <c r="J28" s="75"/>
      <c r="K28" s="75"/>
      <c r="L28" s="75"/>
      <c r="M28" s="75"/>
      <c r="N28" s="75"/>
      <c r="O28" s="75"/>
    </row>
    <row r="29" spans="1:15" x14ac:dyDescent="0.2">
      <c r="A29" s="77"/>
      <c r="B29" s="82"/>
      <c r="C29" s="79"/>
      <c r="D29" s="79"/>
      <c r="E29" s="79"/>
      <c r="F29" s="79"/>
      <c r="G29" s="75"/>
    </row>
    <row r="30" spans="1:15" s="76" customFormat="1" ht="30.75" customHeight="1" x14ac:dyDescent="0.2">
      <c r="A30" s="72" t="s">
        <v>262</v>
      </c>
      <c r="B30" s="80" t="s">
        <v>263</v>
      </c>
      <c r="C30" s="81">
        <f>127+13+50</f>
        <v>190</v>
      </c>
      <c r="D30" s="81">
        <f>(1912621+758038)/12</f>
        <v>222554.91666666666</v>
      </c>
      <c r="E30" s="81">
        <f>127+13+50</f>
        <v>190</v>
      </c>
      <c r="F30" s="81">
        <f>(1912621+758038)/12</f>
        <v>222554.91666666666</v>
      </c>
      <c r="G30" s="75">
        <f>D30*12</f>
        <v>2670659</v>
      </c>
      <c r="H30" s="75"/>
      <c r="I30" s="75"/>
      <c r="J30" s="75"/>
      <c r="K30" s="75"/>
      <c r="L30" s="75"/>
      <c r="M30" s="75"/>
      <c r="N30" s="75"/>
      <c r="O30" s="75"/>
    </row>
    <row r="31" spans="1:15" x14ac:dyDescent="0.2">
      <c r="A31" s="77"/>
      <c r="B31" s="82"/>
      <c r="C31" s="79"/>
      <c r="D31" s="79"/>
      <c r="E31" s="79"/>
      <c r="F31" s="79"/>
      <c r="G31" s="75"/>
    </row>
    <row r="32" spans="1:15" x14ac:dyDescent="0.2">
      <c r="A32" s="77"/>
      <c r="B32" s="82"/>
      <c r="C32" s="79"/>
      <c r="D32" s="79"/>
      <c r="E32" s="79"/>
      <c r="F32" s="79"/>
      <c r="G32" s="75"/>
    </row>
    <row r="33" spans="1:15" s="76" customFormat="1" x14ac:dyDescent="0.2">
      <c r="A33" s="72"/>
      <c r="B33" s="80" t="s">
        <v>264</v>
      </c>
      <c r="C33" s="81"/>
      <c r="D33" s="81"/>
      <c r="E33" s="81"/>
      <c r="F33" s="81"/>
      <c r="G33" s="75"/>
      <c r="H33" s="75"/>
      <c r="I33" s="75"/>
      <c r="J33" s="75"/>
      <c r="K33" s="75"/>
      <c r="L33" s="75"/>
      <c r="M33" s="75"/>
      <c r="N33" s="75"/>
      <c r="O33" s="75"/>
    </row>
    <row r="34" spans="1:15" s="76" customFormat="1" x14ac:dyDescent="0.2">
      <c r="A34" s="72" t="s">
        <v>248</v>
      </c>
      <c r="B34" s="80" t="s">
        <v>249</v>
      </c>
      <c r="C34" s="81">
        <f>1+4+36</f>
        <v>41</v>
      </c>
      <c r="D34" s="81">
        <f>457006/12</f>
        <v>38083.833333333336</v>
      </c>
      <c r="E34" s="81">
        <f>1+4+36</f>
        <v>41</v>
      </c>
      <c r="F34" s="81">
        <f>457006/12</f>
        <v>38083.833333333336</v>
      </c>
      <c r="G34" s="75">
        <f>D34*12</f>
        <v>457006</v>
      </c>
      <c r="H34" s="75"/>
      <c r="I34" s="75"/>
      <c r="J34" s="75"/>
      <c r="K34" s="75"/>
      <c r="L34" s="75"/>
      <c r="M34" s="75"/>
      <c r="N34" s="75"/>
      <c r="O34" s="75"/>
    </row>
    <row r="35" spans="1:15" x14ac:dyDescent="0.2">
      <c r="A35" s="77"/>
      <c r="B35" s="82" t="s">
        <v>265</v>
      </c>
      <c r="C35" s="79"/>
      <c r="D35" s="79"/>
      <c r="E35" s="79"/>
      <c r="F35" s="79"/>
      <c r="G35" s="75"/>
    </row>
    <row r="36" spans="1:15" x14ac:dyDescent="0.2">
      <c r="A36" s="77"/>
      <c r="B36" s="82" t="s">
        <v>266</v>
      </c>
      <c r="C36" s="79">
        <v>37</v>
      </c>
      <c r="D36" s="79">
        <f>(74905+322094)/12</f>
        <v>33083.25</v>
      </c>
      <c r="E36" s="79">
        <v>37</v>
      </c>
      <c r="F36" s="79">
        <f>(74905+322094)/12</f>
        <v>33083.25</v>
      </c>
      <c r="G36" s="75">
        <f>D36*12</f>
        <v>396999</v>
      </c>
    </row>
    <row r="37" spans="1:15" s="76" customFormat="1" x14ac:dyDescent="0.2">
      <c r="A37" s="72" t="s">
        <v>267</v>
      </c>
      <c r="B37" s="80" t="s">
        <v>268</v>
      </c>
      <c r="C37" s="81">
        <f>19+1</f>
        <v>20</v>
      </c>
      <c r="D37" s="81">
        <f>(147536+138640)/12</f>
        <v>23848</v>
      </c>
      <c r="E37" s="81">
        <f>19+1</f>
        <v>20</v>
      </c>
      <c r="F37" s="81">
        <f>(147536+138640)/12</f>
        <v>23848</v>
      </c>
      <c r="G37" s="75">
        <f>D37*12</f>
        <v>286176</v>
      </c>
      <c r="H37" s="75"/>
      <c r="I37" s="75"/>
      <c r="J37" s="75"/>
      <c r="K37" s="75"/>
      <c r="L37" s="75"/>
      <c r="M37" s="75"/>
      <c r="N37" s="75"/>
      <c r="O37" s="75"/>
    </row>
    <row r="38" spans="1:15" s="76" customFormat="1" ht="24" x14ac:dyDescent="0.2">
      <c r="A38" s="72" t="s">
        <v>269</v>
      </c>
      <c r="B38" s="80" t="s">
        <v>261</v>
      </c>
      <c r="C38" s="81">
        <f>50+55+16</f>
        <v>121</v>
      </c>
      <c r="D38" s="81">
        <f>(611290+560824+255829)/12</f>
        <v>118995.25</v>
      </c>
      <c r="E38" s="81">
        <f>50+55+16</f>
        <v>121</v>
      </c>
      <c r="F38" s="81">
        <f>(611290+560824+255829)/12</f>
        <v>118995.25</v>
      </c>
      <c r="G38" s="75">
        <f>D38*12</f>
        <v>1427943</v>
      </c>
      <c r="H38" s="75"/>
      <c r="I38" s="75"/>
      <c r="J38" s="75"/>
      <c r="K38" s="75"/>
      <c r="L38" s="75"/>
      <c r="M38" s="75"/>
      <c r="N38" s="75"/>
      <c r="O38" s="75"/>
    </row>
    <row r="39" spans="1:15" s="76" customFormat="1" x14ac:dyDescent="0.2">
      <c r="A39" s="72"/>
      <c r="B39" s="80"/>
      <c r="C39" s="81"/>
      <c r="D39" s="81"/>
      <c r="E39" s="81"/>
      <c r="F39" s="81"/>
      <c r="G39" s="75"/>
      <c r="H39" s="75"/>
      <c r="I39" s="75"/>
      <c r="J39" s="75"/>
      <c r="K39" s="75"/>
      <c r="L39" s="75"/>
      <c r="M39" s="75"/>
      <c r="N39" s="75"/>
      <c r="O39" s="75"/>
    </row>
    <row r="40" spans="1:15" s="76" customFormat="1" ht="24" x14ac:dyDescent="0.2">
      <c r="A40" s="72" t="s">
        <v>260</v>
      </c>
      <c r="B40" s="80" t="s">
        <v>270</v>
      </c>
      <c r="C40" s="81">
        <f>192+45+5+20+2+1</f>
        <v>265</v>
      </c>
      <c r="D40" s="81">
        <f>(1985675+459859+55616+212567+19002+9927)/12</f>
        <v>228553.83333333334</v>
      </c>
      <c r="E40" s="81">
        <f>192+45+5+20+2+1+10</f>
        <v>275</v>
      </c>
      <c r="F40" s="81">
        <f>(1985675+459859+55616+212567+19002+9927)/12+11024</f>
        <v>239577.83333333334</v>
      </c>
      <c r="G40" s="75">
        <f>D40*12</f>
        <v>2742646</v>
      </c>
      <c r="H40" s="75"/>
      <c r="I40" s="75"/>
      <c r="J40" s="75"/>
      <c r="K40" s="75"/>
      <c r="L40" s="75"/>
      <c r="M40" s="75"/>
      <c r="N40" s="75"/>
      <c r="O40" s="75"/>
    </row>
    <row r="41" spans="1:15" x14ac:dyDescent="0.2">
      <c r="A41" s="77"/>
      <c r="B41" s="82"/>
      <c r="C41" s="79"/>
      <c r="D41" s="79"/>
      <c r="E41" s="79"/>
      <c r="F41" s="79"/>
      <c r="G41" s="75"/>
    </row>
    <row r="42" spans="1:15" s="76" customFormat="1" ht="24" x14ac:dyDescent="0.2">
      <c r="A42" s="72" t="s">
        <v>262</v>
      </c>
      <c r="B42" s="80" t="s">
        <v>271</v>
      </c>
      <c r="C42" s="81">
        <f>SUM(C44,C48)</f>
        <v>110</v>
      </c>
      <c r="D42" s="81">
        <f>SUM(D44,D48)</f>
        <v>106965.16666666667</v>
      </c>
      <c r="E42" s="81">
        <f>SUM(E44,E48)</f>
        <v>110</v>
      </c>
      <c r="F42" s="81">
        <f>SUM(F44,F48)</f>
        <v>106965.16666666667</v>
      </c>
      <c r="G42" s="75">
        <f>D42*12</f>
        <v>1283582</v>
      </c>
      <c r="H42" s="75"/>
      <c r="I42" s="75"/>
      <c r="J42" s="75"/>
      <c r="K42" s="75"/>
      <c r="L42" s="75"/>
      <c r="M42" s="75"/>
      <c r="N42" s="75"/>
      <c r="O42" s="75"/>
    </row>
    <row r="43" spans="1:15" x14ac:dyDescent="0.2">
      <c r="A43" s="77"/>
      <c r="B43" s="82"/>
      <c r="C43" s="79"/>
      <c r="D43" s="79"/>
      <c r="E43" s="79"/>
      <c r="F43" s="79"/>
      <c r="G43" s="75"/>
    </row>
    <row r="44" spans="1:15" x14ac:dyDescent="0.2">
      <c r="A44" s="77">
        <v>1</v>
      </c>
      <c r="B44" s="82" t="s">
        <v>272</v>
      </c>
      <c r="C44" s="79">
        <f>SUM(C45:C47)</f>
        <v>27</v>
      </c>
      <c r="D44" s="79">
        <f>SUM(D45:D47)</f>
        <v>28801.166666666668</v>
      </c>
      <c r="E44" s="79">
        <f>SUM(E45:E47)</f>
        <v>27</v>
      </c>
      <c r="F44" s="79">
        <f>SUM(F45:F47)</f>
        <v>28801.166666666668</v>
      </c>
      <c r="G44" s="75">
        <f t="shared" ref="G44:G52" si="0">D44*12</f>
        <v>345614</v>
      </c>
    </row>
    <row r="45" spans="1:15" x14ac:dyDescent="0.2">
      <c r="A45" s="77" t="s">
        <v>273</v>
      </c>
      <c r="B45" s="82" t="s">
        <v>274</v>
      </c>
      <c r="C45" s="79">
        <v>7</v>
      </c>
      <c r="D45" s="79">
        <f>88334/12</f>
        <v>7361.166666666667</v>
      </c>
      <c r="E45" s="79">
        <v>7</v>
      </c>
      <c r="F45" s="79">
        <f>88334/12</f>
        <v>7361.166666666667</v>
      </c>
      <c r="G45" s="75">
        <f t="shared" si="0"/>
        <v>88334</v>
      </c>
    </row>
    <row r="46" spans="1:15" x14ac:dyDescent="0.2">
      <c r="A46" s="77" t="s">
        <v>275</v>
      </c>
      <c r="B46" s="82" t="s">
        <v>276</v>
      </c>
      <c r="C46" s="79">
        <v>18</v>
      </c>
      <c r="D46" s="79">
        <f>235000/12</f>
        <v>19583.333333333332</v>
      </c>
      <c r="E46" s="79">
        <v>18</v>
      </c>
      <c r="F46" s="79">
        <f>235000/12</f>
        <v>19583.333333333332</v>
      </c>
      <c r="G46" s="75">
        <f t="shared" si="0"/>
        <v>235000</v>
      </c>
    </row>
    <row r="47" spans="1:15" x14ac:dyDescent="0.2">
      <c r="A47" s="77" t="s">
        <v>277</v>
      </c>
      <c r="B47" s="82" t="s">
        <v>278</v>
      </c>
      <c r="C47" s="79">
        <v>2</v>
      </c>
      <c r="D47" s="79">
        <f>22280/12</f>
        <v>1856.6666666666667</v>
      </c>
      <c r="E47" s="79">
        <v>2</v>
      </c>
      <c r="F47" s="79">
        <f>22280/12</f>
        <v>1856.6666666666667</v>
      </c>
      <c r="G47" s="75">
        <f t="shared" si="0"/>
        <v>22280</v>
      </c>
    </row>
    <row r="48" spans="1:15" x14ac:dyDescent="0.2">
      <c r="A48" s="77">
        <v>2</v>
      </c>
      <c r="B48" s="82" t="s">
        <v>279</v>
      </c>
      <c r="C48" s="79">
        <f>SUM(C49:C52)</f>
        <v>83</v>
      </c>
      <c r="D48" s="79">
        <f>SUM(D49:D52)</f>
        <v>78164</v>
      </c>
      <c r="E48" s="79">
        <f>SUM(E49:E52)</f>
        <v>83</v>
      </c>
      <c r="F48" s="79">
        <f>SUM(F49:F52)</f>
        <v>78164</v>
      </c>
      <c r="G48" s="75">
        <f t="shared" si="0"/>
        <v>937968</v>
      </c>
    </row>
    <row r="49" spans="1:15" x14ac:dyDescent="0.2">
      <c r="A49" s="77" t="s">
        <v>280</v>
      </c>
      <c r="B49" s="82" t="s">
        <v>281</v>
      </c>
      <c r="C49" s="79">
        <v>28</v>
      </c>
      <c r="D49" s="79">
        <f>290130/12</f>
        <v>24177.5</v>
      </c>
      <c r="E49" s="79">
        <v>28</v>
      </c>
      <c r="F49" s="79">
        <f>290130/12</f>
        <v>24177.5</v>
      </c>
      <c r="G49" s="75">
        <f t="shared" si="0"/>
        <v>290130</v>
      </c>
    </row>
    <row r="50" spans="1:15" x14ac:dyDescent="0.2">
      <c r="A50" s="77" t="s">
        <v>282</v>
      </c>
      <c r="B50" s="82" t="s">
        <v>283</v>
      </c>
      <c r="C50" s="79">
        <v>18</v>
      </c>
      <c r="D50" s="79">
        <f>205008/12</f>
        <v>17084</v>
      </c>
      <c r="E50" s="79">
        <v>18</v>
      </c>
      <c r="F50" s="79">
        <f>205008/12</f>
        <v>17084</v>
      </c>
      <c r="G50" s="75">
        <f t="shared" si="0"/>
        <v>205008</v>
      </c>
    </row>
    <row r="51" spans="1:15" x14ac:dyDescent="0.2">
      <c r="A51" s="77" t="s">
        <v>284</v>
      </c>
      <c r="B51" s="82" t="s">
        <v>285</v>
      </c>
      <c r="C51" s="79">
        <v>19</v>
      </c>
      <c r="D51" s="79">
        <f>234700/12</f>
        <v>19558.333333333332</v>
      </c>
      <c r="E51" s="79">
        <v>19</v>
      </c>
      <c r="F51" s="79">
        <f>234700/12</f>
        <v>19558.333333333332</v>
      </c>
      <c r="G51" s="75">
        <f t="shared" si="0"/>
        <v>234700</v>
      </c>
    </row>
    <row r="52" spans="1:15" x14ac:dyDescent="0.2">
      <c r="A52" s="77" t="s">
        <v>286</v>
      </c>
      <c r="B52" s="82" t="s">
        <v>287</v>
      </c>
      <c r="C52" s="79">
        <v>18</v>
      </c>
      <c r="D52" s="79">
        <f>208130/12</f>
        <v>17344.166666666668</v>
      </c>
      <c r="E52" s="79">
        <v>18</v>
      </c>
      <c r="F52" s="79">
        <f>208130/12</f>
        <v>17344.166666666668</v>
      </c>
      <c r="G52" s="75">
        <f t="shared" si="0"/>
        <v>208130</v>
      </c>
    </row>
    <row r="53" spans="1:15" x14ac:dyDescent="0.2">
      <c r="A53" s="77"/>
      <c r="B53" s="82"/>
      <c r="C53" s="79"/>
      <c r="D53" s="79"/>
      <c r="E53" s="79"/>
      <c r="F53" s="79"/>
      <c r="G53" s="75"/>
    </row>
    <row r="54" spans="1:15" s="76" customFormat="1" x14ac:dyDescent="0.2">
      <c r="A54" s="72" t="s">
        <v>288</v>
      </c>
      <c r="B54" s="80" t="s">
        <v>289</v>
      </c>
      <c r="C54" s="81">
        <f>SUM(C55,C57)</f>
        <v>56</v>
      </c>
      <c r="D54" s="81">
        <f>SUM(D55,D57)</f>
        <v>64881.500000000007</v>
      </c>
      <c r="E54" s="81">
        <f>SUM(E55,E57)</f>
        <v>56</v>
      </c>
      <c r="F54" s="81">
        <f>SUM(F55,F57)</f>
        <v>64881.500000000007</v>
      </c>
      <c r="G54" s="75">
        <f t="shared" ref="G54:G61" si="1">D54*12</f>
        <v>778578.00000000012</v>
      </c>
      <c r="H54" s="75"/>
      <c r="I54" s="75"/>
      <c r="J54" s="75"/>
      <c r="K54" s="75"/>
      <c r="L54" s="75"/>
      <c r="M54" s="75"/>
      <c r="N54" s="75"/>
      <c r="O54" s="75"/>
    </row>
    <row r="55" spans="1:15" ht="24" x14ac:dyDescent="0.2">
      <c r="A55" s="77">
        <v>1</v>
      </c>
      <c r="B55" s="82" t="s">
        <v>290</v>
      </c>
      <c r="C55" s="79">
        <f>SUM(C56:C56)</f>
        <v>6</v>
      </c>
      <c r="D55" s="79">
        <f>SUM(D56:D56)</f>
        <v>7708.333333333333</v>
      </c>
      <c r="E55" s="79">
        <f>SUM(E56:E56)</f>
        <v>6</v>
      </c>
      <c r="F55" s="79">
        <f>SUM(F56:F56)</f>
        <v>7708.333333333333</v>
      </c>
      <c r="G55" s="75">
        <f t="shared" si="1"/>
        <v>92500</v>
      </c>
    </row>
    <row r="56" spans="1:15" x14ac:dyDescent="0.2">
      <c r="A56" s="77" t="s">
        <v>273</v>
      </c>
      <c r="B56" s="82" t="s">
        <v>291</v>
      </c>
      <c r="C56" s="79">
        <v>6</v>
      </c>
      <c r="D56" s="79">
        <f>92500/12</f>
        <v>7708.333333333333</v>
      </c>
      <c r="E56" s="79">
        <v>6</v>
      </c>
      <c r="F56" s="79">
        <f>92500/12</f>
        <v>7708.333333333333</v>
      </c>
      <c r="G56" s="75">
        <f t="shared" si="1"/>
        <v>92500</v>
      </c>
    </row>
    <row r="57" spans="1:15" x14ac:dyDescent="0.2">
      <c r="A57" s="77">
        <v>2</v>
      </c>
      <c r="B57" s="82" t="s">
        <v>292</v>
      </c>
      <c r="C57" s="79">
        <f>SUM(C58:C61)</f>
        <v>50</v>
      </c>
      <c r="D57" s="79">
        <f>SUM(D58:D61)</f>
        <v>57173.166666666672</v>
      </c>
      <c r="E57" s="79">
        <f>SUM(E58:E61)</f>
        <v>50</v>
      </c>
      <c r="F57" s="79">
        <f>SUM(F58:F61)</f>
        <v>57173.166666666672</v>
      </c>
      <c r="G57" s="75">
        <f t="shared" si="1"/>
        <v>686078</v>
      </c>
    </row>
    <row r="58" spans="1:15" x14ac:dyDescent="0.2">
      <c r="A58" s="77" t="s">
        <v>280</v>
      </c>
      <c r="B58" s="82" t="s">
        <v>293</v>
      </c>
      <c r="C58" s="79">
        <v>7</v>
      </c>
      <c r="D58" s="79">
        <f>114080/12</f>
        <v>9506.6666666666661</v>
      </c>
      <c r="E58" s="79">
        <v>7</v>
      </c>
      <c r="F58" s="79">
        <f>114080/12</f>
        <v>9506.6666666666661</v>
      </c>
      <c r="G58" s="75">
        <f t="shared" si="1"/>
        <v>114080</v>
      </c>
    </row>
    <row r="59" spans="1:15" x14ac:dyDescent="0.2">
      <c r="A59" s="77" t="s">
        <v>282</v>
      </c>
      <c r="B59" s="82" t="s">
        <v>294</v>
      </c>
      <c r="C59" s="79">
        <f>13+1+4</f>
        <v>18</v>
      </c>
      <c r="D59" s="79">
        <f>(192460+14232+47292)/12</f>
        <v>21165.333333333332</v>
      </c>
      <c r="E59" s="79">
        <f>13+1+4</f>
        <v>18</v>
      </c>
      <c r="F59" s="79">
        <f>(192460+14232+47292)/12</f>
        <v>21165.333333333332</v>
      </c>
      <c r="G59" s="75">
        <f t="shared" si="1"/>
        <v>253984</v>
      </c>
    </row>
    <row r="60" spans="1:15" x14ac:dyDescent="0.2">
      <c r="A60" s="77" t="s">
        <v>284</v>
      </c>
      <c r="B60" s="82" t="s">
        <v>295</v>
      </c>
      <c r="C60" s="79">
        <v>7</v>
      </c>
      <c r="D60" s="79">
        <f>98500/12</f>
        <v>8208.3333333333339</v>
      </c>
      <c r="E60" s="79">
        <v>7</v>
      </c>
      <c r="F60" s="79">
        <f>98500/12</f>
        <v>8208.3333333333339</v>
      </c>
      <c r="G60" s="75">
        <f t="shared" si="1"/>
        <v>98500</v>
      </c>
    </row>
    <row r="61" spans="1:15" x14ac:dyDescent="0.2">
      <c r="A61" s="77" t="s">
        <v>286</v>
      </c>
      <c r="B61" s="82" t="s">
        <v>296</v>
      </c>
      <c r="C61" s="79">
        <v>18</v>
      </c>
      <c r="D61" s="79">
        <f>219514/12</f>
        <v>18292.833333333332</v>
      </c>
      <c r="E61" s="79">
        <v>18</v>
      </c>
      <c r="F61" s="79">
        <f>219514/12</f>
        <v>18292.833333333332</v>
      </c>
      <c r="G61" s="75">
        <f t="shared" si="1"/>
        <v>219514</v>
      </c>
    </row>
    <row r="62" spans="1:15" s="76" customFormat="1" ht="24" x14ac:dyDescent="0.2">
      <c r="A62" s="72"/>
      <c r="B62" s="80" t="s">
        <v>297</v>
      </c>
      <c r="C62" s="81"/>
      <c r="D62" s="81"/>
      <c r="E62" s="81"/>
      <c r="F62" s="81"/>
      <c r="G62" s="75"/>
      <c r="H62" s="75"/>
      <c r="I62" s="75"/>
      <c r="J62" s="75"/>
      <c r="K62" s="75"/>
      <c r="L62" s="75"/>
      <c r="M62" s="75"/>
      <c r="N62" s="75"/>
      <c r="O62" s="75"/>
    </row>
    <row r="63" spans="1:15" s="76" customFormat="1" x14ac:dyDescent="0.2">
      <c r="A63" s="72" t="s">
        <v>248</v>
      </c>
      <c r="B63" s="80" t="s">
        <v>249</v>
      </c>
      <c r="C63" s="81">
        <v>25</v>
      </c>
      <c r="D63" s="81">
        <f>343625/12</f>
        <v>28635.416666666668</v>
      </c>
      <c r="E63" s="81">
        <v>25</v>
      </c>
      <c r="F63" s="81">
        <f>343625/12</f>
        <v>28635.416666666668</v>
      </c>
      <c r="G63" s="75">
        <f>D63*12</f>
        <v>343625</v>
      </c>
      <c r="H63" s="75"/>
      <c r="I63" s="75"/>
      <c r="J63" s="75"/>
      <c r="K63" s="75"/>
      <c r="L63" s="75"/>
      <c r="M63" s="75"/>
      <c r="N63" s="75"/>
      <c r="O63" s="75"/>
    </row>
    <row r="64" spans="1:15" s="76" customFormat="1" x14ac:dyDescent="0.2">
      <c r="A64" s="72" t="s">
        <v>267</v>
      </c>
      <c r="B64" s="80" t="s">
        <v>268</v>
      </c>
      <c r="C64" s="81">
        <v>1</v>
      </c>
      <c r="D64" s="81">
        <f>18507/12</f>
        <v>1542.25</v>
      </c>
      <c r="E64" s="81">
        <v>1</v>
      </c>
      <c r="F64" s="81">
        <f>18507/12</f>
        <v>1542.25</v>
      </c>
      <c r="G64" s="75">
        <f>D64*12</f>
        <v>18507</v>
      </c>
      <c r="H64" s="75"/>
      <c r="I64" s="75"/>
      <c r="J64" s="75"/>
      <c r="K64" s="75"/>
      <c r="L64" s="75"/>
      <c r="M64" s="75"/>
      <c r="N64" s="75"/>
      <c r="O64" s="75"/>
    </row>
    <row r="65" spans="1:15" s="76" customFormat="1" ht="24" x14ac:dyDescent="0.2">
      <c r="A65" s="72" t="s">
        <v>298</v>
      </c>
      <c r="B65" s="80" t="s">
        <v>299</v>
      </c>
      <c r="C65" s="81">
        <f>2+8</f>
        <v>10</v>
      </c>
      <c r="D65" s="81">
        <f>125850/12</f>
        <v>10487.5</v>
      </c>
      <c r="E65" s="81">
        <f>2+8</f>
        <v>10</v>
      </c>
      <c r="F65" s="81">
        <f>125850/12</f>
        <v>10487.5</v>
      </c>
      <c r="G65" s="75">
        <f>D65*12</f>
        <v>125850</v>
      </c>
      <c r="H65" s="75"/>
      <c r="I65" s="75"/>
      <c r="J65" s="75"/>
      <c r="K65" s="75"/>
      <c r="L65" s="75"/>
      <c r="M65" s="75"/>
      <c r="N65" s="75"/>
      <c r="O65" s="75"/>
    </row>
    <row r="66" spans="1:15" s="76" customFormat="1" x14ac:dyDescent="0.2">
      <c r="A66" s="72"/>
      <c r="B66" s="80" t="s">
        <v>300</v>
      </c>
      <c r="C66" s="81"/>
      <c r="D66" s="81"/>
      <c r="E66" s="81"/>
      <c r="F66" s="81"/>
      <c r="G66" s="75"/>
      <c r="H66" s="75"/>
      <c r="I66" s="75"/>
      <c r="J66" s="75"/>
      <c r="K66" s="75"/>
      <c r="L66" s="75"/>
      <c r="M66" s="75"/>
      <c r="N66" s="75"/>
      <c r="O66" s="75"/>
    </row>
    <row r="67" spans="1:15" x14ac:dyDescent="0.2">
      <c r="A67" s="77">
        <v>1</v>
      </c>
      <c r="B67" s="82" t="s">
        <v>301</v>
      </c>
      <c r="C67" s="79">
        <v>3</v>
      </c>
      <c r="D67" s="79">
        <f>28900/12</f>
        <v>2408.3333333333335</v>
      </c>
      <c r="E67" s="79">
        <v>3</v>
      </c>
      <c r="F67" s="79">
        <f>28900/12</f>
        <v>2408.3333333333335</v>
      </c>
      <c r="G67" s="75">
        <f>D67*12</f>
        <v>28900</v>
      </c>
    </row>
    <row r="69" spans="1:15" x14ac:dyDescent="0.2">
      <c r="D69" s="85"/>
      <c r="F69" s="85"/>
    </row>
    <row r="70" spans="1:15" x14ac:dyDescent="0.2">
      <c r="B70" s="61" t="s">
        <v>302</v>
      </c>
    </row>
    <row r="74" spans="1:15" x14ac:dyDescent="0.2">
      <c r="A74" s="86" t="s">
        <v>303</v>
      </c>
    </row>
    <row r="75" spans="1:15" x14ac:dyDescent="0.2">
      <c r="A75" s="87" t="s">
        <v>304</v>
      </c>
      <c r="B75" s="88"/>
    </row>
    <row r="76" spans="1:15" s="56" customFormat="1" x14ac:dyDescent="0.2">
      <c r="A76" s="87"/>
      <c r="B76" s="89"/>
      <c r="C76" s="90"/>
      <c r="D76" s="90"/>
      <c r="E76" s="90"/>
      <c r="F76" s="90"/>
      <c r="G76" s="55"/>
      <c r="H76" s="55"/>
      <c r="I76" s="55"/>
      <c r="J76" s="55"/>
      <c r="K76" s="55"/>
      <c r="L76" s="55"/>
      <c r="M76" s="55"/>
      <c r="N76" s="55"/>
      <c r="O76" s="55"/>
    </row>
    <row r="77" spans="1:15" s="56" customFormat="1" x14ac:dyDescent="0.2">
      <c r="A77" s="91" t="s">
        <v>4</v>
      </c>
      <c r="C77" s="90"/>
      <c r="D77" s="90"/>
      <c r="E77" s="90"/>
      <c r="F77" s="90"/>
      <c r="G77" s="55"/>
      <c r="H77" s="55"/>
      <c r="I77" s="55"/>
      <c r="J77" s="55"/>
      <c r="K77" s="55"/>
      <c r="L77" s="55"/>
      <c r="M77" s="55"/>
      <c r="N77" s="55"/>
      <c r="O77" s="55"/>
    </row>
    <row r="78" spans="1:15" s="56" customFormat="1" x14ac:dyDescent="0.2">
      <c r="A78" s="86" t="s">
        <v>2</v>
      </c>
      <c r="C78" s="90"/>
      <c r="D78" s="92"/>
      <c r="E78" s="90"/>
      <c r="F78" s="92"/>
      <c r="G78" s="55"/>
      <c r="H78" s="55"/>
      <c r="I78" s="55"/>
      <c r="J78" s="55"/>
      <c r="K78" s="55"/>
      <c r="L78" s="55"/>
      <c r="M78" s="55"/>
      <c r="N78" s="55"/>
      <c r="O78" s="55"/>
    </row>
    <row r="79" spans="1:15" s="56" customFormat="1" x14ac:dyDescent="0.2">
      <c r="A79" s="87" t="s">
        <v>3</v>
      </c>
      <c r="C79" s="90"/>
      <c r="D79" s="90"/>
      <c r="E79" s="90"/>
      <c r="F79" s="90"/>
      <c r="G79" s="55"/>
      <c r="H79" s="55"/>
      <c r="I79" s="55"/>
      <c r="J79" s="55"/>
      <c r="K79" s="55"/>
      <c r="L79" s="55"/>
      <c r="M79" s="55"/>
      <c r="N79" s="55"/>
      <c r="O79" s="55"/>
    </row>
    <row r="80" spans="1:15" s="88" customFormat="1" x14ac:dyDescent="0.2">
      <c r="A80" s="87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89" customFormat="1" x14ac:dyDescent="0.2">
      <c r="A81" s="86" t="s">
        <v>5</v>
      </c>
      <c r="G81" s="94"/>
      <c r="H81" s="94"/>
      <c r="I81" s="94"/>
      <c r="J81" s="94"/>
      <c r="K81" s="94"/>
      <c r="L81" s="94"/>
      <c r="M81" s="94"/>
      <c r="N81" s="94"/>
      <c r="O81" s="94"/>
    </row>
    <row r="82" spans="1:15" s="89" customFormat="1" x14ac:dyDescent="0.2">
      <c r="A82" s="87" t="s">
        <v>6</v>
      </c>
      <c r="G82" s="94"/>
      <c r="H82" s="94"/>
      <c r="I82" s="94"/>
      <c r="J82" s="94"/>
      <c r="K82" s="94"/>
      <c r="L82" s="94"/>
      <c r="M82" s="94"/>
      <c r="N82" s="94"/>
      <c r="O82" s="94"/>
    </row>
    <row r="83" spans="1:15" s="56" customFormat="1" x14ac:dyDescent="0.2">
      <c r="A83" s="91"/>
      <c r="C83" s="53"/>
      <c r="D83" s="53"/>
      <c r="E83" s="53"/>
      <c r="F83" s="53"/>
      <c r="G83" s="55"/>
      <c r="H83" s="55"/>
      <c r="I83" s="55"/>
      <c r="J83" s="55"/>
      <c r="K83" s="55"/>
      <c r="L83" s="55"/>
      <c r="M83" s="55"/>
      <c r="N83" s="55"/>
      <c r="O83" s="55"/>
    </row>
    <row r="84" spans="1:15" s="95" customFormat="1" x14ac:dyDescent="0.2">
      <c r="A84" s="86" t="s">
        <v>7</v>
      </c>
      <c r="C84" s="96"/>
      <c r="D84" s="97"/>
      <c r="E84" s="96"/>
      <c r="F84" s="97"/>
      <c r="G84" s="98"/>
      <c r="H84" s="98"/>
      <c r="I84" s="98"/>
      <c r="J84" s="98"/>
      <c r="K84" s="98"/>
      <c r="L84" s="98"/>
      <c r="M84" s="98"/>
      <c r="N84" s="98"/>
      <c r="O84" s="98"/>
    </row>
    <row r="85" spans="1:15" x14ac:dyDescent="0.2">
      <c r="A85" s="87" t="s">
        <v>8</v>
      </c>
    </row>
    <row r="86" spans="1:15" s="100" customFormat="1" x14ac:dyDescent="0.2">
      <c r="A86" s="99"/>
      <c r="G86" s="101"/>
      <c r="H86" s="101"/>
      <c r="I86" s="101"/>
      <c r="J86" s="101"/>
      <c r="K86" s="101"/>
      <c r="L86" s="101"/>
      <c r="M86" s="101"/>
      <c r="N86" s="101"/>
      <c r="O86" s="101"/>
    </row>
    <row r="87" spans="1:15" s="100" customFormat="1" x14ac:dyDescent="0.2">
      <c r="A87" s="99"/>
      <c r="G87" s="101"/>
      <c r="H87" s="101"/>
      <c r="I87" s="101"/>
      <c r="J87" s="101"/>
      <c r="K87" s="101"/>
      <c r="L87" s="101"/>
      <c r="M87" s="101"/>
      <c r="N87" s="101"/>
      <c r="O87" s="101"/>
    </row>
    <row r="88" spans="1:15" s="95" customFormat="1" x14ac:dyDescent="0.2">
      <c r="A88" s="102" t="s">
        <v>9</v>
      </c>
      <c r="B88" s="103"/>
      <c r="C88" s="103"/>
      <c r="D88" s="103"/>
      <c r="E88" s="103"/>
      <c r="F88" s="103"/>
      <c r="G88" s="98"/>
      <c r="H88" s="98"/>
      <c r="I88" s="98"/>
      <c r="J88" s="98"/>
      <c r="K88" s="98"/>
      <c r="L88" s="98"/>
      <c r="M88" s="98"/>
      <c r="N88" s="98"/>
      <c r="O88" s="98"/>
    </row>
    <row r="89" spans="1:15" s="56" customFormat="1" x14ac:dyDescent="0.2">
      <c r="A89" s="102" t="s">
        <v>305</v>
      </c>
      <c r="B89" s="104"/>
      <c r="C89" s="104"/>
      <c r="D89" s="104"/>
      <c r="E89" s="104"/>
      <c r="F89" s="104"/>
      <c r="G89" s="55"/>
      <c r="H89" s="55"/>
      <c r="I89" s="55"/>
      <c r="J89" s="55"/>
      <c r="K89" s="55"/>
      <c r="L89" s="55"/>
      <c r="M89" s="55"/>
      <c r="N89" s="55"/>
      <c r="O89" s="55"/>
    </row>
    <row r="90" spans="1:15" s="105" customFormat="1" x14ac:dyDescent="0.2">
      <c r="A90" s="102" t="s">
        <v>306</v>
      </c>
      <c r="G90" s="106"/>
      <c r="H90" s="106"/>
      <c r="I90" s="106"/>
      <c r="J90" s="106"/>
      <c r="K90" s="106"/>
      <c r="L90" s="106"/>
      <c r="M90" s="106"/>
      <c r="N90" s="106"/>
      <c r="O90" s="106"/>
    </row>
    <row r="91" spans="1:15" s="105" customFormat="1" x14ac:dyDescent="0.2">
      <c r="A91" s="107"/>
      <c r="G91" s="106"/>
      <c r="H91" s="106"/>
      <c r="I91" s="106"/>
      <c r="J91" s="106"/>
      <c r="K91" s="106"/>
      <c r="L91" s="106"/>
      <c r="M91" s="106"/>
      <c r="N91" s="106"/>
      <c r="O91" s="106"/>
    </row>
    <row r="92" spans="1:15" x14ac:dyDescent="0.2">
      <c r="A92" s="52"/>
    </row>
    <row r="93" spans="1:15" x14ac:dyDescent="0.2">
      <c r="A93" s="108"/>
    </row>
    <row r="94" spans="1:15" x14ac:dyDescent="0.2">
      <c r="A94" s="52"/>
    </row>
    <row r="95" spans="1:15" x14ac:dyDescent="0.2">
      <c r="A95" s="49"/>
    </row>
    <row r="96" spans="1:15" x14ac:dyDescent="0.2">
      <c r="A96" s="49"/>
    </row>
    <row r="97" spans="1:1" x14ac:dyDescent="0.2">
      <c r="A97" s="52"/>
    </row>
    <row r="98" spans="1:1" x14ac:dyDescent="0.2">
      <c r="A98" s="49"/>
    </row>
    <row r="99" spans="1:1" x14ac:dyDescent="0.2">
      <c r="A99" s="49"/>
    </row>
    <row r="100" spans="1:1" x14ac:dyDescent="0.2">
      <c r="A100" s="52"/>
    </row>
    <row r="101" spans="1:1" x14ac:dyDescent="0.2">
      <c r="A101" s="49"/>
    </row>
    <row r="103" spans="1:1" x14ac:dyDescent="0.2">
      <c r="A103" s="108"/>
    </row>
    <row r="104" spans="1:1" x14ac:dyDescent="0.2">
      <c r="A104" s="108"/>
    </row>
    <row r="105" spans="1:1" x14ac:dyDescent="0.2">
      <c r="A105" s="108"/>
    </row>
    <row r="106" spans="1:1" x14ac:dyDescent="0.2">
      <c r="A106" s="108"/>
    </row>
  </sheetData>
  <mergeCells count="4">
    <mergeCell ref="C1:D1"/>
    <mergeCell ref="E1:F1"/>
    <mergeCell ref="C9:D9"/>
    <mergeCell ref="E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ИП промяна юни 2022</vt:lpstr>
      <vt:lpstr>Pril2_30.06</vt:lpstr>
      <vt:lpstr>Pril2_30.06!Печат_заглавия</vt:lpstr>
      <vt:lpstr>'ИП промяна юни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2022-07-13T12:15:37Z</cp:lastPrinted>
  <dcterms:created xsi:type="dcterms:W3CDTF">2022-07-13T11:44:49Z</dcterms:created>
  <dcterms:modified xsi:type="dcterms:W3CDTF">2022-07-15T12:02:29Z</dcterms:modified>
</cp:coreProperties>
</file>