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 firstSheet="18" activeTab="27"/>
  </bookViews>
  <sheets>
    <sheet name="Pril1" sheetId="63" r:id="rId1"/>
    <sheet name="Pril2" sheetId="64" r:id="rId2"/>
    <sheet name="Pril2A" sheetId="18" r:id="rId3"/>
    <sheet name="Pril2Б" sheetId="19" r:id="rId4"/>
    <sheet name="Pril2В" sheetId="53" r:id="rId5"/>
    <sheet name="Pril3" sheetId="62" r:id="rId6"/>
    <sheet name="Pril4" sheetId="65" r:id="rId7"/>
    <sheet name="Pril5" sheetId="15" r:id="rId8"/>
    <sheet name="Pril6" sheetId="36" r:id="rId9"/>
    <sheet name="Pril7" sheetId="40" r:id="rId10"/>
    <sheet name="Pril8" sheetId="20" r:id="rId11"/>
    <sheet name="Pril9" sheetId="13" r:id="rId12"/>
    <sheet name="Pril10" sheetId="5" r:id="rId13"/>
    <sheet name="Pril10A" sheetId="6" r:id="rId14"/>
    <sheet name="Pril11" sheetId="1" r:id="rId15"/>
    <sheet name="Pril12" sheetId="21" r:id="rId16"/>
    <sheet name="Pril13" sheetId="9" r:id="rId17"/>
    <sheet name="Pril14" sheetId="59" r:id="rId18"/>
    <sheet name="Pril15" sheetId="8" r:id="rId19"/>
    <sheet name="Pril16" sheetId="58" r:id="rId20"/>
    <sheet name="Pril17" sheetId="61" r:id="rId21"/>
    <sheet name="Pril17A" sheetId="60" r:id="rId22"/>
    <sheet name="Pril18" sheetId="26" r:id="rId23"/>
    <sheet name="Pril19" sheetId="52" r:id="rId24"/>
    <sheet name="Pril20" sheetId="28" r:id="rId25"/>
    <sheet name="Pril21" sheetId="51" r:id="rId26"/>
    <sheet name="Pril22" sheetId="31" r:id="rId27"/>
    <sheet name="Pril23" sheetId="67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xlfn_SUMIFS">NA()</definedName>
    <definedName name="__xlfn_SUMIFS">NA()</definedName>
    <definedName name="_xlnm._FilterDatabase" localSheetId="20" hidden="1">Pril17!$A$1:$XBC$253</definedName>
    <definedName name="_xlnm._FilterDatabase" localSheetId="1" hidden="1">Pril2!$C$1:$C$1791</definedName>
    <definedName name="_xlnm._FilterDatabase" localSheetId="8" hidden="1">Pril6!$A$2:$A$523</definedName>
    <definedName name="GROUPS" localSheetId="20">[1]Groups!$A$1:$A$27</definedName>
    <definedName name="GROUPS" localSheetId="9">[2]Groups!$A$1:$A$27</definedName>
    <definedName name="GROUPS">[3]Groups!$A$1:$A$27</definedName>
    <definedName name="GROUPS2" localSheetId="20">[1]Groups!$A$1:$B$27</definedName>
    <definedName name="GROUPS2" localSheetId="9">[2]Groups!$A$1:$B$27</definedName>
    <definedName name="GROUPS2">[3]Groups!$A$1:$B$27</definedName>
    <definedName name="ll">[4]list!$A$421:$B$709</definedName>
    <definedName name="mm">[4]Groups!$A$1:$B$27</definedName>
    <definedName name="oo">[4]list!$A$281:$B$304</definedName>
    <definedName name="OP_LIST" localSheetId="20">[1]list!$A$281:$A$304</definedName>
    <definedName name="OP_LIST" localSheetId="9">[2]list!$A$281:$A$304</definedName>
    <definedName name="OP_LIST">[3]list!$A$281:$A$304</definedName>
    <definedName name="OP_LIST2" localSheetId="20">[1]list!$A$281:$B$304</definedName>
    <definedName name="OP_LIST2" localSheetId="9">[2]list!$A$281:$B$304</definedName>
    <definedName name="OP_LIST2">[3]list!$A$281:$B$304</definedName>
    <definedName name="PRBK" localSheetId="20">[1]list!$A$421:$B$709</definedName>
    <definedName name="PRBK" localSheetId="9">[2]list!$A$421:$B$709</definedName>
    <definedName name="PRBK">[3]list!$A$421:$B$709</definedName>
    <definedName name="ss">[4]list!$A$281:$B$304</definedName>
    <definedName name="аа">[3]list!$A$281:$B$304</definedName>
    <definedName name="в">[5]list!$A$281:$A$304</definedName>
    <definedName name="з">[6]list!$A$281:$A$304</definedName>
    <definedName name="_xlnm.Print_Titles" localSheetId="0">Pril1!$10:$10</definedName>
    <definedName name="_xlnm.Print_Titles" localSheetId="17">Pril14!$9:$10</definedName>
    <definedName name="_xlnm.Print_Titles" localSheetId="18">Pril15!#REF!</definedName>
    <definedName name="_xlnm.Print_Titles" localSheetId="20">Pril17!$6:$7</definedName>
    <definedName name="_xlnm.Print_Titles" localSheetId="21">Pril17A!$6:$6</definedName>
    <definedName name="_xlnm.Print_Titles" localSheetId="1">Pril2!$10:$10</definedName>
    <definedName name="_xlnm.Print_Titles" localSheetId="25">Pril21!$1:$6</definedName>
    <definedName name="_xlnm.Print_Titles" localSheetId="3">Pril2Б!$6:$6</definedName>
    <definedName name="_xlnm.Print_Titles" localSheetId="6">Pril4!$11:$11</definedName>
    <definedName name="_xlnm.Print_Titles" localSheetId="8">Pril6!$8:$8</definedName>
    <definedName name="_xlnm.Print_Titles" localSheetId="11">Pril9!$9:$9</definedName>
  </definedNames>
  <calcPr calcId="152511"/>
</workbook>
</file>

<file path=xl/calcChain.xml><?xml version="1.0" encoding="utf-8"?>
<calcChain xmlns="http://schemas.openxmlformats.org/spreadsheetml/2006/main">
  <c r="E53" i="67" l="1"/>
  <c r="F49" i="67"/>
  <c r="F46" i="67" s="1"/>
  <c r="F48" i="67"/>
  <c r="L87" i="18" l="1"/>
  <c r="L191" i="18"/>
  <c r="H87" i="18"/>
  <c r="H126" i="18"/>
  <c r="H152" i="18"/>
  <c r="H191" i="18"/>
  <c r="C87" i="18" l="1"/>
  <c r="C119" i="18"/>
  <c r="C184" i="18"/>
  <c r="C152" i="18"/>
  <c r="C102" i="65" l="1"/>
  <c r="C100" i="65"/>
  <c r="C99" i="65"/>
  <c r="C98" i="65"/>
  <c r="C97" i="65"/>
  <c r="C96" i="65"/>
  <c r="C95" i="65"/>
  <c r="C94" i="65"/>
  <c r="C93" i="65"/>
  <c r="C92" i="65"/>
  <c r="C90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0" i="65"/>
  <c r="C48" i="65"/>
  <c r="C47" i="65"/>
  <c r="C46" i="65"/>
  <c r="C45" i="65"/>
  <c r="C44" i="65"/>
  <c r="C43" i="65"/>
  <c r="C39" i="65"/>
  <c r="C37" i="65"/>
  <c r="C36" i="65"/>
  <c r="C33" i="65"/>
  <c r="C31" i="65"/>
  <c r="C30" i="65"/>
  <c r="C29" i="65"/>
  <c r="C28" i="65"/>
  <c r="C27" i="65"/>
  <c r="C23" i="65"/>
  <c r="C21" i="65"/>
  <c r="C20" i="65"/>
  <c r="C19" i="65"/>
  <c r="C18" i="65"/>
  <c r="C17" i="65"/>
  <c r="C16" i="65"/>
  <c r="C15" i="65"/>
  <c r="F74" i="65"/>
  <c r="F44" i="65"/>
  <c r="J67" i="59" l="1"/>
  <c r="H67" i="59"/>
  <c r="G67" i="59"/>
  <c r="E67" i="59"/>
  <c r="J65" i="59"/>
  <c r="H65" i="59"/>
  <c r="G65" i="59"/>
  <c r="F65" i="59"/>
  <c r="E65" i="59"/>
  <c r="D65" i="59"/>
  <c r="G64" i="59"/>
  <c r="J64" i="59" s="1"/>
  <c r="E64" i="59"/>
  <c r="G63" i="59"/>
  <c r="J63" i="59" s="1"/>
  <c r="E63" i="59"/>
  <c r="G61" i="59"/>
  <c r="J61" i="59" s="1"/>
  <c r="E61" i="59"/>
  <c r="G60" i="59"/>
  <c r="J60" i="59" s="1"/>
  <c r="E60" i="59"/>
  <c r="E57" i="59" s="1"/>
  <c r="E54" i="59" s="1"/>
  <c r="G59" i="59"/>
  <c r="J59" i="59" s="1"/>
  <c r="F59" i="59"/>
  <c r="F57" i="59" s="1"/>
  <c r="F54" i="59" s="1"/>
  <c r="E59" i="59"/>
  <c r="D59" i="59"/>
  <c r="J58" i="59"/>
  <c r="H58" i="59"/>
  <c r="G58" i="59"/>
  <c r="E58" i="59"/>
  <c r="G57" i="59"/>
  <c r="J57" i="59" s="1"/>
  <c r="D57" i="59"/>
  <c r="J56" i="59"/>
  <c r="G56" i="59"/>
  <c r="H56" i="59" s="1"/>
  <c r="E56" i="59"/>
  <c r="F55" i="59"/>
  <c r="E55" i="59"/>
  <c r="D55" i="59"/>
  <c r="D54" i="59" s="1"/>
  <c r="G52" i="59"/>
  <c r="H52" i="59" s="1"/>
  <c r="E52" i="59"/>
  <c r="G51" i="59"/>
  <c r="H51" i="59" s="1"/>
  <c r="E51" i="59"/>
  <c r="G50" i="59"/>
  <c r="H50" i="59" s="1"/>
  <c r="E50" i="59"/>
  <c r="G49" i="59"/>
  <c r="H49" i="59" s="1"/>
  <c r="E49" i="59"/>
  <c r="F48" i="59"/>
  <c r="F42" i="59" s="1"/>
  <c r="E48" i="59"/>
  <c r="D48" i="59"/>
  <c r="J47" i="59"/>
  <c r="H47" i="59"/>
  <c r="G47" i="59"/>
  <c r="E47" i="59"/>
  <c r="J46" i="59"/>
  <c r="H46" i="59"/>
  <c r="G46" i="59"/>
  <c r="E46" i="59"/>
  <c r="J45" i="59"/>
  <c r="H45" i="59"/>
  <c r="G45" i="59"/>
  <c r="E45" i="59"/>
  <c r="G44" i="59"/>
  <c r="J44" i="59" s="1"/>
  <c r="F44" i="59"/>
  <c r="E44" i="59"/>
  <c r="D44" i="59"/>
  <c r="D42" i="59" s="1"/>
  <c r="E42" i="59"/>
  <c r="G40" i="59"/>
  <c r="H40" i="59" s="1"/>
  <c r="F40" i="59"/>
  <c r="E40" i="59"/>
  <c r="D40" i="59"/>
  <c r="J38" i="59"/>
  <c r="G38" i="59"/>
  <c r="H38" i="59" s="1"/>
  <c r="F38" i="59"/>
  <c r="E38" i="59"/>
  <c r="D38" i="59"/>
  <c r="G37" i="59"/>
  <c r="H37" i="59" s="1"/>
  <c r="E37" i="59"/>
  <c r="G36" i="59"/>
  <c r="H36" i="59" s="1"/>
  <c r="E36" i="59"/>
  <c r="G34" i="59"/>
  <c r="H34" i="59" s="1"/>
  <c r="F34" i="59"/>
  <c r="E34" i="59"/>
  <c r="D34" i="59"/>
  <c r="J30" i="59"/>
  <c r="G30" i="59"/>
  <c r="H30" i="59" s="1"/>
  <c r="F30" i="59"/>
  <c r="E30" i="59"/>
  <c r="D30" i="59"/>
  <c r="G28" i="59"/>
  <c r="H28" i="59" s="1"/>
  <c r="F28" i="59"/>
  <c r="E28" i="59"/>
  <c r="D28" i="59"/>
  <c r="J26" i="59"/>
  <c r="G26" i="59"/>
  <c r="H26" i="59" s="1"/>
  <c r="F26" i="59"/>
  <c r="E26" i="59"/>
  <c r="D26" i="59"/>
  <c r="G25" i="59"/>
  <c r="J25" i="59" s="1"/>
  <c r="E25" i="59"/>
  <c r="G24" i="59"/>
  <c r="H24" i="59" s="1"/>
  <c r="F24" i="59"/>
  <c r="E24" i="59"/>
  <c r="D24" i="59"/>
  <c r="D22" i="59" s="1"/>
  <c r="F22" i="59"/>
  <c r="E22" i="59"/>
  <c r="G20" i="59"/>
  <c r="J20" i="59" s="1"/>
  <c r="E20" i="59"/>
  <c r="G18" i="59"/>
  <c r="J18" i="59" s="1"/>
  <c r="F18" i="59"/>
  <c r="E18" i="59"/>
  <c r="D18" i="59"/>
  <c r="J16" i="59"/>
  <c r="G16" i="59"/>
  <c r="H16" i="59" s="1"/>
  <c r="F16" i="59"/>
  <c r="E16" i="59"/>
  <c r="D16" i="59"/>
  <c r="G14" i="59"/>
  <c r="J14" i="59" s="1"/>
  <c r="F14" i="59"/>
  <c r="E14" i="59"/>
  <c r="D14" i="59"/>
  <c r="H14" i="59" l="1"/>
  <c r="H18" i="59"/>
  <c r="H20" i="59"/>
  <c r="H25" i="59"/>
  <c r="G22" i="59"/>
  <c r="J24" i="59"/>
  <c r="J28" i="59"/>
  <c r="J34" i="59"/>
  <c r="J36" i="59"/>
  <c r="J37" i="59"/>
  <c r="J40" i="59"/>
  <c r="G42" i="59"/>
  <c r="J49" i="59"/>
  <c r="J50" i="59"/>
  <c r="J51" i="59"/>
  <c r="J52" i="59"/>
  <c r="H59" i="59"/>
  <c r="H60" i="59"/>
  <c r="H61" i="59"/>
  <c r="H63" i="59"/>
  <c r="H64" i="59"/>
  <c r="G55" i="59"/>
  <c r="G48" i="59"/>
  <c r="J48" i="59" s="1"/>
  <c r="G54" i="59" l="1"/>
  <c r="J54" i="59" s="1"/>
  <c r="J55" i="59"/>
  <c r="J22" i="59"/>
  <c r="H22" i="59"/>
  <c r="J42" i="59"/>
  <c r="H42" i="59"/>
  <c r="B192" i="61" l="1"/>
  <c r="L128" i="18" l="1"/>
  <c r="L127" i="18"/>
  <c r="L126" i="18"/>
  <c r="L125" i="18"/>
  <c r="L124" i="18"/>
  <c r="L122" i="18"/>
  <c r="L121" i="18"/>
  <c r="L120" i="18"/>
  <c r="L119" i="18"/>
  <c r="L118" i="18"/>
  <c r="L117" i="18"/>
  <c r="L116" i="18"/>
  <c r="L115" i="18"/>
  <c r="L74" i="18"/>
  <c r="L75" i="18"/>
  <c r="L76" i="18"/>
  <c r="L77" i="18"/>
  <c r="L78" i="18"/>
  <c r="L79" i="18"/>
  <c r="L80" i="18"/>
  <c r="L81" i="18"/>
  <c r="L82" i="18"/>
  <c r="L83" i="18"/>
  <c r="L84" i="18"/>
  <c r="L85" i="18"/>
  <c r="L86" i="18"/>
  <c r="L88" i="18"/>
  <c r="L89" i="18"/>
  <c r="L90" i="18"/>
  <c r="L91" i="18"/>
  <c r="L92" i="18"/>
  <c r="L93" i="18"/>
  <c r="L94" i="18"/>
  <c r="L95" i="18"/>
  <c r="L96" i="18"/>
  <c r="L97" i="18"/>
  <c r="L98" i="18"/>
  <c r="L99" i="18"/>
  <c r="L100" i="18"/>
  <c r="L101" i="18"/>
  <c r="L102" i="18"/>
  <c r="L103" i="18"/>
  <c r="L104" i="18"/>
  <c r="L105" i="18"/>
  <c r="L106" i="18"/>
  <c r="L107" i="18"/>
  <c r="L108" i="18"/>
  <c r="L109" i="18"/>
  <c r="L110" i="18"/>
  <c r="L111" i="18"/>
  <c r="L112" i="18"/>
  <c r="L73" i="18"/>
  <c r="D129" i="18"/>
  <c r="E129" i="18"/>
  <c r="F129" i="18"/>
  <c r="G129" i="18"/>
  <c r="I129" i="18"/>
  <c r="J129" i="18"/>
  <c r="K129" i="18"/>
  <c r="C129" i="18"/>
  <c r="D128" i="18"/>
  <c r="E128" i="18"/>
  <c r="F128" i="18"/>
  <c r="G128" i="18"/>
  <c r="H128" i="18"/>
  <c r="H129" i="18" s="1"/>
  <c r="I128" i="18"/>
  <c r="J128" i="18"/>
  <c r="K128" i="18"/>
  <c r="C128" i="18"/>
  <c r="D122" i="18"/>
  <c r="E122" i="18"/>
  <c r="F122" i="18"/>
  <c r="G122" i="18"/>
  <c r="H122" i="18"/>
  <c r="I122" i="18"/>
  <c r="J122" i="18"/>
  <c r="K122" i="18"/>
  <c r="C122" i="18"/>
  <c r="D113" i="18"/>
  <c r="E113" i="18"/>
  <c r="F113" i="18"/>
  <c r="G113" i="18"/>
  <c r="H113" i="18"/>
  <c r="L113" i="18" s="1"/>
  <c r="I113" i="18"/>
  <c r="J113" i="18"/>
  <c r="K113" i="18"/>
  <c r="C113" i="18"/>
  <c r="D65" i="18"/>
  <c r="E65" i="18"/>
  <c r="F65" i="18"/>
  <c r="G65" i="18"/>
  <c r="H65" i="18"/>
  <c r="I65" i="18"/>
  <c r="C65" i="18"/>
  <c r="C64" i="18"/>
  <c r="D58" i="18"/>
  <c r="E58" i="18"/>
  <c r="F58" i="18"/>
  <c r="G58" i="18"/>
  <c r="H58" i="18"/>
  <c r="I58" i="18"/>
  <c r="C58" i="18"/>
  <c r="D64" i="18"/>
  <c r="E64" i="18"/>
  <c r="F64" i="18"/>
  <c r="G64" i="18"/>
  <c r="H64" i="18"/>
  <c r="I64" i="18"/>
  <c r="J63" i="18"/>
  <c r="J62" i="18"/>
  <c r="J61" i="18"/>
  <c r="J60" i="18"/>
  <c r="J58" i="18"/>
  <c r="J57" i="18"/>
  <c r="J56" i="18"/>
  <c r="J55" i="18"/>
  <c r="J54" i="18"/>
  <c r="J53" i="18"/>
  <c r="J52" i="18"/>
  <c r="J51" i="18"/>
  <c r="J4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9" i="18"/>
  <c r="D49" i="18"/>
  <c r="E49" i="18"/>
  <c r="F49" i="18"/>
  <c r="G49" i="18"/>
  <c r="H49" i="18"/>
  <c r="I49" i="18"/>
  <c r="C49" i="18"/>
  <c r="L193" i="18"/>
  <c r="L192" i="18"/>
  <c r="L190" i="18"/>
  <c r="L189" i="18"/>
  <c r="L187" i="18"/>
  <c r="L186" i="18"/>
  <c r="L185" i="18"/>
  <c r="L184" i="18"/>
  <c r="L183" i="18"/>
  <c r="L182" i="18"/>
  <c r="L181" i="18"/>
  <c r="L180" i="18"/>
  <c r="L139" i="18"/>
  <c r="L140" i="18"/>
  <c r="L141" i="18"/>
  <c r="L142" i="18"/>
  <c r="L143" i="18"/>
  <c r="L144" i="18"/>
  <c r="L145" i="18"/>
  <c r="L146" i="18"/>
  <c r="L147" i="18"/>
  <c r="L148" i="18"/>
  <c r="L149" i="18"/>
  <c r="L150" i="18"/>
  <c r="L151" i="18"/>
  <c r="L152" i="18"/>
  <c r="L153" i="18"/>
  <c r="L154" i="18"/>
  <c r="L155" i="18"/>
  <c r="L156" i="18"/>
  <c r="L157" i="18"/>
  <c r="L158" i="18"/>
  <c r="L159" i="18"/>
  <c r="L160" i="18"/>
  <c r="L161" i="18"/>
  <c r="L162" i="18"/>
  <c r="L163" i="18"/>
  <c r="L164" i="18"/>
  <c r="L165" i="18"/>
  <c r="L166" i="18"/>
  <c r="L167" i="18"/>
  <c r="L168" i="18"/>
  <c r="L169" i="18"/>
  <c r="L170" i="18"/>
  <c r="L171" i="18"/>
  <c r="L172" i="18"/>
  <c r="L173" i="18"/>
  <c r="L174" i="18"/>
  <c r="L175" i="18"/>
  <c r="L176" i="18"/>
  <c r="L177" i="18"/>
  <c r="L138" i="18"/>
  <c r="D194" i="18"/>
  <c r="E194" i="18"/>
  <c r="F194" i="18"/>
  <c r="G194" i="18"/>
  <c r="I194" i="18"/>
  <c r="J194" i="18"/>
  <c r="K194" i="18"/>
  <c r="C194" i="18"/>
  <c r="D193" i="18"/>
  <c r="E193" i="18"/>
  <c r="F193" i="18"/>
  <c r="G193" i="18"/>
  <c r="H193" i="18"/>
  <c r="I193" i="18"/>
  <c r="J193" i="18"/>
  <c r="K193" i="18"/>
  <c r="C193" i="18"/>
  <c r="D187" i="18"/>
  <c r="E187" i="18"/>
  <c r="F187" i="18"/>
  <c r="G187" i="18"/>
  <c r="H187" i="18"/>
  <c r="I187" i="18"/>
  <c r="J187" i="18"/>
  <c r="K187" i="18"/>
  <c r="C187" i="18"/>
  <c r="D178" i="18"/>
  <c r="E178" i="18"/>
  <c r="F178" i="18"/>
  <c r="G178" i="18"/>
  <c r="H178" i="18"/>
  <c r="I178" i="18"/>
  <c r="J178" i="18"/>
  <c r="K178" i="18"/>
  <c r="C178" i="18"/>
  <c r="L178" i="18" s="1"/>
  <c r="L129" i="18" l="1"/>
  <c r="H194" i="18"/>
  <c r="L194" i="18"/>
  <c r="J65" i="18"/>
  <c r="J64" i="18"/>
  <c r="D15" i="65"/>
  <c r="E15" i="65"/>
  <c r="F15" i="65"/>
  <c r="G15" i="65"/>
  <c r="D17" i="65"/>
  <c r="E17" i="65"/>
  <c r="F17" i="65"/>
  <c r="G17" i="65"/>
  <c r="D19" i="65"/>
  <c r="E19" i="65"/>
  <c r="F19" i="65"/>
  <c r="G19" i="65"/>
  <c r="D23" i="65"/>
  <c r="E23" i="65"/>
  <c r="F23" i="65"/>
  <c r="G23" i="65"/>
  <c r="D27" i="65"/>
  <c r="E27" i="65"/>
  <c r="F27" i="65"/>
  <c r="G27" i="65"/>
  <c r="D29" i="65"/>
  <c r="E29" i="65"/>
  <c r="F29" i="65"/>
  <c r="G29" i="65"/>
  <c r="D33" i="65"/>
  <c r="E33" i="65"/>
  <c r="F33" i="65"/>
  <c r="G33" i="65"/>
  <c r="D39" i="65"/>
  <c r="E39" i="65"/>
  <c r="F39" i="65"/>
  <c r="G39" i="65"/>
  <c r="D43" i="65"/>
  <c r="E43" i="65"/>
  <c r="F43" i="65"/>
  <c r="G43" i="65"/>
  <c r="D45" i="65"/>
  <c r="E45" i="65"/>
  <c r="F45" i="65"/>
  <c r="G45" i="65"/>
  <c r="D48" i="65"/>
  <c r="E48" i="65"/>
  <c r="F48" i="65"/>
  <c r="F50" i="65" s="1"/>
  <c r="G48" i="65"/>
  <c r="D50" i="65"/>
  <c r="E50" i="65"/>
  <c r="G50" i="65"/>
  <c r="D53" i="65"/>
  <c r="E53" i="65"/>
  <c r="F53" i="65"/>
  <c r="G53" i="65"/>
  <c r="D56" i="65"/>
  <c r="E56" i="65"/>
  <c r="F56" i="65"/>
  <c r="G56" i="65"/>
  <c r="D62" i="65"/>
  <c r="E62" i="65"/>
  <c r="F62" i="65"/>
  <c r="G62" i="65"/>
  <c r="D67" i="65"/>
  <c r="E67" i="65"/>
  <c r="F67" i="65"/>
  <c r="G67" i="65"/>
  <c r="D80" i="65"/>
  <c r="E80" i="65"/>
  <c r="F80" i="65"/>
  <c r="G80" i="65"/>
  <c r="D82" i="65"/>
  <c r="E82" i="65"/>
  <c r="F82" i="65"/>
  <c r="G82" i="65"/>
  <c r="D86" i="65"/>
  <c r="E86" i="65"/>
  <c r="F86" i="65"/>
  <c r="G86" i="65"/>
  <c r="C21" i="64" l="1"/>
  <c r="C18" i="64"/>
  <c r="C1784" i="64" l="1"/>
  <c r="C24" i="63"/>
  <c r="C31" i="63"/>
  <c r="C33" i="63"/>
  <c r="C40" i="63"/>
  <c r="C42" i="63" s="1"/>
  <c r="C56" i="63"/>
  <c r="C89" i="63"/>
  <c r="C97" i="63"/>
  <c r="C99" i="63"/>
  <c r="C100" i="63"/>
  <c r="C118" i="63" s="1"/>
  <c r="C120" i="63" s="1"/>
  <c r="C122" i="63" l="1"/>
  <c r="E31" i="40"/>
  <c r="E32" i="40"/>
  <c r="E27" i="40"/>
  <c r="D35" i="40" l="1"/>
  <c r="D27" i="40"/>
  <c r="D23" i="40"/>
  <c r="D19" i="40"/>
  <c r="D15" i="40" l="1"/>
  <c r="I32" i="15" l="1"/>
  <c r="H32" i="15"/>
  <c r="J32" i="15" s="1"/>
  <c r="G32" i="15"/>
  <c r="D32" i="15"/>
  <c r="E32" i="15" s="1"/>
  <c r="C29" i="15"/>
  <c r="C31" i="15" s="1"/>
  <c r="C33" i="15" s="1"/>
  <c r="J28" i="15"/>
  <c r="F28" i="15"/>
  <c r="E28" i="15"/>
  <c r="J27" i="15"/>
  <c r="F27" i="15"/>
  <c r="E27" i="15"/>
  <c r="J26" i="15"/>
  <c r="F26" i="15"/>
  <c r="E26" i="15"/>
  <c r="J25" i="15"/>
  <c r="F25" i="15"/>
  <c r="E25" i="15"/>
  <c r="J24" i="15"/>
  <c r="F24" i="15"/>
  <c r="E24" i="15"/>
  <c r="I23" i="15"/>
  <c r="J23" i="15" s="1"/>
  <c r="J22" i="15" s="1"/>
  <c r="H23" i="15"/>
  <c r="G23" i="15"/>
  <c r="G22" i="15" s="1"/>
  <c r="G14" i="15" s="1"/>
  <c r="G29" i="15" s="1"/>
  <c r="E23" i="15"/>
  <c r="E22" i="15" s="1"/>
  <c r="D23" i="15"/>
  <c r="H22" i="15"/>
  <c r="D22" i="15"/>
  <c r="C22" i="15"/>
  <c r="J21" i="15"/>
  <c r="F21" i="15"/>
  <c r="E21" i="15"/>
  <c r="J20" i="15"/>
  <c r="F20" i="15"/>
  <c r="E20" i="15"/>
  <c r="J19" i="15"/>
  <c r="F19" i="15"/>
  <c r="E19" i="15"/>
  <c r="J18" i="15"/>
  <c r="F18" i="15"/>
  <c r="E18" i="15"/>
  <c r="J17" i="15"/>
  <c r="F17" i="15"/>
  <c r="E17" i="15"/>
  <c r="H16" i="15"/>
  <c r="J16" i="15" s="1"/>
  <c r="J15" i="15" s="1"/>
  <c r="J14" i="15" s="1"/>
  <c r="F16" i="15"/>
  <c r="F15" i="15" s="1"/>
  <c r="E16" i="15"/>
  <c r="E15" i="15" s="1"/>
  <c r="D16" i="15"/>
  <c r="I15" i="15"/>
  <c r="H15" i="15"/>
  <c r="G15" i="15"/>
  <c r="D15" i="15"/>
  <c r="C15" i="15"/>
  <c r="H14" i="15"/>
  <c r="H29" i="15" s="1"/>
  <c r="D14" i="15"/>
  <c r="C14" i="15"/>
  <c r="J13" i="15"/>
  <c r="F13" i="15"/>
  <c r="E13" i="15"/>
  <c r="E11" i="15" s="1"/>
  <c r="J12" i="15"/>
  <c r="F12" i="15"/>
  <c r="E12" i="15"/>
  <c r="J11" i="15"/>
  <c r="I11" i="15"/>
  <c r="F11" i="15"/>
  <c r="D11" i="15"/>
  <c r="D29" i="15" s="1"/>
  <c r="D31" i="15" s="1"/>
  <c r="D33" i="15" s="1"/>
  <c r="C11" i="15"/>
  <c r="J29" i="15" l="1"/>
  <c r="E14" i="15"/>
  <c r="E29" i="15" s="1"/>
  <c r="E31" i="15" s="1"/>
  <c r="E33" i="15" s="1"/>
  <c r="I22" i="15"/>
  <c r="I14" i="15" s="1"/>
  <c r="I29" i="15" s="1"/>
  <c r="F23" i="15"/>
  <c r="F22" i="15" s="1"/>
  <c r="F14" i="15" s="1"/>
  <c r="F29" i="15" s="1"/>
  <c r="F32" i="15"/>
  <c r="C10" i="19" l="1"/>
  <c r="I41" i="53" l="1"/>
  <c r="G41" i="53"/>
  <c r="F41" i="53"/>
  <c r="E41" i="53"/>
  <c r="C41" i="53"/>
  <c r="I34" i="53"/>
  <c r="H34" i="53"/>
  <c r="H41" i="53" s="1"/>
  <c r="G34" i="53"/>
  <c r="F34" i="53"/>
  <c r="E34" i="53"/>
  <c r="D34" i="53"/>
  <c r="D41" i="53" s="1"/>
  <c r="C34" i="53"/>
  <c r="I29" i="53"/>
  <c r="H29" i="53"/>
  <c r="G29" i="53"/>
  <c r="F29" i="53"/>
  <c r="E29" i="53"/>
  <c r="D29" i="53"/>
  <c r="C29" i="53"/>
  <c r="I18" i="53"/>
  <c r="H18" i="53"/>
  <c r="G18" i="53"/>
  <c r="F18" i="53"/>
  <c r="E18" i="53"/>
  <c r="D18" i="53"/>
  <c r="C18" i="53"/>
  <c r="I14" i="53"/>
  <c r="H14" i="53"/>
  <c r="G14" i="53"/>
  <c r="F14" i="53"/>
  <c r="E14" i="53"/>
  <c r="D14" i="53"/>
  <c r="C14" i="53"/>
  <c r="I10" i="53"/>
  <c r="H10" i="53"/>
  <c r="H32" i="53" s="1"/>
  <c r="H43" i="53" s="1"/>
  <c r="G10" i="53"/>
  <c r="G32" i="53" s="1"/>
  <c r="G43" i="53" s="1"/>
  <c r="F10" i="53"/>
  <c r="E10" i="53"/>
  <c r="D10" i="53"/>
  <c r="D32" i="53" s="1"/>
  <c r="D43" i="53" s="1"/>
  <c r="C10" i="53"/>
  <c r="C32" i="53" s="1"/>
  <c r="C43" i="53" s="1"/>
  <c r="I8" i="53"/>
  <c r="I32" i="53" s="1"/>
  <c r="I43" i="53" s="1"/>
  <c r="H8" i="53"/>
  <c r="G8" i="53"/>
  <c r="F8" i="53"/>
  <c r="F32" i="53" s="1"/>
  <c r="F43" i="53" s="1"/>
  <c r="E8" i="53"/>
  <c r="E32" i="53" s="1"/>
  <c r="E43" i="53" s="1"/>
  <c r="D8" i="53"/>
  <c r="C8" i="53"/>
  <c r="B44" i="62" l="1"/>
  <c r="B7" i="62"/>
  <c r="B232" i="61" l="1"/>
  <c r="J231" i="61"/>
  <c r="J230" i="61" s="1"/>
  <c r="I231" i="61"/>
  <c r="I230" i="61" s="1"/>
  <c r="H231" i="61"/>
  <c r="H230" i="61" s="1"/>
  <c r="G231" i="61"/>
  <c r="G230" i="61" s="1"/>
  <c r="F231" i="61"/>
  <c r="F230" i="61" s="1"/>
  <c r="E231" i="61"/>
  <c r="E230" i="61" s="1"/>
  <c r="D231" i="61"/>
  <c r="C231" i="61"/>
  <c r="C230" i="61" s="1"/>
  <c r="B229" i="61"/>
  <c r="J228" i="61"/>
  <c r="I228" i="61"/>
  <c r="I227" i="61" s="1"/>
  <c r="H228" i="61"/>
  <c r="H227" i="61" s="1"/>
  <c r="G228" i="61"/>
  <c r="G227" i="61" s="1"/>
  <c r="F228" i="61"/>
  <c r="F227" i="61" s="1"/>
  <c r="E228" i="61"/>
  <c r="E227" i="61" s="1"/>
  <c r="D228" i="61"/>
  <c r="D227" i="61" s="1"/>
  <c r="C228" i="61"/>
  <c r="J227" i="61"/>
  <c r="B226" i="61"/>
  <c r="B225" i="61"/>
  <c r="J224" i="61"/>
  <c r="I224" i="61"/>
  <c r="I223" i="61" s="1"/>
  <c r="H224" i="61"/>
  <c r="H223" i="61" s="1"/>
  <c r="G224" i="61"/>
  <c r="G223" i="61" s="1"/>
  <c r="F224" i="61"/>
  <c r="F223" i="61" s="1"/>
  <c r="E224" i="61"/>
  <c r="E223" i="61" s="1"/>
  <c r="D224" i="61"/>
  <c r="D223" i="61" s="1"/>
  <c r="C224" i="61"/>
  <c r="J223" i="61"/>
  <c r="B222" i="61"/>
  <c r="J221" i="61"/>
  <c r="J220" i="61" s="1"/>
  <c r="I221" i="61"/>
  <c r="I220" i="61" s="1"/>
  <c r="H221" i="61"/>
  <c r="H220" i="61" s="1"/>
  <c r="G221" i="61"/>
  <c r="G220" i="61" s="1"/>
  <c r="F221" i="61"/>
  <c r="F220" i="61" s="1"/>
  <c r="E221" i="61"/>
  <c r="D221" i="61"/>
  <c r="D220" i="61" s="1"/>
  <c r="C221" i="61"/>
  <c r="C220" i="61" s="1"/>
  <c r="B219" i="61"/>
  <c r="J218" i="61"/>
  <c r="J217" i="61" s="1"/>
  <c r="I218" i="61"/>
  <c r="I217" i="61" s="1"/>
  <c r="H218" i="61"/>
  <c r="H217" i="61" s="1"/>
  <c r="G218" i="61"/>
  <c r="G217" i="61" s="1"/>
  <c r="F218" i="61"/>
  <c r="F217" i="61" s="1"/>
  <c r="E218" i="61"/>
  <c r="E217" i="61" s="1"/>
  <c r="E216" i="61" s="1"/>
  <c r="D218" i="61"/>
  <c r="C218" i="61"/>
  <c r="C217" i="61" s="1"/>
  <c r="B215" i="61"/>
  <c r="B214" i="61"/>
  <c r="J213" i="61"/>
  <c r="I213" i="61"/>
  <c r="H213" i="61"/>
  <c r="G213" i="61"/>
  <c r="F213" i="61"/>
  <c r="E213" i="61"/>
  <c r="D213" i="61"/>
  <c r="C213" i="61"/>
  <c r="B212" i="61"/>
  <c r="B211" i="61"/>
  <c r="J210" i="61"/>
  <c r="I210" i="61"/>
  <c r="H210" i="61"/>
  <c r="G210" i="61"/>
  <c r="F210" i="61"/>
  <c r="E210" i="61"/>
  <c r="D210" i="61"/>
  <c r="C210" i="61"/>
  <c r="B209" i="61"/>
  <c r="J208" i="61"/>
  <c r="I208" i="61"/>
  <c r="H208" i="61"/>
  <c r="G208" i="61"/>
  <c r="F208" i="61"/>
  <c r="E208" i="61"/>
  <c r="D208" i="61"/>
  <c r="C208" i="61"/>
  <c r="B206" i="61"/>
  <c r="J205" i="61"/>
  <c r="I205" i="61"/>
  <c r="H205" i="61"/>
  <c r="G205" i="61"/>
  <c r="F205" i="61"/>
  <c r="E205" i="61"/>
  <c r="D205" i="61"/>
  <c r="C205" i="61"/>
  <c r="H204" i="61"/>
  <c r="C204" i="61"/>
  <c r="B203" i="61"/>
  <c r="J202" i="61"/>
  <c r="I202" i="61"/>
  <c r="G202" i="61"/>
  <c r="F202" i="61"/>
  <c r="E202" i="61"/>
  <c r="D202" i="61"/>
  <c r="C202" i="61"/>
  <c r="B201" i="61"/>
  <c r="B200" i="61"/>
  <c r="J199" i="61"/>
  <c r="I199" i="61"/>
  <c r="H199" i="61"/>
  <c r="G199" i="61"/>
  <c r="F199" i="61"/>
  <c r="E199" i="61"/>
  <c r="D199" i="61"/>
  <c r="C199" i="61"/>
  <c r="B198" i="61"/>
  <c r="B197" i="61"/>
  <c r="B196" i="61"/>
  <c r="B195" i="61"/>
  <c r="J194" i="61"/>
  <c r="I194" i="61"/>
  <c r="H194" i="61"/>
  <c r="G194" i="61"/>
  <c r="F194" i="61"/>
  <c r="E194" i="61"/>
  <c r="D194" i="61"/>
  <c r="C194" i="61"/>
  <c r="B193" i="61"/>
  <c r="B191" i="61"/>
  <c r="J190" i="61"/>
  <c r="I190" i="61"/>
  <c r="H190" i="61"/>
  <c r="G190" i="61"/>
  <c r="F190" i="61"/>
  <c r="E190" i="61"/>
  <c r="D190" i="61"/>
  <c r="C190" i="61"/>
  <c r="B188" i="61"/>
  <c r="C187" i="61"/>
  <c r="B187" i="61" s="1"/>
  <c r="J186" i="61"/>
  <c r="B186" i="61" s="1"/>
  <c r="B185" i="61"/>
  <c r="H184" i="61"/>
  <c r="B184" i="61" s="1"/>
  <c r="B183" i="61"/>
  <c r="B182" i="61"/>
  <c r="B181" i="61"/>
  <c r="H180" i="61"/>
  <c r="C180" i="61"/>
  <c r="B179" i="61"/>
  <c r="I178" i="61"/>
  <c r="H178" i="61"/>
  <c r="B177" i="61"/>
  <c r="I176" i="61"/>
  <c r="G176" i="61"/>
  <c r="F176" i="61"/>
  <c r="E176" i="61"/>
  <c r="D176" i="61"/>
  <c r="B175" i="61"/>
  <c r="J174" i="61"/>
  <c r="I174" i="61"/>
  <c r="H174" i="61"/>
  <c r="G174" i="61"/>
  <c r="F174" i="61"/>
  <c r="E174" i="61"/>
  <c r="D174" i="61"/>
  <c r="C174" i="61"/>
  <c r="B173" i="61"/>
  <c r="B172" i="61"/>
  <c r="B171" i="61"/>
  <c r="J170" i="61"/>
  <c r="I170" i="61"/>
  <c r="H170" i="61"/>
  <c r="G170" i="61"/>
  <c r="F170" i="61"/>
  <c r="E170" i="61"/>
  <c r="D170" i="61"/>
  <c r="C170" i="61"/>
  <c r="B169" i="61"/>
  <c r="B168" i="61"/>
  <c r="J167" i="61"/>
  <c r="I167" i="61"/>
  <c r="H167" i="61"/>
  <c r="G167" i="61"/>
  <c r="F167" i="61"/>
  <c r="E167" i="61"/>
  <c r="D167" i="61"/>
  <c r="C167" i="61"/>
  <c r="B165" i="61"/>
  <c r="B164" i="61"/>
  <c r="B163" i="61"/>
  <c r="B162" i="61"/>
  <c r="B161" i="61"/>
  <c r="B160" i="61"/>
  <c r="J159" i="61"/>
  <c r="I159" i="61"/>
  <c r="H159" i="61"/>
  <c r="G159" i="61"/>
  <c r="F159" i="61"/>
  <c r="E159" i="61"/>
  <c r="D159" i="61"/>
  <c r="C159" i="61"/>
  <c r="B158" i="61"/>
  <c r="B157" i="61"/>
  <c r="B156" i="61"/>
  <c r="B155" i="61"/>
  <c r="J154" i="61"/>
  <c r="I154" i="61"/>
  <c r="H154" i="61"/>
  <c r="G154" i="61"/>
  <c r="F154" i="61"/>
  <c r="E154" i="61"/>
  <c r="D154" i="61"/>
  <c r="C154" i="61"/>
  <c r="B153" i="61"/>
  <c r="B152" i="61"/>
  <c r="B151" i="61"/>
  <c r="B150" i="61"/>
  <c r="B149" i="61"/>
  <c r="B148" i="61"/>
  <c r="B147" i="61"/>
  <c r="B146" i="61"/>
  <c r="B145" i="61"/>
  <c r="B144" i="61"/>
  <c r="B143" i="61"/>
  <c r="B142" i="61"/>
  <c r="B141" i="61"/>
  <c r="J140" i="61"/>
  <c r="I140" i="61"/>
  <c r="H140" i="61"/>
  <c r="G140" i="61"/>
  <c r="F140" i="61"/>
  <c r="E140" i="61"/>
  <c r="D140" i="61"/>
  <c r="C140" i="61"/>
  <c r="B139" i="61"/>
  <c r="B138" i="61"/>
  <c r="B137" i="61"/>
  <c r="B136" i="61"/>
  <c r="G135" i="61"/>
  <c r="B135" i="61" s="1"/>
  <c r="B134" i="61"/>
  <c r="B133" i="61"/>
  <c r="B132" i="61"/>
  <c r="J131" i="61"/>
  <c r="I131" i="61"/>
  <c r="H131" i="61"/>
  <c r="F131" i="61"/>
  <c r="E131" i="61"/>
  <c r="D131" i="61"/>
  <c r="C131" i="61"/>
  <c r="B129" i="61"/>
  <c r="B128" i="61"/>
  <c r="B127" i="61"/>
  <c r="B126" i="61"/>
  <c r="B125" i="61"/>
  <c r="B124" i="61"/>
  <c r="J123" i="61"/>
  <c r="I123" i="61"/>
  <c r="H123" i="61"/>
  <c r="G123" i="61"/>
  <c r="F123" i="61"/>
  <c r="E123" i="61"/>
  <c r="D123" i="61"/>
  <c r="C123" i="61"/>
  <c r="B122" i="61"/>
  <c r="G121" i="61"/>
  <c r="B121" i="61" s="1"/>
  <c r="J120" i="61"/>
  <c r="I120" i="61"/>
  <c r="H120" i="61"/>
  <c r="F120" i="61"/>
  <c r="E120" i="61"/>
  <c r="D120" i="61"/>
  <c r="C120" i="61"/>
  <c r="B119" i="61"/>
  <c r="B118" i="61"/>
  <c r="B117" i="61"/>
  <c r="J116" i="61"/>
  <c r="I116" i="61"/>
  <c r="H116" i="61"/>
  <c r="G116" i="61"/>
  <c r="F116" i="61"/>
  <c r="E116" i="61"/>
  <c r="D116" i="61"/>
  <c r="C116" i="61"/>
  <c r="B114" i="61"/>
  <c r="B113" i="61"/>
  <c r="J112" i="61"/>
  <c r="I112" i="61"/>
  <c r="H112" i="61"/>
  <c r="G112" i="61"/>
  <c r="F112" i="61"/>
  <c r="E112" i="61"/>
  <c r="D112" i="61"/>
  <c r="C112" i="61"/>
  <c r="B111" i="61"/>
  <c r="B110" i="61"/>
  <c r="B109" i="61"/>
  <c r="J108" i="61"/>
  <c r="I108" i="61"/>
  <c r="H108" i="61"/>
  <c r="G108" i="61"/>
  <c r="F108" i="61"/>
  <c r="E108" i="61"/>
  <c r="D108" i="61"/>
  <c r="B107" i="61"/>
  <c r="J106" i="61"/>
  <c r="I106" i="61"/>
  <c r="H106" i="61"/>
  <c r="G106" i="61"/>
  <c r="E106" i="61"/>
  <c r="D106" i="61"/>
  <c r="C106" i="61"/>
  <c r="B105" i="61"/>
  <c r="B104" i="61"/>
  <c r="B103" i="61"/>
  <c r="B102" i="61"/>
  <c r="B101" i="61"/>
  <c r="B100" i="61"/>
  <c r="J99" i="61"/>
  <c r="I99" i="61"/>
  <c r="H99" i="61"/>
  <c r="G99" i="61"/>
  <c r="F99" i="61"/>
  <c r="E99" i="61"/>
  <c r="D99" i="61"/>
  <c r="C99" i="61"/>
  <c r="H97" i="61"/>
  <c r="B97" i="61" s="1"/>
  <c r="B96" i="61"/>
  <c r="B95" i="61"/>
  <c r="J94" i="61"/>
  <c r="I94" i="61"/>
  <c r="G94" i="61"/>
  <c r="F94" i="61"/>
  <c r="E94" i="61"/>
  <c r="D94" i="61"/>
  <c r="C94" i="61"/>
  <c r="B93" i="61"/>
  <c r="G92" i="61"/>
  <c r="J91" i="61"/>
  <c r="I91" i="61"/>
  <c r="H91" i="61"/>
  <c r="F91" i="61"/>
  <c r="E91" i="61"/>
  <c r="D91" i="61"/>
  <c r="C91" i="61"/>
  <c r="B90" i="61"/>
  <c r="J89" i="61"/>
  <c r="I89" i="61"/>
  <c r="H89" i="61"/>
  <c r="G89" i="61"/>
  <c r="F89" i="61"/>
  <c r="E89" i="61"/>
  <c r="D89" i="61"/>
  <c r="C89" i="61"/>
  <c r="B87" i="61"/>
  <c r="B86" i="61"/>
  <c r="J85" i="61"/>
  <c r="I85" i="61"/>
  <c r="H85" i="61"/>
  <c r="G85" i="61"/>
  <c r="F85" i="61"/>
  <c r="E85" i="61"/>
  <c r="D85" i="61"/>
  <c r="C85" i="61"/>
  <c r="B84" i="61"/>
  <c r="J83" i="61"/>
  <c r="I83" i="61"/>
  <c r="H83" i="61"/>
  <c r="G83" i="61"/>
  <c r="F83" i="61"/>
  <c r="E83" i="61"/>
  <c r="D83" i="61"/>
  <c r="C83" i="61"/>
  <c r="B82" i="61"/>
  <c r="J81" i="61"/>
  <c r="I81" i="61"/>
  <c r="H81" i="61"/>
  <c r="G81" i="61"/>
  <c r="F81" i="61"/>
  <c r="E81" i="61"/>
  <c r="D81" i="61"/>
  <c r="C81" i="61"/>
  <c r="B78" i="61"/>
  <c r="J77" i="61"/>
  <c r="J76" i="61" s="1"/>
  <c r="I77" i="61"/>
  <c r="I76" i="61" s="1"/>
  <c r="H77" i="61"/>
  <c r="H76" i="61" s="1"/>
  <c r="G77" i="61"/>
  <c r="G76" i="61" s="1"/>
  <c r="F77" i="61"/>
  <c r="F76" i="61" s="1"/>
  <c r="E77" i="61"/>
  <c r="E76" i="61" s="1"/>
  <c r="D77" i="61"/>
  <c r="D76" i="61" s="1"/>
  <c r="C77" i="61"/>
  <c r="C76" i="61" s="1"/>
  <c r="B75" i="61"/>
  <c r="B74" i="61"/>
  <c r="B73" i="61"/>
  <c r="B72" i="61"/>
  <c r="B71" i="61"/>
  <c r="B70" i="61"/>
  <c r="B69" i="61"/>
  <c r="B68" i="61"/>
  <c r="B67" i="61"/>
  <c r="J66" i="61"/>
  <c r="I66" i="61"/>
  <c r="I65" i="61" s="1"/>
  <c r="H66" i="61"/>
  <c r="H65" i="61" s="1"/>
  <c r="G66" i="61"/>
  <c r="G65" i="61" s="1"/>
  <c r="F66" i="61"/>
  <c r="F65" i="61" s="1"/>
  <c r="E66" i="61"/>
  <c r="E65" i="61" s="1"/>
  <c r="D66" i="61"/>
  <c r="D65" i="61" s="1"/>
  <c r="C66" i="61"/>
  <c r="J65" i="61"/>
  <c r="C64" i="61"/>
  <c r="B64" i="61" s="1"/>
  <c r="E63" i="61"/>
  <c r="D63" i="61"/>
  <c r="B62" i="61"/>
  <c r="H61" i="61"/>
  <c r="C61" i="61"/>
  <c r="B60" i="61"/>
  <c r="B59" i="61"/>
  <c r="H58" i="61"/>
  <c r="B58" i="61" s="1"/>
  <c r="H57" i="61"/>
  <c r="B57" i="61" s="1"/>
  <c r="C57" i="61"/>
  <c r="B56" i="61"/>
  <c r="B55" i="61"/>
  <c r="B54" i="61"/>
  <c r="B53" i="61"/>
  <c r="B52" i="61"/>
  <c r="E51" i="61"/>
  <c r="J50" i="61"/>
  <c r="J49" i="61" s="1"/>
  <c r="I50" i="61"/>
  <c r="I49" i="61" s="1"/>
  <c r="G50" i="61"/>
  <c r="G49" i="61" s="1"/>
  <c r="F50" i="61"/>
  <c r="F49" i="61" s="1"/>
  <c r="D50" i="61"/>
  <c r="D49" i="61" s="1"/>
  <c r="B48" i="61"/>
  <c r="B47" i="61"/>
  <c r="B46" i="61"/>
  <c r="B45" i="61"/>
  <c r="B44" i="61"/>
  <c r="J43" i="61"/>
  <c r="I43" i="61"/>
  <c r="I42" i="61" s="1"/>
  <c r="H43" i="61"/>
  <c r="H42" i="61" s="1"/>
  <c r="G43" i="61"/>
  <c r="G42" i="61" s="1"/>
  <c r="F43" i="61"/>
  <c r="F42" i="61" s="1"/>
  <c r="E43" i="61"/>
  <c r="E42" i="61" s="1"/>
  <c r="D43" i="61"/>
  <c r="D42" i="61" s="1"/>
  <c r="C43" i="61"/>
  <c r="J42" i="61"/>
  <c r="B41" i="61"/>
  <c r="B40" i="61"/>
  <c r="G39" i="61"/>
  <c r="B39" i="61" s="1"/>
  <c r="J38" i="61"/>
  <c r="J37" i="61" s="1"/>
  <c r="I38" i="61"/>
  <c r="I37" i="61" s="1"/>
  <c r="H38" i="61"/>
  <c r="H37" i="61" s="1"/>
  <c r="F38" i="61"/>
  <c r="F37" i="61" s="1"/>
  <c r="E38" i="61"/>
  <c r="E37" i="61" s="1"/>
  <c r="D38" i="61"/>
  <c r="D37" i="61" s="1"/>
  <c r="C38" i="61"/>
  <c r="B36" i="61"/>
  <c r="H35" i="61"/>
  <c r="H32" i="61" s="1"/>
  <c r="H31" i="61" s="1"/>
  <c r="C35" i="61"/>
  <c r="B34" i="61"/>
  <c r="B33" i="61"/>
  <c r="J32" i="61"/>
  <c r="J31" i="61" s="1"/>
  <c r="I32" i="61"/>
  <c r="I31" i="61" s="1"/>
  <c r="G32" i="61"/>
  <c r="G31" i="61" s="1"/>
  <c r="F32" i="61"/>
  <c r="F31" i="61" s="1"/>
  <c r="E32" i="61"/>
  <c r="E31" i="61" s="1"/>
  <c r="D32" i="61"/>
  <c r="D31" i="61" s="1"/>
  <c r="J30" i="61"/>
  <c r="I30" i="61"/>
  <c r="H30" i="61"/>
  <c r="H29" i="61"/>
  <c r="C29" i="61"/>
  <c r="H28" i="61"/>
  <c r="B27" i="61"/>
  <c r="B26" i="61"/>
  <c r="B25" i="61"/>
  <c r="B24" i="61"/>
  <c r="B23" i="61"/>
  <c r="B22" i="61"/>
  <c r="B21" i="61"/>
  <c r="B20" i="61"/>
  <c r="B19" i="61"/>
  <c r="J18" i="61"/>
  <c r="J17" i="61" s="1"/>
  <c r="G18" i="61"/>
  <c r="G17" i="61" s="1"/>
  <c r="F18" i="61"/>
  <c r="F17" i="61" s="1"/>
  <c r="E18" i="61"/>
  <c r="E17" i="61" s="1"/>
  <c r="D18" i="61"/>
  <c r="D17" i="61" s="1"/>
  <c r="C18" i="61"/>
  <c r="B16" i="61"/>
  <c r="D15" i="61"/>
  <c r="B15" i="61" s="1"/>
  <c r="B14" i="61"/>
  <c r="C13" i="61"/>
  <c r="B13" i="61" s="1"/>
  <c r="B12" i="61"/>
  <c r="J11" i="61"/>
  <c r="J10" i="61" s="1"/>
  <c r="I11" i="61"/>
  <c r="I10" i="61" s="1"/>
  <c r="H11" i="61"/>
  <c r="H10" i="61" s="1"/>
  <c r="G11" i="61"/>
  <c r="F11" i="61"/>
  <c r="F10" i="61" s="1"/>
  <c r="E11" i="61"/>
  <c r="E10" i="61" s="1"/>
  <c r="D11" i="61"/>
  <c r="D10" i="61" s="1"/>
  <c r="G10" i="61"/>
  <c r="F216" i="61" l="1"/>
  <c r="D115" i="61"/>
  <c r="E88" i="61"/>
  <c r="F115" i="61"/>
  <c r="G80" i="61"/>
  <c r="J88" i="61"/>
  <c r="I216" i="61"/>
  <c r="E166" i="61"/>
  <c r="I166" i="61"/>
  <c r="F207" i="61"/>
  <c r="J207" i="61"/>
  <c r="B35" i="61"/>
  <c r="G131" i="61"/>
  <c r="G130" i="61" s="1"/>
  <c r="F130" i="61"/>
  <c r="J130" i="61"/>
  <c r="B30" i="61"/>
  <c r="I98" i="61"/>
  <c r="B108" i="61"/>
  <c r="H115" i="61"/>
  <c r="C189" i="61"/>
  <c r="D207" i="61"/>
  <c r="H207" i="61"/>
  <c r="C207" i="61"/>
  <c r="E207" i="61"/>
  <c r="I207" i="61"/>
  <c r="F9" i="61"/>
  <c r="C11" i="61"/>
  <c r="B76" i="61"/>
  <c r="B77" i="61"/>
  <c r="B83" i="61"/>
  <c r="C88" i="61"/>
  <c r="F98" i="61"/>
  <c r="J98" i="61"/>
  <c r="B174" i="61"/>
  <c r="G189" i="61"/>
  <c r="E80" i="61"/>
  <c r="I80" i="61"/>
  <c r="G98" i="61"/>
  <c r="J115" i="61"/>
  <c r="E130" i="61"/>
  <c r="I130" i="61"/>
  <c r="D189" i="61"/>
  <c r="E98" i="61"/>
  <c r="I88" i="61"/>
  <c r="B180" i="61"/>
  <c r="B190" i="61"/>
  <c r="G207" i="61"/>
  <c r="I18" i="61"/>
  <c r="I17" i="61" s="1"/>
  <c r="I9" i="61" s="1"/>
  <c r="B29" i="61"/>
  <c r="H50" i="61"/>
  <c r="H49" i="61" s="1"/>
  <c r="H94" i="61"/>
  <c r="B94" i="61" s="1"/>
  <c r="B170" i="61"/>
  <c r="C176" i="61"/>
  <c r="C166" i="61" s="1"/>
  <c r="G166" i="61"/>
  <c r="B178" i="61"/>
  <c r="E189" i="61"/>
  <c r="I189" i="61"/>
  <c r="B210" i="61"/>
  <c r="H130" i="61"/>
  <c r="C32" i="61"/>
  <c r="B32" i="61" s="1"/>
  <c r="C80" i="61"/>
  <c r="B85" i="61"/>
  <c r="D98" i="61"/>
  <c r="H98" i="61"/>
  <c r="B112" i="61"/>
  <c r="B123" i="61"/>
  <c r="B140" i="61"/>
  <c r="F166" i="61"/>
  <c r="B194" i="61"/>
  <c r="B208" i="61"/>
  <c r="B221" i="61"/>
  <c r="J216" i="61"/>
  <c r="J9" i="61"/>
  <c r="B220" i="61"/>
  <c r="D9" i="61"/>
  <c r="G38" i="61"/>
  <c r="G37" i="61" s="1"/>
  <c r="G9" i="61" s="1"/>
  <c r="B63" i="61"/>
  <c r="D80" i="61"/>
  <c r="H80" i="61"/>
  <c r="D88" i="61"/>
  <c r="B106" i="61"/>
  <c r="G120" i="61"/>
  <c r="B120" i="61" s="1"/>
  <c r="J176" i="61"/>
  <c r="J166" i="61" s="1"/>
  <c r="B205" i="61"/>
  <c r="B28" i="61"/>
  <c r="H18" i="61"/>
  <c r="H17" i="61" s="1"/>
  <c r="H9" i="61" s="1"/>
  <c r="B92" i="61"/>
  <c r="G91" i="61"/>
  <c r="B159" i="61"/>
  <c r="D130" i="61"/>
  <c r="D166" i="61"/>
  <c r="B167" i="61"/>
  <c r="B224" i="61"/>
  <c r="C223" i="61"/>
  <c r="B223" i="61" s="1"/>
  <c r="D230" i="61"/>
  <c r="B230" i="61" s="1"/>
  <c r="B231" i="61"/>
  <c r="C17" i="61"/>
  <c r="E115" i="61"/>
  <c r="I115" i="61"/>
  <c r="D217" i="61"/>
  <c r="D216" i="61" s="1"/>
  <c r="B218" i="61"/>
  <c r="H216" i="61"/>
  <c r="C37" i="61"/>
  <c r="B89" i="61"/>
  <c r="F88" i="61"/>
  <c r="C98" i="61"/>
  <c r="B99" i="61"/>
  <c r="F189" i="61"/>
  <c r="J189" i="61"/>
  <c r="G216" i="61"/>
  <c r="B228" i="61"/>
  <c r="C227" i="61"/>
  <c r="B227" i="61" s="1"/>
  <c r="B43" i="61"/>
  <c r="C42" i="61"/>
  <c r="B42" i="61" s="1"/>
  <c r="B51" i="61"/>
  <c r="E50" i="61"/>
  <c r="E49" i="61" s="1"/>
  <c r="E9" i="61" s="1"/>
  <c r="C50" i="61"/>
  <c r="B61" i="61"/>
  <c r="B66" i="61"/>
  <c r="C65" i="61"/>
  <c r="B65" i="61" s="1"/>
  <c r="B81" i="61"/>
  <c r="F80" i="61"/>
  <c r="J80" i="61"/>
  <c r="B116" i="61"/>
  <c r="C115" i="61"/>
  <c r="B154" i="61"/>
  <c r="B199" i="61"/>
  <c r="B204" i="61"/>
  <c r="H202" i="61"/>
  <c r="B202" i="61" s="1"/>
  <c r="B213" i="61"/>
  <c r="C130" i="61"/>
  <c r="H176" i="61"/>
  <c r="C216" i="61"/>
  <c r="AN80" i="51"/>
  <c r="AN79" i="51"/>
  <c r="AN78" i="51"/>
  <c r="AN77" i="51"/>
  <c r="AN76" i="51"/>
  <c r="AN75" i="51"/>
  <c r="AN74" i="51"/>
  <c r="AN73" i="51"/>
  <c r="AN72" i="51"/>
  <c r="AN71" i="51"/>
  <c r="AN70" i="51"/>
  <c r="AN69" i="51"/>
  <c r="AN68" i="51"/>
  <c r="AN67" i="51"/>
  <c r="AN66" i="51"/>
  <c r="AN65" i="51"/>
  <c r="AN64" i="51"/>
  <c r="AN63" i="51"/>
  <c r="AN62" i="51"/>
  <c r="AN61" i="51"/>
  <c r="AN60" i="51"/>
  <c r="AN59" i="51"/>
  <c r="AN58" i="51"/>
  <c r="AN57" i="51"/>
  <c r="AN56" i="51"/>
  <c r="AN55" i="51"/>
  <c r="AN54" i="51"/>
  <c r="AN53" i="51"/>
  <c r="AN52" i="51"/>
  <c r="AN51" i="51"/>
  <c r="AN50" i="51"/>
  <c r="AN49" i="51"/>
  <c r="AN48" i="51"/>
  <c r="AN47" i="51"/>
  <c r="AN46" i="51"/>
  <c r="AN45" i="51"/>
  <c r="AN44" i="51"/>
  <c r="AN43" i="51"/>
  <c r="AN42" i="51"/>
  <c r="AN41" i="51"/>
  <c r="AN40" i="51"/>
  <c r="AN39" i="51"/>
  <c r="AN38" i="51"/>
  <c r="AN37" i="51"/>
  <c r="AN36" i="51"/>
  <c r="AN35" i="51"/>
  <c r="AN34" i="51"/>
  <c r="AN33" i="51"/>
  <c r="AN32" i="51"/>
  <c r="AN31" i="51"/>
  <c r="AN30" i="51"/>
  <c r="AN29" i="51"/>
  <c r="AN28" i="51"/>
  <c r="AN27" i="51"/>
  <c r="AN26" i="51"/>
  <c r="AN25" i="51"/>
  <c r="AN24" i="51"/>
  <c r="AN23" i="51"/>
  <c r="AN22" i="51"/>
  <c r="AN21" i="51"/>
  <c r="AN20" i="51"/>
  <c r="AN19" i="51"/>
  <c r="AN18" i="51"/>
  <c r="AN17" i="51"/>
  <c r="AN16" i="51"/>
  <c r="AN15" i="51"/>
  <c r="AN14" i="51"/>
  <c r="AN13" i="51"/>
  <c r="AN12" i="51"/>
  <c r="AN11" i="51"/>
  <c r="AN10" i="51"/>
  <c r="AN9" i="51"/>
  <c r="AN8" i="51"/>
  <c r="AN7" i="51"/>
  <c r="AN6" i="51"/>
  <c r="B131" i="61" l="1"/>
  <c r="E79" i="61"/>
  <c r="G115" i="61"/>
  <c r="B115" i="61" s="1"/>
  <c r="B207" i="61"/>
  <c r="B38" i="61"/>
  <c r="I79" i="61"/>
  <c r="I8" i="61" s="1"/>
  <c r="D79" i="61"/>
  <c r="D8" i="61" s="1"/>
  <c r="C10" i="61"/>
  <c r="B10" i="61" s="1"/>
  <c r="B11" i="61"/>
  <c r="B130" i="61"/>
  <c r="B37" i="61"/>
  <c r="H88" i="61"/>
  <c r="C31" i="61"/>
  <c r="B31" i="61" s="1"/>
  <c r="J79" i="61"/>
  <c r="J8" i="61" s="1"/>
  <c r="B176" i="61"/>
  <c r="F79" i="61"/>
  <c r="F8" i="61" s="1"/>
  <c r="B98" i="61"/>
  <c r="E8" i="61"/>
  <c r="H166" i="61"/>
  <c r="B166" i="61" s="1"/>
  <c r="B217" i="61"/>
  <c r="B91" i="61"/>
  <c r="G88" i="61"/>
  <c r="C79" i="61"/>
  <c r="H189" i="61"/>
  <c r="B189" i="61" s="1"/>
  <c r="B216" i="61"/>
  <c r="B80" i="61"/>
  <c r="B50" i="61"/>
  <c r="C49" i="61"/>
  <c r="B49" i="61" s="1"/>
  <c r="B17" i="61"/>
  <c r="B18" i="61"/>
  <c r="C47" i="31"/>
  <c r="E45" i="31"/>
  <c r="F45" i="31" s="1"/>
  <c r="F44" i="31"/>
  <c r="E44" i="31"/>
  <c r="E43" i="31"/>
  <c r="F43" i="31" s="1"/>
  <c r="F42" i="31"/>
  <c r="E42" i="31"/>
  <c r="E41" i="31"/>
  <c r="F41" i="31" s="1"/>
  <c r="F40" i="31"/>
  <c r="E40" i="31"/>
  <c r="E39" i="31"/>
  <c r="F39" i="31" s="1"/>
  <c r="F38" i="31"/>
  <c r="E38" i="31"/>
  <c r="E37" i="31"/>
  <c r="F37" i="31" s="1"/>
  <c r="F36" i="31"/>
  <c r="E36" i="31"/>
  <c r="E35" i="31"/>
  <c r="F35" i="31" s="1"/>
  <c r="F34" i="31"/>
  <c r="E34" i="31"/>
  <c r="E33" i="31"/>
  <c r="F33" i="31" s="1"/>
  <c r="F32" i="31"/>
  <c r="E32" i="31"/>
  <c r="E31" i="31"/>
  <c r="F31" i="31" s="1"/>
  <c r="F30" i="31"/>
  <c r="E30" i="31"/>
  <c r="E29" i="31"/>
  <c r="F29" i="31" s="1"/>
  <c r="F28" i="31"/>
  <c r="E28" i="31"/>
  <c r="E27" i="31"/>
  <c r="F27" i="31" s="1"/>
  <c r="F26" i="31"/>
  <c r="E26" i="31"/>
  <c r="E25" i="31"/>
  <c r="F25" i="31" s="1"/>
  <c r="F24" i="31"/>
  <c r="E24" i="31"/>
  <c r="E23" i="31"/>
  <c r="F23" i="31" s="1"/>
  <c r="F22" i="31"/>
  <c r="E22" i="31"/>
  <c r="E21" i="31"/>
  <c r="F21" i="31" s="1"/>
  <c r="F20" i="31"/>
  <c r="E20" i="31"/>
  <c r="E19" i="31"/>
  <c r="F19" i="31" s="1"/>
  <c r="F18" i="31"/>
  <c r="E18" i="31"/>
  <c r="E17" i="31"/>
  <c r="F17" i="31" s="1"/>
  <c r="F16" i="31"/>
  <c r="E16" i="31"/>
  <c r="E15" i="31"/>
  <c r="F15" i="31" s="1"/>
  <c r="F14" i="31"/>
  <c r="E14" i="31"/>
  <c r="E13" i="31"/>
  <c r="F13" i="31" s="1"/>
  <c r="F12" i="31"/>
  <c r="E12" i="31"/>
  <c r="E11" i="31"/>
  <c r="F11" i="31" s="1"/>
  <c r="F10" i="31"/>
  <c r="E10" i="31"/>
  <c r="E9" i="31"/>
  <c r="F9" i="31" s="1"/>
  <c r="G79" i="61" l="1"/>
  <c r="G8" i="61" s="1"/>
  <c r="C9" i="61"/>
  <c r="B9" i="61" s="1"/>
  <c r="B88" i="61"/>
  <c r="H79" i="61"/>
  <c r="H8" i="61" s="1"/>
  <c r="F47" i="31"/>
  <c r="C8" i="61" l="1"/>
  <c r="B8" i="61" s="1"/>
  <c r="B79" i="61"/>
  <c r="B27" i="60"/>
  <c r="B9" i="60" l="1"/>
  <c r="E39" i="40" l="1"/>
  <c r="E50" i="40"/>
  <c r="D50" i="40" l="1"/>
  <c r="E35" i="40"/>
  <c r="E19" i="40" l="1"/>
  <c r="E16" i="40" l="1"/>
  <c r="E15" i="40"/>
  <c r="E11" i="40"/>
  <c r="C507" i="36" l="1"/>
  <c r="C54" i="36" l="1"/>
  <c r="C56" i="36"/>
  <c r="C59" i="36"/>
  <c r="C61" i="36"/>
  <c r="C96" i="36"/>
  <c r="C496" i="36"/>
  <c r="C494" i="36" s="1"/>
  <c r="C278" i="36"/>
  <c r="C506" i="36"/>
  <c r="C482" i="36"/>
  <c r="C480" i="36"/>
  <c r="C444" i="36"/>
  <c r="C436" i="36"/>
  <c r="C429" i="36"/>
  <c r="C424" i="36"/>
  <c r="C420" i="36"/>
  <c r="C418" i="36"/>
  <c r="C416" i="36"/>
  <c r="C402" i="36"/>
  <c r="C404" i="36" s="1"/>
  <c r="C377" i="36"/>
  <c r="C369" i="36"/>
  <c r="C371" i="36" s="1"/>
  <c r="C338" i="36"/>
  <c r="C340" i="36" s="1"/>
  <c r="C334" i="36"/>
  <c r="C337" i="36" s="1"/>
  <c r="C431" i="36" l="1"/>
  <c r="C433" i="36" s="1"/>
  <c r="C341" i="36"/>
  <c r="C265" i="36"/>
  <c r="C233" i="36"/>
  <c r="C240" i="36"/>
  <c r="C224" i="36"/>
  <c r="C215" i="36"/>
  <c r="C196" i="36"/>
  <c r="C198" i="36"/>
  <c r="C200" i="36"/>
  <c r="C204" i="36"/>
  <c r="C175" i="36"/>
  <c r="C212" i="36" l="1"/>
  <c r="C216" i="36" s="1"/>
  <c r="C165" i="36"/>
  <c r="C151" i="36"/>
  <c r="C83" i="36"/>
  <c r="C79" i="36"/>
  <c r="C81" i="36" s="1"/>
  <c r="C53" i="36"/>
  <c r="C46" i="36"/>
  <c r="C43" i="36"/>
  <c r="C41" i="36"/>
  <c r="C19" i="36"/>
  <c r="C23" i="36"/>
  <c r="C16" i="36"/>
  <c r="C84" i="36" l="1"/>
  <c r="C49" i="36"/>
  <c r="C50" i="36" s="1"/>
  <c r="A51" i="18" l="1"/>
  <c r="A52" i="18" s="1"/>
  <c r="A53" i="18" s="1"/>
  <c r="A54" i="18" s="1"/>
  <c r="A55" i="18" s="1"/>
  <c r="A56" i="18" s="1"/>
  <c r="A57" i="18" s="1"/>
  <c r="A60" i="18" s="1"/>
  <c r="A61" i="18" s="1"/>
  <c r="A62" i="18" s="1"/>
  <c r="A63" i="18" s="1"/>
  <c r="D16" i="13" l="1"/>
  <c r="E14" i="13"/>
  <c r="D14" i="13"/>
  <c r="C508" i="36" l="1"/>
  <c r="C509" i="36" s="1"/>
  <c r="C510" i="36" s="1"/>
  <c r="C440" i="36"/>
  <c r="C438" i="36"/>
  <c r="C397" i="36"/>
  <c r="C380" i="36"/>
  <c r="C375" i="36"/>
  <c r="C446" i="36" l="1"/>
  <c r="C306" i="36"/>
  <c r="C308" i="36" s="1"/>
  <c r="C298" i="36"/>
  <c r="C309" i="36" l="1"/>
  <c r="C51" i="40" l="1"/>
  <c r="C50" i="40"/>
  <c r="F49" i="40"/>
  <c r="E49" i="40"/>
  <c r="D49" i="40"/>
  <c r="C44" i="40"/>
  <c r="C43" i="40"/>
  <c r="F42" i="40"/>
  <c r="E42" i="40"/>
  <c r="D42" i="40"/>
  <c r="C42" i="40"/>
  <c r="C40" i="40"/>
  <c r="C39" i="40"/>
  <c r="F38" i="40"/>
  <c r="D38" i="40"/>
  <c r="C36" i="40"/>
  <c r="C35" i="40"/>
  <c r="F34" i="40"/>
  <c r="E34" i="40"/>
  <c r="D34" i="40"/>
  <c r="C32" i="40"/>
  <c r="E30" i="40"/>
  <c r="C31" i="40"/>
  <c r="F30" i="40"/>
  <c r="D30" i="40"/>
  <c r="C28" i="40"/>
  <c r="F48" i="40"/>
  <c r="F26" i="40"/>
  <c r="E26" i="40"/>
  <c r="D26" i="40"/>
  <c r="C24" i="40"/>
  <c r="C23" i="40"/>
  <c r="C22" i="40" s="1"/>
  <c r="F22" i="40"/>
  <c r="E22" i="40"/>
  <c r="D22" i="40"/>
  <c r="C20" i="40"/>
  <c r="E48" i="40"/>
  <c r="D48" i="40"/>
  <c r="F18" i="40"/>
  <c r="E18" i="40"/>
  <c r="D18" i="40"/>
  <c r="C16" i="40"/>
  <c r="C15" i="40"/>
  <c r="F14" i="40"/>
  <c r="E14" i="40"/>
  <c r="D14" i="40"/>
  <c r="C12" i="40"/>
  <c r="C11" i="40"/>
  <c r="F10" i="40"/>
  <c r="E10" i="40"/>
  <c r="D10" i="40"/>
  <c r="C34" i="40" l="1"/>
  <c r="C30" i="40"/>
  <c r="F47" i="40"/>
  <c r="F52" i="40" s="1"/>
  <c r="C49" i="40"/>
  <c r="C14" i="40"/>
  <c r="E47" i="40"/>
  <c r="E52" i="40" s="1"/>
  <c r="C27" i="40"/>
  <c r="C26" i="40" s="1"/>
  <c r="C38" i="40"/>
  <c r="C19" i="40"/>
  <c r="C18" i="40" s="1"/>
  <c r="C10" i="40"/>
  <c r="D47" i="40"/>
  <c r="D52" i="40" s="1"/>
  <c r="C48" i="40"/>
  <c r="E38" i="40"/>
  <c r="C279" i="36"/>
  <c r="C253" i="36"/>
  <c r="C250" i="36"/>
  <c r="C236" i="36"/>
  <c r="C231" i="36"/>
  <c r="C178" i="36"/>
  <c r="C128" i="36"/>
  <c r="C130" i="36" s="1"/>
  <c r="C131" i="36" s="1"/>
  <c r="C99" i="36"/>
  <c r="C103" i="36" s="1"/>
  <c r="C66" i="36"/>
  <c r="C32" i="36"/>
  <c r="C34" i="36" s="1"/>
  <c r="C14" i="36"/>
  <c r="C47" i="40" l="1"/>
  <c r="C52" i="40"/>
  <c r="C255" i="36"/>
  <c r="C30" i="36"/>
  <c r="C35" i="36" s="1"/>
  <c r="A180" i="18" l="1"/>
  <c r="A181" i="18" s="1"/>
  <c r="A182" i="18" s="1"/>
  <c r="A183" i="18" s="1"/>
  <c r="A184" i="18" s="1"/>
  <c r="A185" i="18" s="1"/>
  <c r="A186" i="18" s="1"/>
  <c r="A189" i="18" s="1"/>
  <c r="A190" i="18" s="1"/>
  <c r="A191" i="18" s="1"/>
  <c r="A192" i="18" s="1"/>
  <c r="A115" i="18"/>
  <c r="A116" i="18" s="1"/>
  <c r="A117" i="18" s="1"/>
  <c r="A118" i="18" s="1"/>
  <c r="A119" i="18" s="1"/>
  <c r="A120" i="18" s="1"/>
  <c r="A121" i="18" s="1"/>
  <c r="A124" i="18" s="1"/>
  <c r="A125" i="18" s="1"/>
  <c r="A126" i="18" s="1"/>
  <c r="A127" i="18" s="1"/>
  <c r="C515" i="36" l="1"/>
  <c r="C517" i="36" s="1"/>
  <c r="C518" i="36" s="1"/>
  <c r="C519" i="36" s="1"/>
  <c r="C520" i="36" s="1"/>
  <c r="C497" i="36"/>
  <c r="C498" i="36" s="1"/>
  <c r="C488" i="36"/>
  <c r="C490" i="36" s="1"/>
  <c r="C476" i="36"/>
  <c r="C474" i="36"/>
  <c r="C466" i="36"/>
  <c r="C468" i="36" s="1"/>
  <c r="C469" i="36" s="1"/>
  <c r="C470" i="36" s="1"/>
  <c r="C455" i="36"/>
  <c r="C450" i="36"/>
  <c r="C447" i="36"/>
  <c r="C408" i="36"/>
  <c r="C411" i="36" s="1"/>
  <c r="C384" i="36"/>
  <c r="C400" i="36" s="1"/>
  <c r="C405" i="36" s="1"/>
  <c r="C365" i="36"/>
  <c r="C354" i="36"/>
  <c r="C350" i="36"/>
  <c r="C346" i="36"/>
  <c r="C344" i="36"/>
  <c r="C328" i="36"/>
  <c r="C316" i="36"/>
  <c r="C314" i="36"/>
  <c r="C312" i="36"/>
  <c r="C301" i="36"/>
  <c r="C302" i="36" s="1"/>
  <c r="C292" i="36"/>
  <c r="C294" i="36" s="1"/>
  <c r="C286" i="36"/>
  <c r="C288" i="36" s="1"/>
  <c r="C282" i="36"/>
  <c r="C268" i="36"/>
  <c r="C261" i="36"/>
  <c r="C259" i="36"/>
  <c r="C256" i="36"/>
  <c r="C227" i="36"/>
  <c r="C228" i="36" s="1"/>
  <c r="C190" i="36"/>
  <c r="C192" i="36" s="1"/>
  <c r="C182" i="36"/>
  <c r="C173" i="36"/>
  <c r="C169" i="36"/>
  <c r="C159" i="36"/>
  <c r="C155" i="36"/>
  <c r="C149" i="36"/>
  <c r="C138" i="36"/>
  <c r="C140" i="36" s="1"/>
  <c r="C141" i="36" s="1"/>
  <c r="C133" i="36"/>
  <c r="C135" i="36" s="1"/>
  <c r="C136" i="36" s="1"/>
  <c r="C121" i="36"/>
  <c r="C123" i="36" s="1"/>
  <c r="C124" i="36" s="1"/>
  <c r="C114" i="36"/>
  <c r="C117" i="36" s="1"/>
  <c r="C118" i="36" s="1"/>
  <c r="C107" i="36"/>
  <c r="C110" i="36" s="1"/>
  <c r="C111" i="36" s="1"/>
  <c r="C95" i="36"/>
  <c r="C98" i="36" s="1"/>
  <c r="C88" i="36"/>
  <c r="C90" i="36" s="1"/>
  <c r="C92" i="36" s="1"/>
  <c r="C70" i="36"/>
  <c r="C71" i="36" s="1"/>
  <c r="C60" i="36"/>
  <c r="C57" i="36"/>
  <c r="C36" i="36"/>
  <c r="D45" i="28"/>
  <c r="C484" i="36" l="1"/>
  <c r="C485" i="36" s="1"/>
  <c r="C188" i="36"/>
  <c r="C193" i="36" s="1"/>
  <c r="C330" i="36"/>
  <c r="C331" i="36" s="1"/>
  <c r="C295" i="36"/>
  <c r="C62" i="36"/>
  <c r="C63" i="36" s="1"/>
  <c r="C72" i="36" s="1"/>
  <c r="C104" i="36"/>
  <c r="C143" i="36" s="1"/>
  <c r="C162" i="36"/>
  <c r="C170" i="36" s="1"/>
  <c r="C368" i="36"/>
  <c r="C372" i="36" s="1"/>
  <c r="C413" i="36"/>
  <c r="C491" i="36"/>
  <c r="C284" i="36"/>
  <c r="C289" i="36" s="1"/>
  <c r="C457" i="36"/>
  <c r="C458" i="36" s="1"/>
  <c r="C460" i="36" l="1"/>
  <c r="C462" i="36" s="1"/>
  <c r="C218" i="36"/>
  <c r="C74" i="36"/>
  <c r="C499" i="36"/>
  <c r="C501" i="36" s="1"/>
  <c r="C522" i="36" l="1"/>
  <c r="E16" i="13" l="1"/>
</calcChain>
</file>

<file path=xl/sharedStrings.xml><?xml version="1.0" encoding="utf-8"?>
<sst xmlns="http://schemas.openxmlformats.org/spreadsheetml/2006/main" count="5341" uniqueCount="1602">
  <si>
    <t>ПРИХОДИ И ДОХОДИ ОТ СОБСТВЕНОСТ</t>
  </si>
  <si>
    <t>Събрани средства и извършени плащания за сметка на други бюджети, сметки и фондове - нето (+/-)</t>
  </si>
  <si>
    <t>събрани средства и извършени плащания от/за сметки за средствата от Европейския съюз (+/-)</t>
  </si>
  <si>
    <t>0100</t>
  </si>
  <si>
    <t>0103</t>
  </si>
  <si>
    <t>ПРИЛОЖЕНИЕ № 9</t>
  </si>
  <si>
    <t xml:space="preserve">С   П   И   С   Ъ   К </t>
  </si>
  <si>
    <t>Директор на детска ясла</t>
  </si>
  <si>
    <t>Директор на детска млечна кухня</t>
  </si>
  <si>
    <t>Управител/Директор на специализирана институция или социална услуга в общността</t>
  </si>
  <si>
    <t>Логопед</t>
  </si>
  <si>
    <t>Педагог</t>
  </si>
  <si>
    <t>Педагогически съветник</t>
  </si>
  <si>
    <t>Учител</t>
  </si>
  <si>
    <t>Възпитател</t>
  </si>
  <si>
    <t>Помощник - възпитател</t>
  </si>
  <si>
    <t>Лекар</t>
  </si>
  <si>
    <t>Фелдшер</t>
  </si>
  <si>
    <t>Медицинска сестра</t>
  </si>
  <si>
    <t>Социален работник</t>
  </si>
  <si>
    <t>Домакин</t>
  </si>
  <si>
    <t>Касиер</t>
  </si>
  <si>
    <t>Счетоводител</t>
  </si>
  <si>
    <t>Психолог</t>
  </si>
  <si>
    <t>Трудотерапевт</t>
  </si>
  <si>
    <t>Рехабилитатор</t>
  </si>
  <si>
    <t>Кинезитерапевт</t>
  </si>
  <si>
    <t>Консултант здравословно хранене</t>
  </si>
  <si>
    <t>Сътрудник, социални дейности</t>
  </si>
  <si>
    <t>Служител човешки ресурси</t>
  </si>
  <si>
    <t>Хигиенист, чистач</t>
  </si>
  <si>
    <t>Работник поддържка</t>
  </si>
  <si>
    <t>Готвач</t>
  </si>
  <si>
    <t>Помощник готвач</t>
  </si>
  <si>
    <t>Работник кухня</t>
  </si>
  <si>
    <t>Огняр</t>
  </si>
  <si>
    <t>Перач</t>
  </si>
  <si>
    <t>Санитар</t>
  </si>
  <si>
    <t>Пазач</t>
  </si>
  <si>
    <t>Електротехник</t>
  </si>
  <si>
    <t>Шивач</t>
  </si>
  <si>
    <t>Бръснар</t>
  </si>
  <si>
    <t>Портиер</t>
  </si>
  <si>
    <t>Детегледачка</t>
  </si>
  <si>
    <t>Шофьор</t>
  </si>
  <si>
    <t>Музиканти от Духов оркестър</t>
  </si>
  <si>
    <t>С  П  И  С  Ъ  К</t>
  </si>
  <si>
    <t>с право на заплащане на част от транспортните разходи,съгласно чл. 211 и чл. 219, ал. 5</t>
  </si>
  <si>
    <t xml:space="preserve"> от Закона предучилищното и училищното образование</t>
  </si>
  <si>
    <t>1.</t>
  </si>
  <si>
    <t xml:space="preserve">Директор </t>
  </si>
  <si>
    <t>2.</t>
  </si>
  <si>
    <t>Заместник - директор</t>
  </si>
  <si>
    <t>3.</t>
  </si>
  <si>
    <t>4.</t>
  </si>
  <si>
    <t>5.</t>
  </si>
  <si>
    <t>6.</t>
  </si>
  <si>
    <t>7.</t>
  </si>
  <si>
    <t>8.</t>
  </si>
  <si>
    <t>Корепетитор</t>
  </si>
  <si>
    <t>9.</t>
  </si>
  <si>
    <t>Хореограф</t>
  </si>
  <si>
    <t>10.</t>
  </si>
  <si>
    <t>Ръководител на направление " Информационни и комуникационни технологии"</t>
  </si>
  <si>
    <t>11.</t>
  </si>
  <si>
    <t>Рехабилитатори на слуха и говора</t>
  </si>
  <si>
    <t>12.</t>
  </si>
  <si>
    <t>Треньори по вид спорт</t>
  </si>
  <si>
    <t>Арбанаси</t>
  </si>
  <si>
    <t>Балван</t>
  </si>
  <si>
    <t>Беляковец</t>
  </si>
  <si>
    <t>Буковец</t>
  </si>
  <si>
    <t>Велчево</t>
  </si>
  <si>
    <t>Ветринци</t>
  </si>
  <si>
    <t>Водолей</t>
  </si>
  <si>
    <t>Войнежа</t>
  </si>
  <si>
    <t>Въглевци</t>
  </si>
  <si>
    <t>Габровци</t>
  </si>
  <si>
    <t>Дебелец</t>
  </si>
  <si>
    <t>Дичин</t>
  </si>
  <si>
    <t>Емен</t>
  </si>
  <si>
    <t>Килифарево</t>
  </si>
  <si>
    <t>Леденик</t>
  </si>
  <si>
    <t>Миндя</t>
  </si>
  <si>
    <t>Ново село</t>
  </si>
  <si>
    <t>Никюп</t>
  </si>
  <si>
    <t>Присово</t>
  </si>
  <si>
    <t>Плаково</t>
  </si>
  <si>
    <t>Пчелище</t>
  </si>
  <si>
    <t>Пушево</t>
  </si>
  <si>
    <t>Райковци</t>
  </si>
  <si>
    <t>Ресен</t>
  </si>
  <si>
    <t>Русаля</t>
  </si>
  <si>
    <t>Самоводене</t>
  </si>
  <si>
    <t>Хотница</t>
  </si>
  <si>
    <t>Шереметя</t>
  </si>
  <si>
    <t>Шемшево</t>
  </si>
  <si>
    <t>Ялово</t>
  </si>
  <si>
    <t>В. Търново</t>
  </si>
  <si>
    <t>ПОДСЕКТОР "МЕСТНО УПРАВЛЕНИЕ"</t>
  </si>
  <si>
    <t>Наименование   на търговското дружество-                                             ЕООД</t>
  </si>
  <si>
    <t>Печалба/Загуба</t>
  </si>
  <si>
    <t xml:space="preserve">„ЦПЗ-Велико Търново” ЕООД </t>
  </si>
  <si>
    <t>" Инвестстрой 92 "ЕООД</t>
  </si>
  <si>
    <t xml:space="preserve">„КОЦ-Велико Търново” ЕООД </t>
  </si>
  <si>
    <t>"Обредни дейности"ЕООД</t>
  </si>
  <si>
    <t>"ОДПГ" ЕООД</t>
  </si>
  <si>
    <t>"Царевград Търнов"ЕООД</t>
  </si>
  <si>
    <t xml:space="preserve">„ЦКВЗ-Велико Търново” ЕООД </t>
  </si>
  <si>
    <t>"МЦРСМ І" ЕООД</t>
  </si>
  <si>
    <t>ВСИЧКО:</t>
  </si>
  <si>
    <t>в дка</t>
  </si>
  <si>
    <t xml:space="preserve">Код -Класификатор за начина на трайно ползване на поземлените имоти
</t>
  </si>
  <si>
    <t xml:space="preserve"> Начин на  трайно ползване</t>
  </si>
  <si>
    <t>В. вода</t>
  </si>
  <si>
    <t>Големаните</t>
  </si>
  <si>
    <t>Капиново</t>
  </si>
  <si>
    <t>М. чифлик</t>
  </si>
  <si>
    <t>М. сбор</t>
  </si>
  <si>
    <t>Ц. кория</t>
  </si>
  <si>
    <t>ОБЩО</t>
  </si>
  <si>
    <t>Код /вид територия/-3</t>
  </si>
  <si>
    <t xml:space="preserve">  Населено място </t>
  </si>
  <si>
    <t>Ниско застрояване (до 10 м)</t>
  </si>
  <si>
    <t>Средно застрояване (от 10 до 15 m)</t>
  </si>
  <si>
    <t>Високо застрояване (над 15 m)</t>
  </si>
  <si>
    <t>Комплексно застрояване</t>
  </si>
  <si>
    <t>Незастроен имот за жилищни нужди</t>
  </si>
  <si>
    <t>За друг вид застрояване</t>
  </si>
  <si>
    <t>290,166
+пр.предн ЗЗ за жил.нужди</t>
  </si>
  <si>
    <t>За обект комплекс за здравеопазване</t>
  </si>
  <si>
    <t>За обект комплекс за образование</t>
  </si>
  <si>
    <t>За обект комплекс за култура и изкуство</t>
  </si>
  <si>
    <t>За обект комплекс за социални грижи</t>
  </si>
  <si>
    <t>За административна сграда комплекс</t>
  </si>
  <si>
    <t>За обект за детско заведение</t>
  </si>
  <si>
    <t>За търговски обект, комплекс</t>
  </si>
  <si>
    <t>За обект комплекс за битово обслужване</t>
  </si>
  <si>
    <t>За обект комплекс за научна и проектантска дейност</t>
  </si>
  <si>
    <t>За култова религиозна сграда, комплекс</t>
  </si>
  <si>
    <t>Незастроен имот за обществена сграда, комплекс</t>
  </si>
  <si>
    <t>За друг обществен обект, комплекс</t>
  </si>
  <si>
    <t>Обществен селищен парк, градина</t>
  </si>
  <si>
    <t>Обществен извънселищен парк, горски парк</t>
  </si>
  <si>
    <t>Гробищен парк</t>
  </si>
  <si>
    <t>За защитно и изолационно озеленяване</t>
  </si>
  <si>
    <t>За друг вид озеленени площи</t>
  </si>
  <si>
    <t>Спортно игрище</t>
  </si>
  <si>
    <t>Незастроен имот за спортен обект</t>
  </si>
  <si>
    <t>За други видове спорт</t>
  </si>
  <si>
    <t>За вилна сграда/вилна зона/</t>
  </si>
  <si>
    <t>За туристическа база, хижа</t>
  </si>
  <si>
    <t>За курортен хотел, почивен дом</t>
  </si>
  <si>
    <t>За къмпинг, мотел</t>
  </si>
  <si>
    <t>За електроенергийното производство</t>
  </si>
  <si>
    <t>За топлоенергийното производство</t>
  </si>
  <si>
    <t>За друго производство на продукта от нефт,въглища,газ,шисти</t>
  </si>
  <si>
    <t>За черната и цветната металургия</t>
  </si>
  <si>
    <t>За машиностроителната н машиннообработващата промишленост</t>
  </si>
  <si>
    <t>За дърводобивната и дървообработващата промишленост</t>
  </si>
  <si>
    <t>За производството на стр. материали, конструкции и изделия</t>
  </si>
  <si>
    <t>За текстилната промишленост</t>
  </si>
  <si>
    <t>За шивашката промишленост</t>
  </si>
  <si>
    <t>За хранително-вкусовата промишленост</t>
  </si>
  <si>
    <t>За полиграфическата промишленост</t>
  </si>
  <si>
    <t>За складова база</t>
  </si>
  <si>
    <t>Незастроен имот за производствен, складов обект</t>
  </si>
  <si>
    <t>За друг вид производствен, складов обект
/променено предназначение ЗЗ/</t>
  </si>
  <si>
    <t>За археологически паметник на културата</t>
  </si>
  <si>
    <t>За архитектурен паметник на културата</t>
  </si>
  <si>
    <t>За исторически паметник, историческо място</t>
  </si>
  <si>
    <t>За паметник на изобразителното и приложното изкуство</t>
  </si>
  <si>
    <t>За друг имот на културно-историческото наследство</t>
  </si>
  <si>
    <t>За първостепенна улица</t>
  </si>
  <si>
    <t>За второстепенна улица</t>
  </si>
  <si>
    <t>За алея</t>
  </si>
  <si>
    <t>За кръстовище</t>
  </si>
  <si>
    <t>За площад</t>
  </si>
  <si>
    <t>За паркинг</t>
  </si>
  <si>
    <t>За вход на пешеходен подлез, метро</t>
  </si>
  <si>
    <t>За линии на релсов транспорт</t>
  </si>
  <si>
    <t>За депо за релсов транспорт</t>
  </si>
  <si>
    <t>За автогараж</t>
  </si>
  <si>
    <t>За път от републиканската пътна мрежа</t>
  </si>
  <si>
    <t>За автогара, автоспирка</t>
  </si>
  <si>
    <t>За бензиностанция, газостанция</t>
  </si>
  <si>
    <t>За железопътна гара, спирка</t>
  </si>
  <si>
    <t>За ремонт и поддържане на транспортни средства</t>
  </si>
  <si>
    <t>За друг поземлен имот за движение и транспорт</t>
  </si>
  <si>
    <t>За съоръжение на съобщителен провод</t>
  </si>
  <si>
    <t>За съоръжение на водопровод</t>
  </si>
  <si>
    <t>За съоръжение на канализация</t>
  </si>
  <si>
    <t>За съоръжение на електропровод</t>
  </si>
  <si>
    <t>За склад на държавния резерв</t>
  </si>
  <si>
    <t>За друг вид имот със специално предназначение и ползване</t>
  </si>
  <si>
    <t>Депо за индустриални отпадъци</t>
  </si>
  <si>
    <t>Депо за битови отпадъци (сметище)</t>
  </si>
  <si>
    <t>За друг вид отпадъци</t>
  </si>
  <si>
    <t xml:space="preserve">Баланса на урбанизираната територия на Община Велико Търново е изготвен по данните от КК и КР на гр.Велико Търново, гр.Килифарево и с.Арбанаси; КВС на населените места на община Велико Търново и данни от кадастралните и регулационните планове на населените места без изготвени кадастрални карти, съгласно НАРЕДБА № 3
за съдържанието, създаването и поддържането на кадастралната карта и кадастралните регистри.
</t>
  </si>
  <si>
    <t>С П И С Ъ К</t>
  </si>
  <si>
    <t>І. Първостепенни разпоредители:</t>
  </si>
  <si>
    <t>ІІ. Второстепенни разпоредители:</t>
  </si>
  <si>
    <t>ІІІ. Организации с нестопанска цел субсидирани от Община В.Търново:</t>
  </si>
  <si>
    <t>Читалищата на територията на Община Велико Търново:</t>
  </si>
  <si>
    <t>РЕКИЦ - В. Търново</t>
  </si>
  <si>
    <t xml:space="preserve">                      </t>
  </si>
  <si>
    <t>Управител на  ОП “Кабелно радио - Велико Търново”</t>
  </si>
  <si>
    <t>Управител на ОП “Зелени системи”</t>
  </si>
  <si>
    <t>Управител на ОП “Спортни имоти и прояви”</t>
  </si>
  <si>
    <t>Управител на ОП "Реклама - Велико Търново"</t>
  </si>
  <si>
    <t>Управител на ОП "Горско стопанство"</t>
  </si>
  <si>
    <t>Директор на ДКС “Васил Левски”</t>
  </si>
  <si>
    <t>Директор на Младежки дом</t>
  </si>
  <si>
    <t>Директор на ОУ “Христо Ботев”</t>
  </si>
  <si>
    <t>Директор на ОУ “Бачо Киро”</t>
  </si>
  <si>
    <t>Директор на ОУ “П. Р. Славейков”</t>
  </si>
  <si>
    <t>Директор на СУ “Владимир Комаров”</t>
  </si>
  <si>
    <t>Директор на СУ “Емилиян Станев”</t>
  </si>
  <si>
    <t>Директор на ПЕГ “Проф.д-р Асен Златаров”</t>
  </si>
  <si>
    <t>Директор на СУ “Вела Благоева”</t>
  </si>
  <si>
    <t>Директор на ОУ “Димитър Благоев”</t>
  </si>
  <si>
    <t>Директор на ПХГ “Св. св. Кирил и Методий”</t>
  </si>
  <si>
    <t>Директор на ОУ "В. Левски", с. Леденик</t>
  </si>
  <si>
    <t>Директор на ОУ "П.Р. Славейков", с. Ц. Кория</t>
  </si>
  <si>
    <t>Директор на ОУ "Хр. Смирненски", с. Самоводене</t>
  </si>
  <si>
    <t>Директор на ОУ "Хр. Ботев", с. Ресен</t>
  </si>
  <si>
    <t>Директор на ОУ "Хр. Смирненски", с. Водолей</t>
  </si>
  <si>
    <t>Директор на ОУ "Св. Иван Рилски", с. Балван</t>
  </si>
  <si>
    <t>Директор на ОУ "Д-р П. Берон", гр. Дебелец</t>
  </si>
  <si>
    <t>Директор на ОУ "Неофит Рилски", гр. Килифарево</t>
  </si>
  <si>
    <t>Директор на Регионален исторически музей Велико Търново</t>
  </si>
  <si>
    <t>Директор на Общинско ученическо общежитие "Кольо Фичето"</t>
  </si>
  <si>
    <t>Директор на ХГ "Борис Денев", гр. Велико Търново</t>
  </si>
  <si>
    <t>Директор на РБ "П.Р.Славейков", гр. В. Търново</t>
  </si>
  <si>
    <t>Кмет на Кметство Килифарево</t>
  </si>
  <si>
    <t>Кмет на Кметство Самоводене</t>
  </si>
  <si>
    <t>Кмет на Кметство Ресен</t>
  </si>
  <si>
    <t>Кмет на Кметство Дебелец</t>
  </si>
  <si>
    <t>ПРИЛОЖЕНИЕ 2</t>
  </si>
  <si>
    <t>изграждане на инфраструктурни обекти</t>
  </si>
  <si>
    <t>придобиване на компютри и хардуер</t>
  </si>
  <si>
    <t>ВСИЧКО РАЗХОДИ:</t>
  </si>
  <si>
    <t>платени държавни данъци, такси, наказателни лихви и административни санкции</t>
  </si>
  <si>
    <t>платени общински данъци, такси, наказателни лихви и административни санкции</t>
  </si>
  <si>
    <t>обезщетения и помощи по социалното подпомагане</t>
  </si>
  <si>
    <t>придобиване на друго оборудване, машини и съоръжения</t>
  </si>
  <si>
    <t>4600</t>
  </si>
  <si>
    <t>придобиване на програмни продукти и лицензи за програмни продукти</t>
  </si>
  <si>
    <t>Платени данъци, такси и административни санкции</t>
  </si>
  <si>
    <t>Текущи трансфери, обезщетения и помощи за домакинствата</t>
  </si>
  <si>
    <t>Кмет на  Община Велико Търново</t>
  </si>
  <si>
    <t>придобиване на транспортни средства</t>
  </si>
  <si>
    <t>РАЗШИФРОВКА НА КАПИТАЛОВИТЕ РАЗХОДИ, ФИНАНСИРАНИ ОТ ПРИХОДИ ПО 
§40-00 Постъпления от продажба на общински нефинансови активи съгл. чл.127, ал. 2 от ЗПФ</t>
  </si>
  <si>
    <t>(в лв.)</t>
  </si>
  <si>
    <t>No</t>
  </si>
  <si>
    <t>Наименование и местонахождение на обектите</t>
  </si>
  <si>
    <t>Годишна стойност</t>
  </si>
  <si>
    <t>Източник на финансиране</t>
  </si>
  <si>
    <t xml:space="preserve">§ 40-00 Постъпления от продажба на общински нефинансови активи </t>
  </si>
  <si>
    <t>Погасяване на ползвани заеми за финансиране на проекти на социалната и техническа инфраструктура</t>
  </si>
  <si>
    <t>№</t>
  </si>
  <si>
    <t xml:space="preserve">Елементи на дълга </t>
  </si>
  <si>
    <t>Размер на дълга</t>
  </si>
  <si>
    <t>Годишен размер на плащанията по дълга, съгл. чл.32, ал. 1 от ЗПФ</t>
  </si>
  <si>
    <t xml:space="preserve">Източници на финансиране: Собствени приходи, Обща изравнителна субсидия и чрез плащанията от  Управляващия орган съгласно Договор за безвъзмездна финансова помощ </t>
  </si>
  <si>
    <t xml:space="preserve">Общо </t>
  </si>
  <si>
    <t>В т.ч.</t>
  </si>
  <si>
    <t>Главница</t>
  </si>
  <si>
    <t>Лихви</t>
  </si>
  <si>
    <t>Такси, комисионни и др.</t>
  </si>
  <si>
    <t>Емитирани общински ценни книжа</t>
  </si>
  <si>
    <t>х</t>
  </si>
  <si>
    <t>1.1.</t>
  </si>
  <si>
    <t>Краткосрочни</t>
  </si>
  <si>
    <t>1.2.</t>
  </si>
  <si>
    <t>Дългосрочни</t>
  </si>
  <si>
    <t xml:space="preserve">Получени кредити </t>
  </si>
  <si>
    <t>2.1.</t>
  </si>
  <si>
    <t xml:space="preserve">Краткосрочни </t>
  </si>
  <si>
    <t>2.1.1.</t>
  </si>
  <si>
    <t>Договори за общински заеми</t>
  </si>
  <si>
    <t>2.1.2.</t>
  </si>
  <si>
    <t>Дълг на общински предприятия по чл. 52 от ЗОС</t>
  </si>
  <si>
    <t>2.1.3.</t>
  </si>
  <si>
    <t>Изискуеми/активирани/общински гаранции</t>
  </si>
  <si>
    <t>2.1.4.</t>
  </si>
  <si>
    <t>Безлихвени заеми, отпуснати по реда на чл. 43 от ЗУДБ</t>
  </si>
  <si>
    <t>2.1.5.</t>
  </si>
  <si>
    <t>Безлихвени заеми съгласно чл.3,т.6 от ЗОД</t>
  </si>
  <si>
    <t>2.1.6.</t>
  </si>
  <si>
    <t xml:space="preserve"> Задължения по търговски кредити</t>
  </si>
  <si>
    <t>2.2.</t>
  </si>
  <si>
    <t xml:space="preserve"> Дългосрочни </t>
  </si>
  <si>
    <t>2.2.1.</t>
  </si>
  <si>
    <t>2.2.2.</t>
  </si>
  <si>
    <t xml:space="preserve"> Дълг на общински предприятия по чл. 52 от ЗОС</t>
  </si>
  <si>
    <t xml:space="preserve">2.2.3. </t>
  </si>
  <si>
    <t>2.2.4.</t>
  </si>
  <si>
    <t>2.2.5.</t>
  </si>
  <si>
    <t xml:space="preserve"> Финансов лизинг над две години</t>
  </si>
  <si>
    <t>ОБЩО поет общински дълг /т.1+ т.2 + т.3/</t>
  </si>
  <si>
    <t>Номинал на издадените общ.гаранции</t>
  </si>
  <si>
    <t>ОБЩО общински дълг /т.4+ т.5/</t>
  </si>
  <si>
    <t>Размер на усвоените и изплатени средства от Фонд "ФЛАГ" ЕАД</t>
  </si>
  <si>
    <t>ВСИЧКО /т.6+т.7/</t>
  </si>
  <si>
    <t>§§</t>
  </si>
  <si>
    <t xml:space="preserve"> І. ПРИХОДИ </t>
  </si>
  <si>
    <t>I.ИМУЩЕСТВЕНИ ДАНЪЦИ И НЕДАНЪЧНИ ПРИХОДИ</t>
  </si>
  <si>
    <t>24-00</t>
  </si>
  <si>
    <t xml:space="preserve"> - приходи от лихви по текущи банкови сметки</t>
  </si>
  <si>
    <t>24-08</t>
  </si>
  <si>
    <t>Общински такси</t>
  </si>
  <si>
    <t>Помощи и дарения от чужбина</t>
  </si>
  <si>
    <t>46-00</t>
  </si>
  <si>
    <t xml:space="preserve"> - текущи помощи и дарения от Европейския съюз</t>
  </si>
  <si>
    <t>46-10</t>
  </si>
  <si>
    <t>I. ОБЩО ПРИХОДИ</t>
  </si>
  <si>
    <t>99-99</t>
  </si>
  <si>
    <t>ТРАНСФЕРИ</t>
  </si>
  <si>
    <t>Трансфери между бюджети и сметки за средствата от Европейския съюз (нето)</t>
  </si>
  <si>
    <t>62-00</t>
  </si>
  <si>
    <t xml:space="preserve"> - получени трансфери (+)</t>
  </si>
  <si>
    <t>62-01</t>
  </si>
  <si>
    <t>Трансфери между сметки за средствата от Европейския съюз (нето)</t>
  </si>
  <si>
    <t>63-00</t>
  </si>
  <si>
    <t>- получени трансфери (+)</t>
  </si>
  <si>
    <t>63-01</t>
  </si>
  <si>
    <t>- предоставени трансфери (-)</t>
  </si>
  <si>
    <t>63-02</t>
  </si>
  <si>
    <t>ВРЕМЕННИ БЕЗЛИХВЕНИ ЗАЕМИ</t>
  </si>
  <si>
    <t>Временни безлихвени заеми между бюджети и сметки за средствата от Европейския съюз (нето)</t>
  </si>
  <si>
    <t>76-00</t>
  </si>
  <si>
    <t>VІІ. ОПЕРАЦИИ С ФИНАНСОВИ АКТИВИ И ПАСИВИ</t>
  </si>
  <si>
    <t>Временно съхранявани средства и средства на разпореждане - нето (+/-)</t>
  </si>
  <si>
    <t>88-00</t>
  </si>
  <si>
    <t xml:space="preserve"> - средства на разпореждане предоставени / събрани от/за извънбюджетни сметки (+/-)</t>
  </si>
  <si>
    <t>88-03</t>
  </si>
  <si>
    <t>Депозити и средства по сметки - нето (+/-)     (този параграф се използва и за наличностите на ЦБ в БНБ)</t>
  </si>
  <si>
    <t>95-00</t>
  </si>
  <si>
    <t xml:space="preserve"> - остатък в левове по сметки от предходния период (+)</t>
  </si>
  <si>
    <t>95-01</t>
  </si>
  <si>
    <t xml:space="preserve"> - наличност в левове по сметки в края на периода (-)</t>
  </si>
  <si>
    <t>95-07</t>
  </si>
  <si>
    <t>ОБЩО ОПЕРАЦИИ С ФИНАНСОВИ АКТИВИ И ПАСИВИ</t>
  </si>
  <si>
    <t xml:space="preserve"> ОБЩО ПРИХОДИ НА ОБЩИНАТА:</t>
  </si>
  <si>
    <t>Заплати и възнаграждения за персонала, нает по трудови и служебни правоотношения</t>
  </si>
  <si>
    <t>01-00</t>
  </si>
  <si>
    <t xml:space="preserve"> - заплати и възнаграждения на персонала нает по трудови правоотношения</t>
  </si>
  <si>
    <t>01-01</t>
  </si>
  <si>
    <t xml:space="preserve"> - заплати и възнаграждения на персонала нает по служебни правоотношения</t>
  </si>
  <si>
    <t>01-02</t>
  </si>
  <si>
    <t>Други възнаграждения и плащания за персонала</t>
  </si>
  <si>
    <t>02-00</t>
  </si>
  <si>
    <t xml:space="preserve"> - за нещатен персонал нает по трудови правоотношения </t>
  </si>
  <si>
    <t>02-01</t>
  </si>
  <si>
    <t xml:space="preserve"> - за персонала по извънтрудови правоотношения</t>
  </si>
  <si>
    <t>02-02</t>
  </si>
  <si>
    <t xml:space="preserve"> - изплатени суми от СБКО, за облекло и други на персонала, с характер на възнаграждение</t>
  </si>
  <si>
    <t>02-05</t>
  </si>
  <si>
    <t xml:space="preserve"> - други плащания и възнаграждения</t>
  </si>
  <si>
    <t>02-09</t>
  </si>
  <si>
    <t>Задължителни осигурителни вноски от работодатели</t>
  </si>
  <si>
    <t>05-00</t>
  </si>
  <si>
    <t xml:space="preserve"> - осигурителни вноски от работодатели за Държавното обществено осигуряване (ДОО)</t>
  </si>
  <si>
    <t>05-51</t>
  </si>
  <si>
    <t xml:space="preserve"> - осигурителни вноски от работодатели за Учителския пенсионен фонд (УчПФ)</t>
  </si>
  <si>
    <t>05-52</t>
  </si>
  <si>
    <t xml:space="preserve"> - здравноосигурителни вноски от работодатели</t>
  </si>
  <si>
    <t>05-60</t>
  </si>
  <si>
    <t xml:space="preserve"> - вноски за допълнително задължително осигуряване от работодатели</t>
  </si>
  <si>
    <t>05-80</t>
  </si>
  <si>
    <t>Издръжка</t>
  </si>
  <si>
    <t>10-00</t>
  </si>
  <si>
    <t xml:space="preserve"> - храна</t>
  </si>
  <si>
    <t>10-11</t>
  </si>
  <si>
    <t>10-12</t>
  </si>
  <si>
    <t xml:space="preserve"> - постелен инвентар и облекло</t>
  </si>
  <si>
    <t>10-13</t>
  </si>
  <si>
    <t xml:space="preserve"> - учебни и научно-изследователски разходи и книги за библиотеките</t>
  </si>
  <si>
    <t>10-14</t>
  </si>
  <si>
    <t xml:space="preserve"> - материали</t>
  </si>
  <si>
    <t>10-15</t>
  </si>
  <si>
    <t xml:space="preserve"> - вода, горива и енергия</t>
  </si>
  <si>
    <t>10-16</t>
  </si>
  <si>
    <t xml:space="preserve"> - разходи за външни услуги</t>
  </si>
  <si>
    <t>10-20</t>
  </si>
  <si>
    <t xml:space="preserve"> - текущ ремонт</t>
  </si>
  <si>
    <t>10-30</t>
  </si>
  <si>
    <t xml:space="preserve"> - командировки в страната</t>
  </si>
  <si>
    <t>10-51</t>
  </si>
  <si>
    <t xml:space="preserve"> - краткосрочни командировки в чужбина</t>
  </si>
  <si>
    <t>10-52</t>
  </si>
  <si>
    <t xml:space="preserve"> - разходи за застраховки</t>
  </si>
  <si>
    <t>10-62</t>
  </si>
  <si>
    <t xml:space="preserve"> - други разходи, некласифицирани в другите параграфи и подпараграфи</t>
  </si>
  <si>
    <t>10-98</t>
  </si>
  <si>
    <t>19-00</t>
  </si>
  <si>
    <t xml:space="preserve"> - платени държавни данъци, такси, наказателни лихви и административни санкции</t>
  </si>
  <si>
    <t>19-01</t>
  </si>
  <si>
    <t>42-00</t>
  </si>
  <si>
    <t xml:space="preserve"> - обезщетения и помощи по социалното подпомагане</t>
  </si>
  <si>
    <t>42-02</t>
  </si>
  <si>
    <t>Субсидии и други текущи трансфери за юридически лица с нестопанска цел</t>
  </si>
  <si>
    <t>45-00</t>
  </si>
  <si>
    <t>Основен ремонт на ДМА</t>
  </si>
  <si>
    <t>51-00</t>
  </si>
  <si>
    <t>Придобиване на ДМА</t>
  </si>
  <si>
    <t>52-00</t>
  </si>
  <si>
    <t xml:space="preserve"> - придобиване на компютри и хардуер</t>
  </si>
  <si>
    <t>52-01</t>
  </si>
  <si>
    <t xml:space="preserve"> - придобиване на друго оборудване, машини и съоръжения</t>
  </si>
  <si>
    <t>52-03</t>
  </si>
  <si>
    <t xml:space="preserve"> - изграждане на инфраструктурни обекти</t>
  </si>
  <si>
    <t>52-06</t>
  </si>
  <si>
    <t>Придобиване на нематериални дълготрайни активи</t>
  </si>
  <si>
    <t>Придобиване на земя</t>
  </si>
  <si>
    <t>ВСИЧКО КАПИТАЛОВИ РАЗХОДИ:</t>
  </si>
  <si>
    <t>II. ОБЩО РАЗХОДИ РЕКАПИТУЛАЦИЯ</t>
  </si>
  <si>
    <t>Предоставени текущи и капиталови трансфери за чужбина</t>
  </si>
  <si>
    <t>49-00</t>
  </si>
  <si>
    <t>49-01</t>
  </si>
  <si>
    <t xml:space="preserve"> - капиталови трансфери за чужбина</t>
  </si>
  <si>
    <t>49-02</t>
  </si>
  <si>
    <t>С П Р А В К А</t>
  </si>
  <si>
    <t>№ по ред</t>
  </si>
  <si>
    <t>Държавни дейности</t>
  </si>
  <si>
    <t>Местни дейности</t>
  </si>
  <si>
    <t>Общи държавни служби - всичко:</t>
  </si>
  <si>
    <t>в т.ч.       - текущи разходи</t>
  </si>
  <si>
    <t xml:space="preserve">                - капиталови разходи</t>
  </si>
  <si>
    <t>Отбрана и сигурност - всичко:</t>
  </si>
  <si>
    <t>Образование - всичко:</t>
  </si>
  <si>
    <t>Здравеопазване - всичко:</t>
  </si>
  <si>
    <t>Социално осигуряване, подпомагане и грижи - всичко:</t>
  </si>
  <si>
    <t>Икономически дейности и услуги - всичко:</t>
  </si>
  <si>
    <t>Разходи, некласифицирани в другите разходи - всичко:</t>
  </si>
  <si>
    <t>Позиции от раздела за Финансиране на бюджетното салдо</t>
  </si>
  <si>
    <t>ОБЩО РАЗПРЕДЕЛЕН ПРЕХОДЕН ОСТАТЪК</t>
  </si>
  <si>
    <t>ПО РАЗПОРЕДИТЕЛИ С БЮДЖЕТНИ КРЕДИТИ, КМЕТСТВА И КМЕТСКИ НАМЕСТНИЧЕСТВА</t>
  </si>
  <si>
    <t>МЕРОПРИЯТИЯ/КМЕТСТВА</t>
  </si>
  <si>
    <t>Функция 1</t>
  </si>
  <si>
    <t>Функция 2</t>
  </si>
  <si>
    <t>Функция 3</t>
  </si>
  <si>
    <t>Функция 4</t>
  </si>
  <si>
    <t>Функция 5</t>
  </si>
  <si>
    <t>Функция 6</t>
  </si>
  <si>
    <t>Функция 7</t>
  </si>
  <si>
    <t>Функция 8</t>
  </si>
  <si>
    <t>Функция 9</t>
  </si>
  <si>
    <t>ВСИЧКО</t>
  </si>
  <si>
    <t>СБПФЗ "Д-р Трейман" ЕООД</t>
  </si>
  <si>
    <t>ЦПЗ - В.Търново ЕООД</t>
  </si>
  <si>
    <t>ЦКВЗС - В.Търново ЕООД</t>
  </si>
  <si>
    <t>КОЦ - В. Търново ЕООД</t>
  </si>
  <si>
    <t>Център за социални услуги</t>
  </si>
  <si>
    <t>ОП "Спортни имоти и прояви"</t>
  </si>
  <si>
    <t>ДКС "В. Левски"</t>
  </si>
  <si>
    <t>ОП "Кабелно радио - Велико Търново"</t>
  </si>
  <si>
    <t>ОП "Горско стопанство"</t>
  </si>
  <si>
    <t>ОП "Зелени системи"</t>
  </si>
  <si>
    <t>Младежки дом</t>
  </si>
  <si>
    <t>ОП "Реклама - Велико Търново"</t>
  </si>
  <si>
    <t>Велико Търново</t>
  </si>
  <si>
    <t>Ветренци</t>
  </si>
  <si>
    <t>Къпиново</t>
  </si>
  <si>
    <t>Малки Чифлик</t>
  </si>
  <si>
    <t>Момин сбор</t>
  </si>
  <si>
    <t>Церова кория</t>
  </si>
  <si>
    <t>ВСИЧКО СОБСТВЕН БЮДЖЕТ:</t>
  </si>
  <si>
    <t>КМ-ВА РАЙОН КИЛИФАРЕВО</t>
  </si>
  <si>
    <t>Вонеща вода</t>
  </si>
  <si>
    <t>ВС. КМ-ВА Р-Н КИЛИФАРЕВО:</t>
  </si>
  <si>
    <t>К-ВА НА САМОСТ. БЮДЖЕТ</t>
  </si>
  <si>
    <t>ВС. К-ВА НА САМОСТ.БЮДЖ.:</t>
  </si>
  <si>
    <t>ОБЩО ПО БЮДЖЕТА:</t>
  </si>
  <si>
    <t>ДЕЛЕГИРАНИ ДЪРЖАВНИ ДЕЙНОСТИ</t>
  </si>
  <si>
    <t>ЦЕЛЕВИ РАЗХОДИ</t>
  </si>
  <si>
    <t>Вид на целевия разход</t>
  </si>
  <si>
    <t>Размер</t>
  </si>
  <si>
    <t>Направление, функция, дейност</t>
  </si>
  <si>
    <t>Функция "Образование"; Други дейности по образованието</t>
  </si>
  <si>
    <t>Програма за борба с гръбначните изкривявания</t>
  </si>
  <si>
    <t>Лични празници на 100-годишни рожденници, жители на община Велико Търново</t>
  </si>
  <si>
    <t>Функция "Социално осигуряване подпомагане и грижи" ; Други служби и дейности по социалното осигуряване, подпомагане и заетостта</t>
  </si>
  <si>
    <t>Фонд „Инициативи на местните общности”</t>
  </si>
  <si>
    <t>Функция "Жил. строителство, БКС и опазване на околната среда" ; Други дейности по жилищното строителство, благоустройството и регионалното развитие</t>
  </si>
  <si>
    <t>Обезщетения и помощи по решение на Великотърновски общински съвет - помощи за погребение /социални и ветерани/</t>
  </si>
  <si>
    <t xml:space="preserve">Програма за развитие на физ.възпитание и спорта </t>
  </si>
  <si>
    <t xml:space="preserve">Културен календар </t>
  </si>
  <si>
    <t>Програма "Изкуство и култура Велико Търново"</t>
  </si>
  <si>
    <t>Културни мероприятия по кметства и кметски наместничества</t>
  </si>
  <si>
    <t>Общинска програма  - "Здрави деца в здрави семейства"</t>
  </si>
  <si>
    <t>Функция "Здравеопазване"; Други дейности по здравеопазване</t>
  </si>
  <si>
    <t>Програма за младежки дейности</t>
  </si>
  <si>
    <t>Функция "Образование"; Други дейности за младежта</t>
  </si>
  <si>
    <t>Функция "Социално осигуряване, подпомагане и грижи"; Други служби и дейности по социално осигуряване, подпомагане и заетостта</t>
  </si>
  <si>
    <t>Функция "Социално осигуряване, подпомагане и грижи";  Други служби и дейности по социално осигуряване, подпомагане и заетостта</t>
  </si>
  <si>
    <t>Съвместни проекти с БЧК и МЗ</t>
  </si>
  <si>
    <t>Р   А  З  П  Р  Е  Д  Е  Л  Е  Н  И  Е</t>
  </si>
  <si>
    <t>НА ЧИСЛЕНОСТТА И РАЗХОДИТЕ ЗА РАБОТНИ ЗАПЛАТИ ЗА ДЕЛЕГИРАНИТЕ ОТ ДЪРЖАВАТА ДЕЙНОСТИ,</t>
  </si>
  <si>
    <t xml:space="preserve">№ по ред </t>
  </si>
  <si>
    <t xml:space="preserve">П О К А З А Т Е Л И </t>
  </si>
  <si>
    <t>Численост на персонала</t>
  </si>
  <si>
    <t>Средства за работна заплата за един месец</t>
  </si>
  <si>
    <t>ДЕЛЕГИРАНИ ОТ ДЪРЖАВАТА ДЕЙНОСТИ</t>
  </si>
  <si>
    <t>I .</t>
  </si>
  <si>
    <t>Функция "Общи държавни служби"</t>
  </si>
  <si>
    <t xml:space="preserve">в т.ч. </t>
  </si>
  <si>
    <t>ПМС 66</t>
  </si>
  <si>
    <t>ІІ.</t>
  </si>
  <si>
    <t>Функция "Отбрана и сигурност"</t>
  </si>
  <si>
    <t>IIІ.</t>
  </si>
  <si>
    <t xml:space="preserve">Функция "Здравеопазване" </t>
  </si>
  <si>
    <t>Детски ясли, детски кухни и яслени групи в ОДЗ</t>
  </si>
  <si>
    <t>Здравен кабинет в детски градини и училища</t>
  </si>
  <si>
    <t>Други дейности по здравеопазването</t>
  </si>
  <si>
    <t>ІV.</t>
  </si>
  <si>
    <t>Функция  "Социално осигуряване, подпомагане и грижи"</t>
  </si>
  <si>
    <t>V.</t>
  </si>
  <si>
    <t>Функция " Почивно дело, култура, религиозни дейности"</t>
  </si>
  <si>
    <t>МЕСТНИ ДЕЙНОСТИ</t>
  </si>
  <si>
    <t>II.</t>
  </si>
  <si>
    <t>Функция "Образование"</t>
  </si>
  <si>
    <t>IІІ.</t>
  </si>
  <si>
    <t>Функция  "Жилищно строителство, Б К С и опазване на околната среда"</t>
  </si>
  <si>
    <t>Група 2 "Физическа култура и спорт"</t>
  </si>
  <si>
    <t>Плувен басейн</t>
  </si>
  <si>
    <t>ОП "Спортни имоти"</t>
  </si>
  <si>
    <t>Група 3 "Култура"</t>
  </si>
  <si>
    <t>Духов оркестър</t>
  </si>
  <si>
    <t>ОП "Общинско кабелно радио"</t>
  </si>
  <si>
    <t>1.3.</t>
  </si>
  <si>
    <t>ДКС "Васил Левски"</t>
  </si>
  <si>
    <t>Други дейности по културата</t>
  </si>
  <si>
    <t>VI.</t>
  </si>
  <si>
    <t>Функция "Икономически дейности и услуги"</t>
  </si>
  <si>
    <t>Група 2 "Селско стопанство, горско стопанство, лов и риболов</t>
  </si>
  <si>
    <t>ОП "Горско стопанство</t>
  </si>
  <si>
    <t>Група 6 "Други дейности по икономиката"</t>
  </si>
  <si>
    <t>Приют за кучета</t>
  </si>
  <si>
    <t xml:space="preserve">Административно - техническо обслужване </t>
  </si>
  <si>
    <t>2.3.</t>
  </si>
  <si>
    <t>ОП " Реклама "</t>
  </si>
  <si>
    <t>2.4.</t>
  </si>
  <si>
    <t>ДЪРЖАВНИ ДЕЙНОСТИ, ДОФИНАНСИРАНИ С МЕСТНИ ПРИХОДИ</t>
  </si>
  <si>
    <t>МЕРОПРИЯТИЯ КЪМ ОБЩИНА ВЕЛИКО ТЪРНОВО</t>
  </si>
  <si>
    <t>Общинска агенция по приватизация</t>
  </si>
  <si>
    <t>Забележка: Към средствата за работни заплати за един месец допълнително се начисляват ДОО и ЗОВ.</t>
  </si>
  <si>
    <t>Приватизация</t>
  </si>
  <si>
    <t>Собствени бюджетни средства</t>
  </si>
  <si>
    <t xml:space="preserve">Преходен остатък по бюджета </t>
  </si>
  <si>
    <t>Сметки за средства от Европейския съюз</t>
  </si>
  <si>
    <t>Прех.остатъци от трансфери м/у бюджета и ЦБ и други</t>
  </si>
  <si>
    <t>Други извънбюджетни средства</t>
  </si>
  <si>
    <t>5100  ОСНОВЕН  РЕМОНТ НА ДМА</t>
  </si>
  <si>
    <t>Функция 01 Общи държавни служби</t>
  </si>
  <si>
    <t>ОБЕКТИ</t>
  </si>
  <si>
    <t>Основен ремонт сгради общинска собственост на територията на кметство с. Хотница, 30% от продажби на общинско имущество</t>
  </si>
  <si>
    <t>Основен ремонт кметство с. Ветринци, 30% от продажби на общинско имущество</t>
  </si>
  <si>
    <t>Функция 02 Отбрана и сигурност</t>
  </si>
  <si>
    <t>Възстановяване на улици в с. Ново село - водостоци, ПМС 92/17.04.2015 г.</t>
  </si>
  <si>
    <t>Възстановяване на мост над р. Белица на път GAB 1111/III-303/, гр. Килифарево- с. Плаково, ПМС 247/07.11.2017 г.</t>
  </si>
  <si>
    <t>Функция 03 Образование</t>
  </si>
  <si>
    <t>Функция 04 Здравеопазване</t>
  </si>
  <si>
    <t>Функция 05  Социално осигур., подпомагане и грижи</t>
  </si>
  <si>
    <t>Функция 06 Жилищно строителство, Б К С и опазване  околната среда</t>
  </si>
  <si>
    <t>Функция 07 Почивно дело, култура, религиоз. дейности</t>
  </si>
  <si>
    <t>Основен ремонт на Военен клуб Велико Търново</t>
  </si>
  <si>
    <t>Функция 08 Икономически дейности и услуги</t>
  </si>
  <si>
    <t>5200  ПРИДОБИВАНЕ НА ДМА</t>
  </si>
  <si>
    <t>5201 Придобиване на компютри и хардуер</t>
  </si>
  <si>
    <t>5202 Придобиване на сгради</t>
  </si>
  <si>
    <t>5203 Придобиване на др. оборудване машини и съоръжения</t>
  </si>
  <si>
    <t>Климатици</t>
  </si>
  <si>
    <t>5204 Придобиване на транспортни средства</t>
  </si>
  <si>
    <t>5205  Придобиване на стопански инвентар</t>
  </si>
  <si>
    <t>Изграждане на видеонаблюдение в парковете "Света гора", "Марно поле", "Руски гробища", "Акация", "Зона В", "Бузлуджа", "Дружба","Н. Габровски", "Колю Фичето", "Чолаковци"</t>
  </si>
  <si>
    <t>5206 Инфраструктурни обекти</t>
  </si>
  <si>
    <t>5219 Придобиване на други ДМА</t>
  </si>
  <si>
    <t>Благоустройство на парково пространство със санитарен възел в с. Арбанаси</t>
  </si>
  <si>
    <t>5300  НМДА  Придобиване на НМДА</t>
  </si>
  <si>
    <t>5301- Придобиване на програмни продукти и лицензи за програмни продукти</t>
  </si>
  <si>
    <t>5400 ПРИДОБИВАНЕ НА ЗЕМЯ</t>
  </si>
  <si>
    <t>ПРИЛОЖЕНИЕ 21</t>
  </si>
  <si>
    <t xml:space="preserve">            ДЪЛЖИНА УЛИЧНА МРЕЖА ПО НАСЕЛЕНИ МЕСТА НА </t>
  </si>
  <si>
    <t xml:space="preserve">                     ТЕРИТОРИЯТА НА ОБЩИНА ВЕЛИКО ТЪРНОВО</t>
  </si>
  <si>
    <t>НАСЕЛЕНИ МЕСТА</t>
  </si>
  <si>
    <t xml:space="preserve"> / км /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</si>
  <si>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</si>
  <si>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</si>
  <si>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</si>
  <si>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</si>
  <si>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</si>
  <si>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</si>
  <si>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</si>
  <si>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</si>
  <si>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</si>
  <si>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</si>
  <si>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</si>
  <si>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</si>
  <si>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</si>
  <si>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</si>
  <si>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</si>
  <si>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</si>
  <si>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</si>
  <si>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</si>
  <si>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</si>
  <si>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</si>
  <si>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</si>
  <si>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</si>
  <si>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</si>
  <si>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</si>
  <si>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</si>
  <si>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общо:</t>
  </si>
  <si>
    <t>СПРАВКА</t>
  </si>
  <si>
    <t>за броя на осветителните тела в община Велико Търново</t>
  </si>
  <si>
    <t>и осреднена инсталирана мощност</t>
  </si>
  <si>
    <t>брой</t>
  </si>
  <si>
    <t>ср.мощност</t>
  </si>
  <si>
    <t>W</t>
  </si>
  <si>
    <t>KW</t>
  </si>
  <si>
    <t>Големани</t>
  </si>
  <si>
    <t>Малък Чифлик</t>
  </si>
  <si>
    <t>Церова Кория</t>
  </si>
  <si>
    <t>Общо за Община В.Търново</t>
  </si>
  <si>
    <t xml:space="preserve">Протокол Обществено обсъждане </t>
  </si>
  <si>
    <t>туристически данък</t>
  </si>
  <si>
    <t>Приходи и доходи от собственост</t>
  </si>
  <si>
    <t>Глоби, санкции и наказателни лихви</t>
  </si>
  <si>
    <t>наказателни лихви за данъци, мита и осигурителни вноски</t>
  </si>
  <si>
    <t>Други приходи</t>
  </si>
  <si>
    <t>постъпления от продажба на нематериални дълготрайни активи</t>
  </si>
  <si>
    <t>постъпления от продажба на земя</t>
  </si>
  <si>
    <t>Приходи от концесии</t>
  </si>
  <si>
    <t>Помощи и дарения от страната</t>
  </si>
  <si>
    <t>Храна</t>
  </si>
  <si>
    <t>Медикаменти</t>
  </si>
  <si>
    <t>Постелен инвентар и облекло</t>
  </si>
  <si>
    <t>материали</t>
  </si>
  <si>
    <t>вода, горива и енергия</t>
  </si>
  <si>
    <t>Текущ ремонт</t>
  </si>
  <si>
    <t>разходи за договорни санкции и неустойки, съдебни обезщетения и разноски</t>
  </si>
  <si>
    <t>други разходи, некласифицирани в другите параграфи и подпараграфи</t>
  </si>
  <si>
    <t>Разходи за лихви по заеми от страната</t>
  </si>
  <si>
    <t>Стипендии</t>
  </si>
  <si>
    <t>за текуща дейност</t>
  </si>
  <si>
    <t>Разходи за членски внос и участие в нетърговски организации и дейности</t>
  </si>
  <si>
    <t>Основен ремонт на дълготрайни материални активи</t>
  </si>
  <si>
    <t>Придобиване на дълготрайни материални активи</t>
  </si>
  <si>
    <t>Резерв за непредвидени и неотложни разходи</t>
  </si>
  <si>
    <t>Трансфери между бюджета на бюджетната организация и ЦБ (нето)</t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</si>
  <si>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</si>
  <si>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</si>
  <si>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получени от общини целеви субсидии от ЦБ за капиталови разходи (+)</t>
  </si>
  <si>
    <t>Трансфери между бюджети (нето)</t>
  </si>
  <si>
    <t>трансфери между бюджети - предоставени трансфери (-)</t>
  </si>
  <si>
    <t>получени дългосрочни заеми от други лица в страната (+)</t>
  </si>
  <si>
    <t>погашения по дългосрочни заеми от други лица в страната (-)</t>
  </si>
  <si>
    <t>Директор на ПМГ “Васил Друмев”</t>
  </si>
  <si>
    <t xml:space="preserve">ФИНАНСОВИ ПОКАЗАТЕЛИ ЗА КОНТРОЛИРАНИТЕ ОТ ОБЩИНАТА ЛИЦА, КОИТО ПОПАДАТ В  </t>
  </si>
  <si>
    <t>„СБАЛПФЗ „Д-р Трейман” ЕООД</t>
  </si>
  <si>
    <t>ПРИЛОЖЕНИЕ 20</t>
  </si>
  <si>
    <t>Здравен медиатор</t>
  </si>
  <si>
    <t>Специалист социални дейности</t>
  </si>
  <si>
    <t xml:space="preserve">ЗА РЕАЛИЗИРАНИТЕ ИКОНОМИИ В ДЕЛЕГИРАНИТЕ ОТ ДЪРЖАВАТА ДЕЙНОСТИ </t>
  </si>
  <si>
    <t>име на параграф</t>
  </si>
  <si>
    <t>Група Б) Полиция, вътрешен ред и сигурност</t>
  </si>
  <si>
    <t>239 Други дейности по вътрешната сигурност</t>
  </si>
  <si>
    <t>0200</t>
  </si>
  <si>
    <t>0202</t>
  </si>
  <si>
    <t>за персонала по извънтрудови правоотношения</t>
  </si>
  <si>
    <t>1000</t>
  </si>
  <si>
    <t>1015</t>
  </si>
  <si>
    <t>1051</t>
  </si>
  <si>
    <t>командировки в страната</t>
  </si>
  <si>
    <t>1091</t>
  </si>
  <si>
    <t>други разходи за СБКО (тук се отчитат разходите за СБКО, неотчетени по други позиции на ЕБК)</t>
  </si>
  <si>
    <t>1098</t>
  </si>
  <si>
    <t>Разходи</t>
  </si>
  <si>
    <t>Всичко за дейността:</t>
  </si>
  <si>
    <t>Всичко за групата:</t>
  </si>
  <si>
    <t>Група Д) Защита на населението, управление и дейности при стихийни бедствия и аварии</t>
  </si>
  <si>
    <t>282 Отбранително-мобилизационна подготовка, поддържане на запаси и мощности</t>
  </si>
  <si>
    <t>284 Ликвидиране на последици от стихийни бедствия и производствени аварии</t>
  </si>
  <si>
    <t>1020</t>
  </si>
  <si>
    <t>разходи за външни услуги</t>
  </si>
  <si>
    <t>1030</t>
  </si>
  <si>
    <t>текущ ремонт</t>
  </si>
  <si>
    <t>5100</t>
  </si>
  <si>
    <t>5200</t>
  </si>
  <si>
    <t>5206</t>
  </si>
  <si>
    <t>Всичко капиталови разходи</t>
  </si>
  <si>
    <t>285 Доброволни формирования за защита при бедствия</t>
  </si>
  <si>
    <t>1062</t>
  </si>
  <si>
    <t>разходи за застраховки</t>
  </si>
  <si>
    <t>Всичко за функцията:</t>
  </si>
  <si>
    <t>311 Детски градини</t>
  </si>
  <si>
    <t>318 Подготвителна група в училище</t>
  </si>
  <si>
    <t>322 Неспециализирани училища, без професионални гимназии</t>
  </si>
  <si>
    <t>4000</t>
  </si>
  <si>
    <t>324 Спортни училища</t>
  </si>
  <si>
    <t>326 Професионални гимназии и паралелки за професионална подготовка</t>
  </si>
  <si>
    <t>332 Общежития</t>
  </si>
  <si>
    <t>337 Център за подкрепа за личностно развитие</t>
  </si>
  <si>
    <t>338 Ресурсно подпомагане</t>
  </si>
  <si>
    <t>431 Детски ясли, детски кухни и яслени групи в детска градина</t>
  </si>
  <si>
    <t>0101</t>
  </si>
  <si>
    <t>заплати и възнаграждения на персонала нает по трудови правоотношения</t>
  </si>
  <si>
    <t>0208</t>
  </si>
  <si>
    <t>обезщетения за персонала, с характер на възнаграждение</t>
  </si>
  <si>
    <t>0209</t>
  </si>
  <si>
    <t>други плащания и възнаграждения</t>
  </si>
  <si>
    <t>0500</t>
  </si>
  <si>
    <t>0551</t>
  </si>
  <si>
    <t>осигурителни вноски от работодатели за Държавното обществено осигуряване (ДОО)</t>
  </si>
  <si>
    <t>0560</t>
  </si>
  <si>
    <t>здравноосигурителни вноски от работодатели</t>
  </si>
  <si>
    <t>0580</t>
  </si>
  <si>
    <t>вноски за допълнително задължително осигуряване от работодатели</t>
  </si>
  <si>
    <t>5203</t>
  </si>
  <si>
    <t>437 Здравен кабинет в детски градини и училища</t>
  </si>
  <si>
    <t>5201</t>
  </si>
  <si>
    <t>469 Други дейности по здравеопазването</t>
  </si>
  <si>
    <t>1013</t>
  </si>
  <si>
    <t>постелен инвентар и облекло</t>
  </si>
  <si>
    <t>1016</t>
  </si>
  <si>
    <t>V. Функция Социално осигуряване, подпомагане и грижи</t>
  </si>
  <si>
    <t>529 Кризисен център</t>
  </si>
  <si>
    <t>4200</t>
  </si>
  <si>
    <t>4202</t>
  </si>
  <si>
    <t>530 Център за настаняване от семеен тип</t>
  </si>
  <si>
    <t>1011</t>
  </si>
  <si>
    <t>храна</t>
  </si>
  <si>
    <t>1012</t>
  </si>
  <si>
    <t>медикаменти</t>
  </si>
  <si>
    <t>1900</t>
  </si>
  <si>
    <t>1901</t>
  </si>
  <si>
    <t>532 Програми за временна заетост</t>
  </si>
  <si>
    <t>0201</t>
  </si>
  <si>
    <t xml:space="preserve">за нещатен персонал нает по трудови правоотношения </t>
  </si>
  <si>
    <t>540 Домове за стари хора</t>
  </si>
  <si>
    <t>550 Центрове за социална рехабилитация и интеграция</t>
  </si>
  <si>
    <t>551 Дневни центрове за лица с увреждания</t>
  </si>
  <si>
    <t>554 Защитени жилища</t>
  </si>
  <si>
    <t>589 Други служби и дейности по социалното осигуряване, подпомагане и заетостта</t>
  </si>
  <si>
    <t>4219</t>
  </si>
  <si>
    <t>други текущи трансфери за домакинствата</t>
  </si>
  <si>
    <t>Група Б) Физическа култура и спорт</t>
  </si>
  <si>
    <t>713 Спорт за всички</t>
  </si>
  <si>
    <t>Група В) Култура</t>
  </si>
  <si>
    <t>1981</t>
  </si>
  <si>
    <t>751 Библиотеки с национален и регионален характер</t>
  </si>
  <si>
    <t>759 Други дейности по културата</t>
  </si>
  <si>
    <t>Група Е) Други дейности по икономиката</t>
  </si>
  <si>
    <t>898 Други дейности по икономиката</t>
  </si>
  <si>
    <t>НАИМЕНОВАНИЕ НА ОБЕКТИТЕ</t>
  </si>
  <si>
    <t>Стъпала към ул. "Д. Найденов"</t>
  </si>
  <si>
    <t>Изграждане на тротоар на ул. "Лазурна"</t>
  </si>
  <si>
    <t>Изграждане на ул." Драган Цончев", кв. Зона В, ОК8504- ОК8602-ОК8607-ОК8613-ПМС 315/19.12.2018</t>
  </si>
  <si>
    <t>Проектиране на водопровод и канализация гр. Дебелец</t>
  </si>
  <si>
    <t>Компютри и хардуер за нуждите на РБ "П.Р.Славейков"</t>
  </si>
  <si>
    <t>9509</t>
  </si>
  <si>
    <t>наличност в левове по депозити в края на периода (-)</t>
  </si>
  <si>
    <t>9505</t>
  </si>
  <si>
    <t>остатък в касата в  левове от предходния период (+)</t>
  </si>
  <si>
    <t>9503</t>
  </si>
  <si>
    <t>остатък в левове по депозити от предходния период (+)</t>
  </si>
  <si>
    <t>9502</t>
  </si>
  <si>
    <t>остатък в левова равностойност по валутни сметки от предходния период (+)</t>
  </si>
  <si>
    <t>9501</t>
  </si>
  <si>
    <t>остатък в левове по сметки от предходния период (+)</t>
  </si>
  <si>
    <t>9500</t>
  </si>
  <si>
    <t>8382</t>
  </si>
  <si>
    <t>8321</t>
  </si>
  <si>
    <t>погашения по краткосрочни заеми от банки в страната (-)</t>
  </si>
  <si>
    <t>8311</t>
  </si>
  <si>
    <t>получени краткосрочни заеми от банки в страната (+)</t>
  </si>
  <si>
    <t>8300</t>
  </si>
  <si>
    <t>Заеми от банки и други лица в страната - нето (+/-)</t>
  </si>
  <si>
    <t>7600</t>
  </si>
  <si>
    <t>6202</t>
  </si>
  <si>
    <t>предоставени трансфери (+/-)</t>
  </si>
  <si>
    <t>6200</t>
  </si>
  <si>
    <t>6102</t>
  </si>
  <si>
    <t>6100</t>
  </si>
  <si>
    <t>3113</t>
  </si>
  <si>
    <t>3112</t>
  </si>
  <si>
    <t>3100</t>
  </si>
  <si>
    <t>4100</t>
  </si>
  <si>
    <t>4040</t>
  </si>
  <si>
    <t>4030</t>
  </si>
  <si>
    <t>4022</t>
  </si>
  <si>
    <t>постъпления от продажба на сгради</t>
  </si>
  <si>
    <t>Постъпления от продажба на нефинансови активи</t>
  </si>
  <si>
    <t>3702</t>
  </si>
  <si>
    <t>внесен данък върху приходите от стопанска дейност на бюджетните предприятия (-)</t>
  </si>
  <si>
    <t>3701</t>
  </si>
  <si>
    <t>внесен ДДС (-)</t>
  </si>
  <si>
    <t>3700</t>
  </si>
  <si>
    <t>Внесени ДДС и други данъци върху продажбите</t>
  </si>
  <si>
    <t>3619</t>
  </si>
  <si>
    <t>други неданъчни приходи</t>
  </si>
  <si>
    <t>3600</t>
  </si>
  <si>
    <t>2809</t>
  </si>
  <si>
    <t>2802</t>
  </si>
  <si>
    <t>глоби, санкции, неустойки, наказателни лихви, обезщетения и начети</t>
  </si>
  <si>
    <t>2800</t>
  </si>
  <si>
    <t>2729</t>
  </si>
  <si>
    <t>други общински такси</t>
  </si>
  <si>
    <t>2717</t>
  </si>
  <si>
    <t>за притежаване на куче</t>
  </si>
  <si>
    <t>2715</t>
  </si>
  <si>
    <t>за откупуване на гробни места</t>
  </si>
  <si>
    <t>2711</t>
  </si>
  <si>
    <t>за административни услуги</t>
  </si>
  <si>
    <t>2710</t>
  </si>
  <si>
    <t>за технически услуги</t>
  </si>
  <si>
    <t>2708</t>
  </si>
  <si>
    <t>за ползване на общежития и други по образованието</t>
  </si>
  <si>
    <t>2707</t>
  </si>
  <si>
    <t>за битови отпадъци</t>
  </si>
  <si>
    <t>2704</t>
  </si>
  <si>
    <t>за ползване на домашен социален патронаж и други общински социални услуги</t>
  </si>
  <si>
    <t>2702</t>
  </si>
  <si>
    <t>за ползване на детски ясли и други по здравеопазването</t>
  </si>
  <si>
    <t>2701</t>
  </si>
  <si>
    <t>за ползване на детски градини</t>
  </si>
  <si>
    <t>2700</t>
  </si>
  <si>
    <t>2409</t>
  </si>
  <si>
    <t>приходи от лихви по срочни депозити</t>
  </si>
  <si>
    <t>2408</t>
  </si>
  <si>
    <t>приходи от лихви по текущи банкови сметки</t>
  </si>
  <si>
    <t>2407</t>
  </si>
  <si>
    <t>приходи от дивиденти</t>
  </si>
  <si>
    <t>2406</t>
  </si>
  <si>
    <t>приходи от наеми на земя</t>
  </si>
  <si>
    <t>2405</t>
  </si>
  <si>
    <t>приходи от наеми на имущество</t>
  </si>
  <si>
    <t>2404</t>
  </si>
  <si>
    <t>нетни приходи от продажби на услуги, стоки и продукция</t>
  </si>
  <si>
    <t>2400</t>
  </si>
  <si>
    <t>1308</t>
  </si>
  <si>
    <t>1304</t>
  </si>
  <si>
    <t>данък при придобиване на имущество по дарения и възмезден начин</t>
  </si>
  <si>
    <t>1303</t>
  </si>
  <si>
    <t>данък върху превозните средства</t>
  </si>
  <si>
    <t>1301</t>
  </si>
  <si>
    <t>данък върху недвижими имоти</t>
  </si>
  <si>
    <t>1300</t>
  </si>
  <si>
    <t>Имуществени и други местни данъци</t>
  </si>
  <si>
    <t>Данък върху доходите на физически лица</t>
  </si>
  <si>
    <t>I.Имуществени данъци и неданъчни приходи</t>
  </si>
  <si>
    <t>8803</t>
  </si>
  <si>
    <t>8800</t>
  </si>
  <si>
    <t>3111</t>
  </si>
  <si>
    <t>4501</t>
  </si>
  <si>
    <t>текущи помощи и дарения от страната</t>
  </si>
  <si>
    <t>4500</t>
  </si>
  <si>
    <t>3611</t>
  </si>
  <si>
    <t>получени застрахователни обезщетения за ДМА</t>
  </si>
  <si>
    <t>Всичко - Група В) Култура:</t>
  </si>
  <si>
    <t>Всичко - 751 Библиотеки с национален и регионален характер:</t>
  </si>
  <si>
    <t>Всичко - капиталови разходи:</t>
  </si>
  <si>
    <t>5301</t>
  </si>
  <si>
    <t>5300</t>
  </si>
  <si>
    <t>Всичко - 739 Музеи, худ. галерии, паметници на културата и етногр. комплекси с национален и регионален харакер:</t>
  </si>
  <si>
    <t>Всичко - разходи:</t>
  </si>
  <si>
    <t>Всичко - V. Функция Социално осигуряване, подпомагане и грижи:</t>
  </si>
  <si>
    <t>Всичко - Група В) Програми, дейности и служби по социалното осигуряване, подпомагане и заетостта:</t>
  </si>
  <si>
    <t>Всичко - 547 Център за временно настаняване:</t>
  </si>
  <si>
    <t>547 Център за временно настаняване</t>
  </si>
  <si>
    <t>Всичко - 540 Домове за стари хора:</t>
  </si>
  <si>
    <t>Всичко - 532 Програми за временна заетост:</t>
  </si>
  <si>
    <t>Всичко - 530 Център за настаняване от семеен тип:</t>
  </si>
  <si>
    <t>Всичко - 529 Кризисен център:</t>
  </si>
  <si>
    <t>Всичко - 322 Неспециализирани училища, без професионални гимназии:</t>
  </si>
  <si>
    <t/>
  </si>
  <si>
    <t>Всичко - Група Д) Защита на населението, управление и дейности при стихийни бедствия и аварии:</t>
  </si>
  <si>
    <t>Всичко - 284 Ликвидиране на последици от стихийни бедствия и производствени аварии:</t>
  </si>
  <si>
    <t>Всичко - Група Б) Полиция, вътрешен ред и сигурност:</t>
  </si>
  <si>
    <t>Всичко - 239 Други дейности по вътрешната сигурност:</t>
  </si>
  <si>
    <t>Всичко - Група А) Изпълнителни и законодателни органи:</t>
  </si>
  <si>
    <t>Всичко - 122 Общинска администрация:</t>
  </si>
  <si>
    <t>122 Общинска администрация</t>
  </si>
  <si>
    <t>Група А) Изпълнителни и законодателни органи</t>
  </si>
  <si>
    <t>1069</t>
  </si>
  <si>
    <t>други финансови услуги</t>
  </si>
  <si>
    <t>Всичко - 910 Разходи за лихви:</t>
  </si>
  <si>
    <t>Всичко - други:</t>
  </si>
  <si>
    <t>2224</t>
  </si>
  <si>
    <t>Разходи за лихви по други заеми от страната</t>
  </si>
  <si>
    <t>2221</t>
  </si>
  <si>
    <t>Разходи за лихви по заеми от банки в страната</t>
  </si>
  <si>
    <t>2200</t>
  </si>
  <si>
    <t>910 Разходи за лихви</t>
  </si>
  <si>
    <t>Всичко - Група Е) Други дейности по икономиката:</t>
  </si>
  <si>
    <t>Всичко - 898 Други дейности по икономиката:</t>
  </si>
  <si>
    <t>1052</t>
  </si>
  <si>
    <t>краткосрочни командировки в чужбина</t>
  </si>
  <si>
    <t>Всичко - 878 Приюти за безстопанствени животни:</t>
  </si>
  <si>
    <t>878 Приюти за безстопанствени животни</t>
  </si>
  <si>
    <t>Всичко - 875 Органи и дейности по приватизация:</t>
  </si>
  <si>
    <t>875 Органи и дейности по приватизация</t>
  </si>
  <si>
    <t>Всичко - 866 Общински пазари и тържища:</t>
  </si>
  <si>
    <t>866 Общински пазари и тържища</t>
  </si>
  <si>
    <t>Всичко - Група В) Транспорт и съобщения:</t>
  </si>
  <si>
    <t>Всичко - 849 Други дейности по транспорта,пътищата,пощите и далекосъобщенията:</t>
  </si>
  <si>
    <t>849 Други дейности по транспорта,пътищата,пощите и далекосъобщенията</t>
  </si>
  <si>
    <t>Всичко - 832 Служби и дейности по поддържане, ремонт и изграждане на пътищата:</t>
  </si>
  <si>
    <t>832 Служби и дейности по поддържане, ремонт и изграждане на пътищата</t>
  </si>
  <si>
    <t>Всичко - 831 Управление,контрол и регулиране на дейностите по транспорта и пътищата:</t>
  </si>
  <si>
    <t>831 Управление,контрол и регулиране на дейностите по транспорта и пътищата</t>
  </si>
  <si>
    <t>Група В) Транспорт и съобщения</t>
  </si>
  <si>
    <t>Всичко - Група Б) Селско стопанство, горско стопанство, лов и риболов:</t>
  </si>
  <si>
    <t>Всичко - 829 Други дейности по селско и горско стопанство, лов и риболов:</t>
  </si>
  <si>
    <t>829 Други дейности по селско и горско стопанство, лов и риболов</t>
  </si>
  <si>
    <t>Група Б) Селско стопанство, горско стопанство, лов и риболов</t>
  </si>
  <si>
    <t>Всичко - 759 Други дейности по културата:</t>
  </si>
  <si>
    <t>Всичко - 745 Обредни домове и зали:</t>
  </si>
  <si>
    <t>4214</t>
  </si>
  <si>
    <t>обезщетения и помощи по решение на общинския съвет</t>
  </si>
  <si>
    <t>745 Обредни домове и зали</t>
  </si>
  <si>
    <t>Всичко - 741 Радиотранслационни възли:</t>
  </si>
  <si>
    <t>741 Радиотранслационни възли</t>
  </si>
  <si>
    <t>Всичко - 737 Оркестри и ансамбли:</t>
  </si>
  <si>
    <t>737 Оркестри и ансамбли</t>
  </si>
  <si>
    <t>Всичко - 735 Театри:</t>
  </si>
  <si>
    <t>735 Театри</t>
  </si>
  <si>
    <t>Всичко - Група Б) Физическа култура и спорт:</t>
  </si>
  <si>
    <t>Всичко - 714 Спортни бази за спорт за всички:</t>
  </si>
  <si>
    <t>Всичко - субсидии:</t>
  </si>
  <si>
    <t>714 Спортни бази за спорт за всички</t>
  </si>
  <si>
    <t>Всичко - Група А) Почивно дело:</t>
  </si>
  <si>
    <t>Всичко - 701 Дейности по почивното дело и социалния отдих:</t>
  </si>
  <si>
    <t>701 Дейности по почивното дело и социалния отдих</t>
  </si>
  <si>
    <t>Група А) Почивно дело</t>
  </si>
  <si>
    <t>Всичко - Група Б) Опазване на околната среда:</t>
  </si>
  <si>
    <t>Всичко - 629 Други дейности по опазване на околната среда:</t>
  </si>
  <si>
    <t>629 Други дейности по опазване на околната среда</t>
  </si>
  <si>
    <t>Всичко - 623 Чистота:</t>
  </si>
  <si>
    <t>5205</t>
  </si>
  <si>
    <t>придобиване на стопански инвентар</t>
  </si>
  <si>
    <t>5204</t>
  </si>
  <si>
    <t>623 Чистота</t>
  </si>
  <si>
    <t>Всичко - 622 Озеленяване:</t>
  </si>
  <si>
    <t>622 Озеленяване</t>
  </si>
  <si>
    <t>Група Б) Опазване на околната среда</t>
  </si>
  <si>
    <t>Всичко - Група А) Жилищно строителство, благоустройство, комунално стопанство:</t>
  </si>
  <si>
    <t>Всичко - 619 Други дейности по жилищното строителство, благоустройството и регионалното развитие:</t>
  </si>
  <si>
    <t>5400</t>
  </si>
  <si>
    <t>Всичко - 606 Изграждане, ремонт и поддържане на уличната мрежа:</t>
  </si>
  <si>
    <t>606 Изграждане, ремонт и поддържане на уличната мрежа</t>
  </si>
  <si>
    <t>Всичко - 604 Осветление на улици и площади:</t>
  </si>
  <si>
    <t>604 Осветление на улици и площади</t>
  </si>
  <si>
    <t>Всичко - 603 Водоснабдяване и канализация:</t>
  </si>
  <si>
    <t>603 Водоснабдяване и канализация</t>
  </si>
  <si>
    <t>Група А) Жилищно строителство, благоустройство, комунално стопанство</t>
  </si>
  <si>
    <t>Всичко - 589 Други служби и дейности по социалното осигуряване, подпомагане и заетостта:</t>
  </si>
  <si>
    <t>Всичко - 525 Клубове на пенсионера, инвалида и др.:</t>
  </si>
  <si>
    <t>525 Клубове на пенсионера, инвалида и др.</t>
  </si>
  <si>
    <t>Всичко - 524 Домашен социален патронаж:</t>
  </si>
  <si>
    <t>524 Домашен социален патронаж</t>
  </si>
  <si>
    <t>Всичко - 469 Други дейности по здравеопазването:</t>
  </si>
  <si>
    <t>Всичко - 431 Детски ясли, детски кухни и яслени групи в детска градина:</t>
  </si>
  <si>
    <t>1014</t>
  </si>
  <si>
    <t>учебни и научно-изследователски разходи и книги за библиотеките</t>
  </si>
  <si>
    <t>Всичко - 389 Други дейности по образованието:</t>
  </si>
  <si>
    <t>389 Други дейности по образованието</t>
  </si>
  <si>
    <t>Всичко - 369 Други дейности за младежта:</t>
  </si>
  <si>
    <t>369 Други дейности за младежта</t>
  </si>
  <si>
    <t>Всичко - 337 Център за подкрепа за личностно развитие:</t>
  </si>
  <si>
    <t>Всичко - 336 Столове:</t>
  </si>
  <si>
    <t>336 Столове</t>
  </si>
  <si>
    <t>Всичко - 311 Детски градини:</t>
  </si>
  <si>
    <t>Всичко - 283 Превантивна дейност за намаляване на вредните последствия от бедствия и аварии:</t>
  </si>
  <si>
    <t>Всичко - 123 Общински съвети :</t>
  </si>
  <si>
    <t xml:space="preserve">123 Общински съвети </t>
  </si>
  <si>
    <t>Всичко - 738 Читалища:</t>
  </si>
  <si>
    <t>738 Читалища</t>
  </si>
  <si>
    <t>0552</t>
  </si>
  <si>
    <t>осигурителни вноски от работодатели за Учителския пенсионен фонд (УчПФ)</t>
  </si>
  <si>
    <t>548 Дневни центрове за стари хора</t>
  </si>
  <si>
    <t>541 Домове за възрастни хора с увреждания</t>
  </si>
  <si>
    <t>535 Преходни жилища</t>
  </si>
  <si>
    <t>534 Наблюдавани жилища</t>
  </si>
  <si>
    <t>526 Центрове за обществена подкрепа</t>
  </si>
  <si>
    <t>4301</t>
  </si>
  <si>
    <t>4300</t>
  </si>
  <si>
    <t xml:space="preserve">Субсидии и други текущи трансфери за нефинансови предприятия </t>
  </si>
  <si>
    <t>Всичко - 282 Отбранително-мобилизационна подготовка, поддържане на запаси и мощности:</t>
  </si>
  <si>
    <t>0102</t>
  </si>
  <si>
    <t>заплати и възнаграждения на персонала нает по служебни правоотношения</t>
  </si>
  <si>
    <t>МЕСТНИ И ДЕЛЕГИРАНИ ДЪРЖАВНИ ДЕЙНОСТИ, ДОФИНАНСИРАНИ С МЕСТНИ ПРИХОДИ</t>
  </si>
  <si>
    <t xml:space="preserve">КЪМ ПРОГРАМАТА ЗА РАЗВИТИЕ НА ФИЗИЧЕСКОТО ВЪЗПИТАНИЕ И СПОРТА </t>
  </si>
  <si>
    <t>НА ТЕРИТОРИЯТА НA ОБЩИНА ВЕЛИКО ТЪРНОВО</t>
  </si>
  <si>
    <t>ПМС 212</t>
  </si>
  <si>
    <t>Поддръжка спортни бази</t>
  </si>
  <si>
    <t>Заместник-кмет "Хуманитарни дейности"/Директор на дирекция СДЗ - Център за социални услуги</t>
  </si>
  <si>
    <t>Заместник-кмет "Хуманитарни дейности"/Директор на Дирекция "Образование, младежки дейности и спорт"</t>
  </si>
  <si>
    <t>на разпоредителите с бюджет към</t>
  </si>
  <si>
    <r>
      <t>Забележка:</t>
    </r>
    <r>
      <rPr>
        <sz val="11"/>
        <rFont val="Times New Roman"/>
        <family val="1"/>
        <charset val="204"/>
      </rPr>
      <t xml:space="preserve"> Запазва до сега прилаганата  схема за финансиране и отчитане на  разпоредителите с бюджет.</t>
    </r>
  </si>
  <si>
    <t>Директор на Спортно училище "Георги Живков",  гр. Велико Търново</t>
  </si>
  <si>
    <t>Болногледач</t>
  </si>
  <si>
    <t>населено място</t>
  </si>
  <si>
    <t>Подпомагане на военноинвалиди и военнопострадали</t>
  </si>
  <si>
    <t>Разплащателна агенция към ДФ "Земеделие" КОД 42 (РА)</t>
  </si>
  <si>
    <t>Национален фонд към Министерство на финансите КОД 98 (КСФ)</t>
  </si>
  <si>
    <t>Други средства от ЕС КОД 96 (ДЕС)</t>
  </si>
  <si>
    <t>Други Международни програми и проекти КОД 97  (ДМП)</t>
  </si>
  <si>
    <t xml:space="preserve"> -придобиване на други ДМА</t>
  </si>
  <si>
    <t>52-19</t>
  </si>
  <si>
    <t>Дължина улици</t>
  </si>
  <si>
    <t xml:space="preserve">  гр.Велико Търново</t>
  </si>
  <si>
    <t xml:space="preserve">  с.Вонеща вода </t>
  </si>
  <si>
    <t xml:space="preserve">  гр.Килифарево</t>
  </si>
  <si>
    <t xml:space="preserve">  с.Войнежа</t>
  </si>
  <si>
    <t xml:space="preserve">  с.Райковци</t>
  </si>
  <si>
    <t xml:space="preserve">  с.Въглевци</t>
  </si>
  <si>
    <t xml:space="preserve">  с.Ялово</t>
  </si>
  <si>
    <t xml:space="preserve">  с.Габровци</t>
  </si>
  <si>
    <t xml:space="preserve">  с. Плаково</t>
  </si>
  <si>
    <t xml:space="preserve">  с.Големани</t>
  </si>
  <si>
    <t xml:space="preserve">  гр. Дебелец</t>
  </si>
  <si>
    <t xml:space="preserve">  с.Самоводене</t>
  </si>
  <si>
    <t xml:space="preserve">  с. Ресен</t>
  </si>
  <si>
    <t xml:space="preserve">  с. Арбанаси</t>
  </si>
  <si>
    <t xml:space="preserve">  с. Шереметя</t>
  </si>
  <si>
    <t xml:space="preserve">  с.Малки чифлик</t>
  </si>
  <si>
    <t xml:space="preserve">  с. Беляковец</t>
  </si>
  <si>
    <t xml:space="preserve">  с.Емен</t>
  </si>
  <si>
    <t xml:space="preserve">  с. Балван</t>
  </si>
  <si>
    <t xml:space="preserve">  с.Момин сбор</t>
  </si>
  <si>
    <t xml:space="preserve">  с.Буковец</t>
  </si>
  <si>
    <t xml:space="preserve">  с. Ново село</t>
  </si>
  <si>
    <t xml:space="preserve">  с. Ветренци</t>
  </si>
  <si>
    <t xml:space="preserve">  с. Леденик</t>
  </si>
  <si>
    <t xml:space="preserve">  с. Шемшево</t>
  </si>
  <si>
    <t xml:space="preserve">  с.Пушево</t>
  </si>
  <si>
    <t xml:space="preserve">  с. Присово</t>
  </si>
  <si>
    <t xml:space="preserve">  с. Пчелище</t>
  </si>
  <si>
    <t xml:space="preserve">  с.Церова кория</t>
  </si>
  <si>
    <t xml:space="preserve">  с. Къпиново</t>
  </si>
  <si>
    <t xml:space="preserve">  с.Миндя</t>
  </si>
  <si>
    <t xml:space="preserve">  с.Велчево</t>
  </si>
  <si>
    <t xml:space="preserve">  с.Хотница</t>
  </si>
  <si>
    <t xml:space="preserve">  с. Русаля </t>
  </si>
  <si>
    <t xml:space="preserve">  с.Водолей</t>
  </si>
  <si>
    <t xml:space="preserve">  с. Дичин</t>
  </si>
  <si>
    <t xml:space="preserve">  с.Никюп</t>
  </si>
  <si>
    <t>Параграф</t>
  </si>
  <si>
    <t>Стойностни показатели - Разход</t>
  </si>
  <si>
    <t>II. Функция Отбрана и сигурност</t>
  </si>
  <si>
    <t>Група Д) Защита на населението, управление и дейности при СБ и аварии</t>
  </si>
  <si>
    <t>284 Ликвидиране на последици от СБ и производствени аварии</t>
  </si>
  <si>
    <t>III. Функция Образование</t>
  </si>
  <si>
    <t>326 Проф. гимназии и паралелки за професионална подготовка</t>
  </si>
  <si>
    <t>IV. Функция Здравеопазване</t>
  </si>
  <si>
    <t>Група В) Програми, дейности и служби по соц. осигуряване, подпом. и заетостта</t>
  </si>
  <si>
    <t>562 Личен асистент</t>
  </si>
  <si>
    <t>589 Др. служби и дейности по соц. осигуряване, подпомагане и заетостта</t>
  </si>
  <si>
    <t>VII. Функция Почивно дело, култура, религиозни дейности</t>
  </si>
  <si>
    <t>739 Музеи, ХГ, паметници на културата и етногр. комплекси с нац. и рег. характер</t>
  </si>
  <si>
    <t>0205</t>
  </si>
  <si>
    <t>изплатени суми от СБКО, за облекло и други на персонала, с характер на възнаграждение</t>
  </si>
  <si>
    <t>VIII. Функция Икономически дейности и услуги</t>
  </si>
  <si>
    <t>Общо остътъци в делегирани от държавата дейности  по бюджета:</t>
  </si>
  <si>
    <t>наличност в левове по сметки в края на периода (-)</t>
  </si>
  <si>
    <t>9507</t>
  </si>
  <si>
    <t>в т.ч.данък върху таксиметров превоз на пътници</t>
  </si>
  <si>
    <t>0113</t>
  </si>
  <si>
    <t>Всичко - III. Функция Образование:</t>
  </si>
  <si>
    <t>Всичко - II. Функция Отбрана и сигурност:</t>
  </si>
  <si>
    <t>Всичко - I. Функция Общи държавни служби:</t>
  </si>
  <si>
    <t>I. Функция Общи държавни служби</t>
  </si>
  <si>
    <t>Всичко - IX. Функция Разходи некласифицирани в другите функции:</t>
  </si>
  <si>
    <t>IX. Функция Разходи некласифицирани в другите функции</t>
  </si>
  <si>
    <t>Всичко - VIII. Функция Икономически дейности и услуги:</t>
  </si>
  <si>
    <t>придобиване на други ДМА</t>
  </si>
  <si>
    <t>5219</t>
  </si>
  <si>
    <t>Всичко - VI. Жилищно строителство, благоустройство, комунално стопанство и опазване на околната среда:</t>
  </si>
  <si>
    <t>Всичко - 621 Управление, контрол и регулиране на дейностите по опазване на околната среда:</t>
  </si>
  <si>
    <t>621 Управление, контрол и регулиране на дейностите по опазване на околната среда</t>
  </si>
  <si>
    <t>Всичко - IV. Функция Здравеопазване:</t>
  </si>
  <si>
    <t>Всичко субсидии</t>
  </si>
  <si>
    <t>562 Асистенти за лична помощ</t>
  </si>
  <si>
    <t>стр.2</t>
  </si>
  <si>
    <t>стр.1</t>
  </si>
  <si>
    <t>ОБЩО ПО БЮДЖЕТА</t>
  </si>
  <si>
    <t>стр.3</t>
  </si>
  <si>
    <t>Директор на ОУ  "Св. Патриарх Евтимий”</t>
  </si>
  <si>
    <t>Директор на СУ “Георги Раковски”</t>
  </si>
  <si>
    <t>Заместник-кмет "Хуманитарни дейности"/Директор на Дирекция "Култура, туризъм и международни дейности"</t>
  </si>
  <si>
    <t>НЧ“Искра-1896”- Велико Търново</t>
  </si>
  <si>
    <t>НЧ “Надежда-1869” – Велико Търново</t>
  </si>
  <si>
    <t>НЧ“П.Р.Славейков-1920” – Велико Търново</t>
  </si>
  <si>
    <t xml:space="preserve"> НЧ“Никола Михайловски-1921” – Велико Търново</t>
  </si>
  <si>
    <t>НЧ"Седми юли-2008" - Велико Търново</t>
  </si>
  <si>
    <t>НЧ "Съгласие-Дебелец"-гр. Дебелец</t>
  </si>
  <si>
    <t>НЧ "Напредък-1884"-гр. Килифарево</t>
  </si>
  <si>
    <t>НЧ "Народна Просвета- 1874"-с. Ресен</t>
  </si>
  <si>
    <t>НЧ "Извор-1873"-с. Самоводене</t>
  </si>
  <si>
    <t>НЧ "Просвета-1926"-с. Вонеща вода</t>
  </si>
  <si>
    <t>НЧ "Наука-1870"- с. Ново село</t>
  </si>
  <si>
    <t>НЧ "Развитие-1883"с. Церова кория</t>
  </si>
  <si>
    <t>НЧ "Нива-1898"-с. Балван</t>
  </si>
  <si>
    <t>НЧ "Просвета-1907"-с. Беляковец</t>
  </si>
  <si>
    <t>НЧ "Поука-1920"-с. Леденик</t>
  </si>
  <si>
    <t>НЧ "Светлина-1895"-с. Хотница</t>
  </si>
  <si>
    <t>НЧ " Напредък-1903"-с. Ветринци</t>
  </si>
  <si>
    <t>НЧ "Св.Св. Кирил и Методий-1928"-с. Къпиново</t>
  </si>
  <si>
    <t>НЧ "Напредък-1911"-с. Шемшево</t>
  </si>
  <si>
    <t>НЧ "Просвета-1904"-с. Пчелище</t>
  </si>
  <si>
    <t>НЧ "Просвета-Плаково 1873"- с. Плаково</t>
  </si>
  <si>
    <t>НЧ "Съгласие- 1873"- с. Русаля</t>
  </si>
  <si>
    <t>НЧ "Зора-1869"-с. Дичин</t>
  </si>
  <si>
    <t>НЧ "Иларион Драгостинов-1897"-с. Арбанаси</t>
  </si>
  <si>
    <t>НЧ "Светлина-1892"- с. Велчево</t>
  </si>
  <si>
    <t>НЧ "Развитие-1893"-с. Миндя</t>
  </si>
  <si>
    <t>НЧ " Просвета-1922"с. Момин сбор</t>
  </si>
  <si>
    <t>НЧ "Васил Левски-1928"-с. Присово</t>
  </si>
  <si>
    <t>НЧ "Сполука-1923"-с. Пушево</t>
  </si>
  <si>
    <t>НЧ "Пробуда-1925"- с. Шереметя</t>
  </si>
  <si>
    <t>НЧ "Пробуда-1925"с. Войнежа</t>
  </si>
  <si>
    <t>НЧ "Васил Левски-1931"- с. Кладни дял</t>
  </si>
  <si>
    <t>НЧ "Нов Живот- 1946"- с. Малчовци</t>
  </si>
  <si>
    <t>НЧ "Светлина- 1928"- с. Малки чифлик</t>
  </si>
  <si>
    <t>НЧ "Христо Ботев-1928"-с. Големаните</t>
  </si>
  <si>
    <t>НЧ "Развитие-1918"-с. Буковец</t>
  </si>
  <si>
    <t>НЧ"Пламък 2016" - гр.Велико Търново</t>
  </si>
  <si>
    <t>НЧ "Селски труд-1906"-с.Ялово</t>
  </si>
  <si>
    <t>НЧ "Балкан Габровци"-с.Габровци</t>
  </si>
  <si>
    <t xml:space="preserve">ВСИЧКО </t>
  </si>
  <si>
    <t>Възстановяване на стоманобетонов мост над река Белица на общински път  VTR1010 "/I-5/ Дебелец - жп гара Дебелец - Велико Търново, кв. Чолаковци, ул. "Сан Стефано" (GAB 3110) по ПМС 292 от 12.12.2018 г. и по ПМС 96 от 25.04.2019 г.</t>
  </si>
  <si>
    <t>Ремонтни дейности в учебните стаи на 4-ти етаж на ОУ "П.Р.Славейков"  град Велико Търново</t>
  </si>
  <si>
    <t xml:space="preserve">Основен ремонт на детски площадки, гр. Велико Търново </t>
  </si>
  <si>
    <t xml:space="preserve">Основен ремонт Улична осветителна мрежа </t>
  </si>
  <si>
    <t>Основен ремонт на ул. "Мармарлийска" в участъка от ул. "Любен Каравелов" до ул. "Магистрална"</t>
  </si>
  <si>
    <t xml:space="preserve">Благоустрояване кв. "К.Фичето" </t>
  </si>
  <si>
    <t xml:space="preserve">Никюп </t>
  </si>
  <si>
    <t xml:space="preserve">Пчелище </t>
  </si>
  <si>
    <t xml:space="preserve">Въглевци </t>
  </si>
  <si>
    <t xml:space="preserve">Райковци </t>
  </si>
  <si>
    <t>Ремонт на "Салон за физическо възпитание и спорт" в гр. Дебелец</t>
  </si>
  <si>
    <t>Ремонт сграда ДКС "В. Левски" - главно осветление, високо тяло, игрално поле</t>
  </si>
  <si>
    <t>Подобряване на експлоатационното състояние на местен път на Община Велико Търново с №000325 в землището на с. Леденик с ЕКАТТЕ 43253</t>
  </si>
  <si>
    <t>Прекратяване на съсобственост по Решение №410/13.11.2008 г. - недвижим имот ул. "Сливница" №7</t>
  </si>
  <si>
    <t>ЦНСТ ул. "Цветарска" 14 - слънчеви колектори</t>
  </si>
  <si>
    <t>Стрийт фитнес площадка в квартал "К. Фичето"</t>
  </si>
  <si>
    <t>Проектиране и изграждане на място за отдих на разклон между ул. "Сливница" - ул. "Черноризец Храбър" - ул. "Йоасаф Бдински" , Квартал "Света Гора"</t>
  </si>
  <si>
    <t>Изграждане на подземна тръбна мрежа, гр. В. Търново</t>
  </si>
  <si>
    <t>Изместване на кабелни линии и трафопост "Ледена пързалка", гр. В. Търново</t>
  </si>
  <si>
    <t>ОП "Спортни имоти и прояви"- климатици</t>
  </si>
  <si>
    <t>Отчуждаване на части от недвижими имоти частна собственост за прилагане на линейна инфраструктура и за други общински нужди</t>
  </si>
  <si>
    <t>Отчуждаване на части от имоти частна собственост за разширение на Гробищни паркове на територията на Община Велико Търново</t>
  </si>
  <si>
    <t xml:space="preserve"> - медикаменти</t>
  </si>
  <si>
    <t>Откупки на художествени произведения на Великотърновска тематика  на стари и съвременни автори, след оценка на художествен съвет</t>
  </si>
  <si>
    <t>Общинска програма за асистирана репродукция, в т.ч. преходен остатък от предходни години</t>
  </si>
  <si>
    <t>ФУНКЦИЯ/РАЗДЕЛ/ПОДРАЗДЕЛ ОТ ЕБК</t>
  </si>
  <si>
    <t>в това число:</t>
  </si>
  <si>
    <t>Жилищно строителство, благоустройство, комунално с -во и опазване на ок.среда всичко:</t>
  </si>
  <si>
    <t>Култура, спорт, почивни дейности и религиозно дело - всичко:</t>
  </si>
  <si>
    <t xml:space="preserve">Позиции от подразделите Трансфери и Временни безлихвени заеми </t>
  </si>
  <si>
    <t>1092</t>
  </si>
  <si>
    <t>ОП Зелени системи</t>
  </si>
  <si>
    <t xml:space="preserve">   ОП Кабелно радио</t>
  </si>
  <si>
    <t>ОП Реклама</t>
  </si>
  <si>
    <t>ОП Горско стопанство</t>
  </si>
  <si>
    <t xml:space="preserve">Младежки дом </t>
  </si>
  <si>
    <t>параграф</t>
  </si>
  <si>
    <t>Наименование на параграф</t>
  </si>
  <si>
    <t>Заплати и възнаграждения на персонала нает по трудови правоотношения</t>
  </si>
  <si>
    <t>За персонала по извънтрудови правоотношения</t>
  </si>
  <si>
    <t>Изплатени суми от СБКО, за облекло и други на персонала, с характер на възнаграждение</t>
  </si>
  <si>
    <t>Обезщетения за персонала, с характер на възнаграждение</t>
  </si>
  <si>
    <t>Осигурителни вноски от работодатели за Държавното обществено осигуряване (ДОО)</t>
  </si>
  <si>
    <t>Здравноосигурителни вноски от работодатели</t>
  </si>
  <si>
    <t>Вноски за допълнително задължително осигуряване от работодатели</t>
  </si>
  <si>
    <t>Материали</t>
  </si>
  <si>
    <t>Вода, горива и енергия</t>
  </si>
  <si>
    <t>Разходи за външни услуги</t>
  </si>
  <si>
    <t>Командировки в страната</t>
  </si>
  <si>
    <t>Разходи за застраховки</t>
  </si>
  <si>
    <t>Платени държавни данъци, такси, наказателни лихви и административни санкции</t>
  </si>
  <si>
    <t>Платени общински данъци, такси, наказателни лихви и административни санкции</t>
  </si>
  <si>
    <t>Придобиване на друго оборудване, машини и съоръжения</t>
  </si>
  <si>
    <t>Придобиване на транспортни средства</t>
  </si>
  <si>
    <t>Придобиване на стопански инвентар</t>
  </si>
  <si>
    <t>Придобиване на други ДМА</t>
  </si>
  <si>
    <t>Капиталови разходи</t>
  </si>
  <si>
    <t>Всичко разходи</t>
  </si>
  <si>
    <t>ОП Спортни имоти и прояви</t>
  </si>
  <si>
    <t>Придобиване на компютри и хардуер</t>
  </si>
  <si>
    <t>Социален асистент</t>
  </si>
  <si>
    <t>Калкулация погребения - ксерокс копие на калкулацията, заверена вярно с оригинала</t>
  </si>
  <si>
    <t xml:space="preserve">Договор за кредит с „Фонд за органите на местното самоуправление в България - ФЛАГ” ЕАД, с цел реализацията на проект: „Развитие на модерна образователна инфраструктура в град Велико Търново„ - финансиране на собствено участие на Община Велико Търново </t>
  </si>
  <si>
    <t>Собствено участие по Европейски проекти и Други  програми за финансиране на проекти на социалната и техническа инфрастурктура</t>
  </si>
  <si>
    <t>Предоставени трансфери между бюджети и сметки за средствата от Европейския съюз</t>
  </si>
  <si>
    <t xml:space="preserve"> - капиталови помощи и дарения от Европейския съюз</t>
  </si>
  <si>
    <t>46-20</t>
  </si>
  <si>
    <t>Временни безлихвени заеми между извънбюджетни сметки/фондове (нето)</t>
  </si>
  <si>
    <t>77-00</t>
  </si>
  <si>
    <t xml:space="preserve"> - придобиване на транспортни средства</t>
  </si>
  <si>
    <t>52-04</t>
  </si>
  <si>
    <t xml:space="preserve"> -придобиване на стопански инвентар</t>
  </si>
  <si>
    <t>52-05</t>
  </si>
  <si>
    <t>МЕСТНИ ПРИХОДИ</t>
  </si>
  <si>
    <t>Основен ремонт видеонаблюдение</t>
  </si>
  <si>
    <t>Терапевтични столове за нуждите на проект "Разкриване на комплекс от социални услуги за деца по ОП „Развитие на човешките ресурси“ 2014-2020г., №BG05M9OP001-2.019-0018-C01 /код 98/</t>
  </si>
  <si>
    <t>Доизграждане на ул. "Стоян Михайловски" ОК 2577-ОК 2576- ОК2567- ОК2564 - ОК2565 -ОК2805, Изграждане на ул. "Васил Априлов", Изграждане на ул. "Камен Зидаров", ОК 2521 - ОК 259 и ул. „Петко Тодоров“ ОК 259-ОК2452, Изграждане на ул. "Александър Бурмов", кв. „Картала“  ОК2364-ОК2518 - ПМС 315/19.12.2018</t>
  </si>
  <si>
    <t>Изграждане на комуникации и техническа инфраструктура - ОК 8000 - ОК 8006, поземлен имот 10447.513.453 по КККР  на гр.Велико Търново, с цел обслужване на нуждите на сградите намиращи се в ПИ 10447.513.298 и ПИ 10447.513.299 по КККР на гр.В.Търново - Старо военно училище</t>
  </si>
  <si>
    <t>Код на параграф</t>
  </si>
  <si>
    <t>патентен данък и данък върху таксиметров превоз на пътници</t>
  </si>
  <si>
    <t>8372</t>
  </si>
  <si>
    <t>РАЗХОДИ ЗА ДЪРЖАВНИ ДЕЙНОСТИ</t>
  </si>
  <si>
    <t>Всичко - 285 Доброволни формирования за защита при бедствия:</t>
  </si>
  <si>
    <t>Всичко - 318 Подготвителна група в училище:</t>
  </si>
  <si>
    <t>Всичко - 324 Спортни училища:</t>
  </si>
  <si>
    <t>Всичко - 326 Професионални гимназии и паралелки за професионална подготовка:</t>
  </si>
  <si>
    <t>Всичко - 332 Общежития:</t>
  </si>
  <si>
    <t>Всичко - 338 Ресурсно подпомагане:</t>
  </si>
  <si>
    <t>Всичко - 437 Здравен кабинет в детски градини и училища:</t>
  </si>
  <si>
    <t>Група В) Програми, дейности и служби по социалното осигуряване, подпомагане и заетостта</t>
  </si>
  <si>
    <t>Всичко - 526 Центрове за обществена подкрепа:</t>
  </si>
  <si>
    <t>Всичко - 534 Наблюдавани жилища:</t>
  </si>
  <si>
    <t>Всичко - 535 Преходни жилища:</t>
  </si>
  <si>
    <t>Всичко - 548 Дневни центрове за стари хора:</t>
  </si>
  <si>
    <t>Всичко - 550 Центрове за социална рехабилитация и интеграция:</t>
  </si>
  <si>
    <t>Всичко - 551 Дневни центрове за лица с увреждания:</t>
  </si>
  <si>
    <t>Всичко - 554 Защитени жилища:</t>
  </si>
  <si>
    <t>561 Социални услуги в домашна среда</t>
  </si>
  <si>
    <t>Всичко - 562 Асистенти за лична помощ:</t>
  </si>
  <si>
    <t>VII. Функция Култура, спорт, почивни дейности и религиозно дело</t>
  </si>
  <si>
    <t>Всичко - 713 Спорт за всички:</t>
  </si>
  <si>
    <t>739 Музеи, худ. галерии, паметници на културата и етногр. комплекси с национален и регионален харакер</t>
  </si>
  <si>
    <t>Всичко - VII. Функция Култура, спорт, почивни дейности и религиозно дело:</t>
  </si>
  <si>
    <t>РАЗХОДИ ЗА МЕСТНИ ДЕЙНОСТИ</t>
  </si>
  <si>
    <t>283 Превантивна дейност за намаляване на вредните последствия от бедствия и аварии</t>
  </si>
  <si>
    <t>0098</t>
  </si>
  <si>
    <t>Всичко - Резерв:</t>
  </si>
  <si>
    <t>VI. Жилищно строителство, благоустройство, комунално стопанство и опазване на околната среда</t>
  </si>
  <si>
    <t>619 Други дейности по жилищното строителство, благоустройството и регионалното развитие</t>
  </si>
  <si>
    <t>Към 31.12.2021 г.</t>
  </si>
  <si>
    <t xml:space="preserve"> Задължения по търговски кредити </t>
  </si>
  <si>
    <t xml:space="preserve"> Договори за общински заеми - "Регионален фонд за градско развитие" АД </t>
  </si>
  <si>
    <t>Целева субсидия</t>
  </si>
  <si>
    <t>Укрепване улица "Пета", с. Малки чифлик</t>
  </si>
  <si>
    <t>Трайно възстановяване на каменния мост над река Белица в гр. Дебелец по ПМС 96 от 25.04.2019 г.</t>
  </si>
  <si>
    <t>Реконструкция на сграда на ПМГ "В. Друмев" за осигуряване на едносменен режим на обучение</t>
  </si>
  <si>
    <t>Основен ремонт покрив ДГ "Соня", Велико Търново</t>
  </si>
  <si>
    <t>Център за обучение и превенция на зависимости</t>
  </si>
  <si>
    <t>Ремонтиране и адаптиране помещения в сграда общинска собственост ул. "Цветарска" 14, гр. Велико Търново по проект "Дневен център за подкрепа на лица с увреждания и техните семейства, вкл. с тежки множествени увреждания", ОП "Развитие на човешките ресурси" 2014-2020, №BG05M9OP001-2.061-0002 /код 98/</t>
  </si>
  <si>
    <t>Основен ремонт сграда  по проект "Разкриване на център за социална рехабилитация и интеграция за лица с психични разстройства и интелектуални затруднения", ОП "Развитие на човешките ресурси" 2014-2020, №BG05M9OP001-2.062-0004 /код 98/</t>
  </si>
  <si>
    <t>Ремонт площадно пространство с. Присово /30% продажба на общинско имущество/</t>
  </si>
  <si>
    <t>Рехабилитация и реконструкция на ул."Опълченска", ул. "Теодосий Търновски", ул. "Димитър Найденов", ул. "Сливница", ул. "Климент Охриски" и ул. "Ксилифорска" и участъка изрън регулация по проект  "По-добре свързани вторични и третични точки в главната и широкообхватна мрежа на път " TEN - T ", чрез общи мерки в трансграничен регион" (CBC) ROBG-383 , програма INTERREG V-A Румъния- България 2014 -2020 /код 96/</t>
  </si>
  <si>
    <t>Ремонт стълбищна мрежа, гр. В. Търново, в т.ч. стълбище към автогара Юг</t>
  </si>
  <si>
    <t>Изграждане на водопровод и канализация на бул. България", гр. В. Търново по ПМС 360/10.12.2020 г., писмо №ФО-70/17.12.2020 г. на МФ</t>
  </si>
  <si>
    <t xml:space="preserve">Буковец </t>
  </si>
  <si>
    <t xml:space="preserve">Леденик </t>
  </si>
  <si>
    <t xml:space="preserve">Плаково </t>
  </si>
  <si>
    <t>Сграфито пана - реставрация</t>
  </si>
  <si>
    <t>Подмяна изкуствена настилка на тенис кортове на ул. "Мария Габровска" 2А, гр. Велико Търново с обща площ 3 592 кв.м.</t>
  </si>
  <si>
    <t>Реконструкция и обновяване сграда  по проект "Реконструкция и обновяване на музей "Възраждане" и "Учредително събрание" по ОП „Региони в растеж“ 2014-2020г., №BG16RFOP001-1.009-0006 /код 98/</t>
  </si>
  <si>
    <t>Разширение сграда  по проект "Разширение на Мултимедиен посетителски център "Царевград Търнов" по ОП „Региони в растеж“ 2014-2020г., №BG16RFOP001-1.009-0007 /код 98/</t>
  </si>
  <si>
    <t>Реконструкция бул. "България" - кръгово кръстовище "Беляковско шосе", Кръгово кръстовище ул. "Христо Ботев" по проект Интегриран градски транспорт на гр. Велико Търново по ОП „Региони в растеж“ 2014-2020г. BG16RFOP001-1.009-0005-C01 /код 98/</t>
  </si>
  <si>
    <t>Системи за видеонаблюдение</t>
  </si>
  <si>
    <t>Изграждане на ДГ в кв. "Картала", гр. В. Търново</t>
  </si>
  <si>
    <t>Компютърна конфигурация и лаптопи  по проект "Разкриване на център за социална рехабилитация и интеграция за лица с психични разстройства и интелектуални затруднения", ОП "Развитие на човешките ресурси" 2014-2020, №BG05M9OP001-2.062-0004 /код 98/</t>
  </si>
  <si>
    <t>Лек автомобил  по проект "Разкриване на център за социална рехабилитация и интеграция за лица с психични разстройства и интелектуални затруднения", ОП "Развитие на човешките ресурси" 2014-2020, №BG05M9OP001-2.062-0004 /код 98/</t>
  </si>
  <si>
    <t>Пелетни и газови котли и горелки по проект "Българските общини работят заедно за подобряване на качеството на атмосферния въздух" по програма LIFE на ЕС, №LIFE17 IPE/BG/000012 - LIFE IP CLEAN AIR /код 96/</t>
  </si>
  <si>
    <t>Изграждане на улична и тротоарна настилка, осветление, водопровод, канализация и подземни тръбни мрежи на улици "Козлодуй, "Димитър Рашев", "Иван Хаджидимитров", "Димитър Благоев", "Народни будители", гр. В. Търново по ПМС 360/10.12.2020 г., писмо №ФО-70/17.12.2020 г. на МФ</t>
  </si>
  <si>
    <t>Изграждане на отводнителен окоп в началото на  с. Беляковец улици ОК 192 - ОК 193</t>
  </si>
  <si>
    <t>Мостово съоръжение над р. Янтра км 1+400 по проект "По-добре свързани вторични и третични точки в главната и широкообхватна мрежа на път " TEN - T ", чрез общи мерки в трансграничен регион" (CBC) ROBG-383 , програма INTERREG V-A Румъния- България 2014 -2020 /код 96/</t>
  </si>
  <si>
    <t>Изграждане на подпорна стена и канализация за ново спортно игрище</t>
  </si>
  <si>
    <t>Тематични композиции с фигури, декори и стенописи по проект "Разширение на Мултимедиен посетителски център "Царевград Търнов" по ОП „Региони в растеж“ 2014-2020г., №BG16RFOP001-1.009-0007 /код 98/</t>
  </si>
  <si>
    <t>Изграждане на пешеходен надлез на ул. "Магистрална" и информационни табла на спирки на обществения градски транспорт по проект "Интегриран градски транспорт на гр. Велико Търново по ОП „Региони в растеж“ 2014-2020г." BG16RFOP001-1.009-0005-C01 /код 98/</t>
  </si>
  <si>
    <t>Изграждане на буферен паркинг "Френхисар" и "Сержантско училище" по проект "Интегриран градски транспорт на гр. Велико Търново по ОП „Региони в растеж“ 2014-2020г." BG16RFOP001-1.009-0005-C01 /код 98/</t>
  </si>
  <si>
    <t xml:space="preserve">00-98 Резерв за непредвидени и неотложни разходи </t>
  </si>
  <si>
    <t xml:space="preserve">ПРЕДСТОЯЩИ ИНВЕСТИЦИОННИ НАМЕРЕНИЯ </t>
  </si>
  <si>
    <t>НА ОБЩИНА ВЕЛИКО ТЪРНОВО</t>
  </si>
  <si>
    <t>СУМА</t>
  </si>
  <si>
    <t>ОБЩО:</t>
  </si>
  <si>
    <t>план сметка РИМ</t>
  </si>
  <si>
    <t>ПРИЛОЖЕНИЕ 13</t>
  </si>
  <si>
    <t>ПРИЛОЖЕНИЕ 11</t>
  </si>
  <si>
    <t>ПРИЛОЖЕНИЕ №10A</t>
  </si>
  <si>
    <t>ПРИЛОЖЕНИЕ № 10</t>
  </si>
  <si>
    <t>Приложение № 7</t>
  </si>
  <si>
    <t>ПРИЛОЖЕНИЕ 6</t>
  </si>
  <si>
    <t>Приложение 5</t>
  </si>
  <si>
    <t>Бюджетна прогноза</t>
  </si>
  <si>
    <t>Дофинанисиране</t>
  </si>
  <si>
    <t>НА ДЛЪЖНОСТИТЕ ИМАЩИ ПРАВО НА ТРАНСПОРТНИ РАЗХОДИ, СЪГЛАСНО</t>
  </si>
  <si>
    <t>ИЗНЕСЕНА</t>
  </si>
  <si>
    <t>Дирекция "Образование, младежки дейности и спорт", вкл. образователни институции</t>
  </si>
  <si>
    <t>Дирекция "Култура, туризъм и международни дейности", вкл. регионални структури в сферата на културата</t>
  </si>
  <si>
    <t xml:space="preserve">КАЛЕНДАР НА КУЛТУРНИТЕ СЪБИТИЯ </t>
  </si>
  <si>
    <t>ПРИЛОЖЕНИЕ 15</t>
  </si>
  <si>
    <t>2022 година /хил.лв./</t>
  </si>
  <si>
    <t>Разходи 2022 г.</t>
  </si>
  <si>
    <t>Приходи 2022  г.</t>
  </si>
  <si>
    <t>15 249</t>
  </si>
  <si>
    <t>КЪМ 31.12.2021 ГОДИНА</t>
  </si>
  <si>
    <t>Преходен остатък към 31.12.2021 г.</t>
  </si>
  <si>
    <t>Други възнаграждения и плащания за персонала по извънтрудови правоотношения</t>
  </si>
  <si>
    <t>за разпределение на средствата от преходния остатък от 2021 г.</t>
  </si>
  <si>
    <t>по бюджета на общината за 2022 г.</t>
  </si>
  <si>
    <t xml:space="preserve"> Програма за превенция на наркотични зависимости сред младите хора в Община Велико Търново 2019-2023</t>
  </si>
  <si>
    <t>Програма на Община Велико Търново за подобряване на психичното здраве 2021-2026</t>
  </si>
  <si>
    <t>План за действие за 2022 г. за осигуряване на равни възможности за хората с увреждания</t>
  </si>
  <si>
    <t>Програма за детето на Община Велико Търново за 2022 г.</t>
  </si>
  <si>
    <t>Годишен план за развитие на социалните услуги за 2022 г.</t>
  </si>
  <si>
    <t>ПО БЮДЖЕТА ЗА 2022 година</t>
  </si>
  <si>
    <t>Ремонт отоплителна система БИЦ "Славейче", РБ "П.Р.Славейков</t>
  </si>
  <si>
    <t>Изграждане на фотоволтаична централа на покрива на административната сграда на Община Велико Търново</t>
  </si>
  <si>
    <t>Основен Ремонт Тротоари - ул."Цар Самуил", ул."Цар Освободител" и др.</t>
  </si>
  <si>
    <t>Основен ремонт на ул."Н.Габровски" - в участъка от ПК с ул."Г.Измирлиев" до кръгово кръстовище с ул."Сан Стефано" и ул.-"Козлуджа"</t>
  </si>
  <si>
    <t>ПРИЛОЖЕНИЕ 2А</t>
  </si>
  <si>
    <t>ПРИЛОЖЕНИЕ 2Б</t>
  </si>
  <si>
    <t>Община Велико Търново за 2022 година</t>
  </si>
  <si>
    <t>ПРИЛОЖЕНИЕ 19</t>
  </si>
  <si>
    <t>Приложение 22</t>
  </si>
  <si>
    <t>НЧ "Светлина 21" - гр. Велико Търново</t>
  </si>
  <si>
    <t>УРБАНИЗИРАНИ ТЕРИТОРИИ НА НАСЕЛЕНИТЕ МЕСТА НА ТЕРИТОРИЯТА НА ОБЩИНА ВЕЛИКО ТЪРНОВО-2022 г.</t>
  </si>
  <si>
    <t>1.128</t>
  </si>
  <si>
    <t>Трансфери м/у бюджета и ЦБ и други</t>
  </si>
  <si>
    <t>план</t>
  </si>
  <si>
    <t>Вътрешно преустройство на съществуващи етажи от административна сграда ул. "Хр. Караминков №19 за нуждите на административните структури и звена на Община В. Търново</t>
  </si>
  <si>
    <t>Осигуряване на достъпна среда в сграда Кметство гр. Килифарево</t>
  </si>
  <si>
    <t>Реконструкция на сграда Кметство с. Ресен /30% продажба общинско имущество/</t>
  </si>
  <si>
    <t>Подпорна стена на ул."Симеон Велики" № 4, кв231</t>
  </si>
  <si>
    <t>Подпорна стена на ул."Алеко Константинов" № 33</t>
  </si>
  <si>
    <t>Подпорна стена на ул."Бузлуджа" /при  Стара болница/</t>
  </si>
  <si>
    <t>Възстановяване на ул. „Климент Охридски” (път ІІІ-514) при манастирски комплекс „Великата Лавра” до църквата „Св. Четиридесет мъченици”, гр. Велико Търново, по ПМС 96 от 25.04.2019 г.</t>
  </si>
  <si>
    <t xml:space="preserve">Възстановяване на  път GAB 3110/ ІІІ-303 Пушево - Дряново/Керека - граница общини (Дряново - Велико Търново) - Шемшево - Велико Търново, в участъка от км 8+300 през с. Шемшево до км 12+400, ПМС 284/15.11.2019 г.
</t>
  </si>
  <si>
    <t>Възстановяване сградата на детска градина „Пинокио”, с. Самоводене, УПИ-I, кв. 37, по ПМС 250 от 04.09.2020 г. и ПМС 207/29.06.2021 г.</t>
  </si>
  <si>
    <t>Енергийна ефективност ОУ "П.Р.Славейков", гр. В. Търново - собствено участие 315 044 лв. и            НДЕФ 621 164 лв.</t>
  </si>
  <si>
    <t>ДЯ "Слънце" - саниране на сградата и ремонт на улуци и водосточни тръби</t>
  </si>
  <si>
    <t>ДЯ "Пролет" - укрепване на северната едноетажна част на сградата</t>
  </si>
  <si>
    <t>Основен ремонт дом за стари хора "Венета Ботева", гр. В. Търново по проект "Патронажна грижа+ ", ОП "Развитие на човешките ресурси" 2014-2020, №BG05M9OP001-6.002-0077-C01 /код 98/</t>
  </si>
  <si>
    <t>Основен ремонт  Домашен социален патронаж- гр. Велико Търново, филиал с. Ново село</t>
  </si>
  <si>
    <t>Основен ремонт сграда и част от прилежащите пространства на ул. "Цветарска"14</t>
  </si>
  <si>
    <t>Ремонт площадно пространство с. Момин сбор /30% продажба на общинско имущество/</t>
  </si>
  <si>
    <t>Ремонт площадно пространство с. Русаля /30% продажба на общинско имущество/</t>
  </si>
  <si>
    <t>Ремонт водопроводна мрежа ул. "Втора", с. Шереметя /30% продажба на общинско имущество/</t>
  </si>
  <si>
    <t>Ул."Полтава", гр. В.Търново - уширение и направа на паркоместа между ул."арх. Петър Матанов" и ул."Симеон Велики", кв."Кольо Фичето"</t>
  </si>
  <si>
    <t>Рехабилитация и модернизация на система за външно изкуствено осветление в жилищни квартали в Община Велико Търново - кв. "Бузлуджа", кв. "Кольо Фичето", кв. "Картала" и кв. "Зона - Б" по Проект "Рехабилитация и модернизация на системи за външно изкуствено осветление във Велико Търново", №BGENERGY-2.001-0003-017 /код 97/</t>
  </si>
  <si>
    <t>Реконструкция на улични ВиК проводи по ул."Ксилифорска", ул. "Теодосий Търновски", ул. "Димитър Найденов", ул. "Сливница", гр. В. Търново</t>
  </si>
  <si>
    <t>Реконструкция на улични ВиК проводи по ул."Опълченска", гр. В. Търново</t>
  </si>
  <si>
    <t>Бул."България"/при НВУ "В.Левски"/, гр. В. Търново -подмяна на бордюри с нови</t>
  </si>
  <si>
    <t>Основен ремонт тротоари на ул."Цар Тодор Светослав"/при поликлиниката/, гр. В. Търново</t>
  </si>
  <si>
    <t>Ремонт на сградата на читалище  Кметство с. Русаля /30% продажба на общинско имущество/</t>
  </si>
  <si>
    <t>Ремонт на сградата на НЧ "Нива - 1898" Кметство с. Балван /30% продажба на общинско имущество/</t>
  </si>
  <si>
    <t>Ремонт дограма РБ "П.Р.Славейков"</t>
  </si>
  <si>
    <t>Ремонт на наклонения асансьор в АМР "Трапезица"</t>
  </si>
  <si>
    <t>Компютри и хардуер</t>
  </si>
  <si>
    <t>Отоплителен котел Кметство с. Плаково /30% продажба общинско имущество/</t>
  </si>
  <si>
    <t>Компютри за нуждите на районните полицейски инспектори и детска педагогическа стая</t>
  </si>
  <si>
    <t>Система за видеонаблюдение Кметство с. Ново село 30% продажба на общинско имущество</t>
  </si>
  <si>
    <t>Изграждане на отводнително съоръжение намиращо се в източната част на с. Ресен, кръстовището на ул. "Георги Димитров" и ул. "Димо Рогев" и прилежащите жилищни сгради, Кметство с.Ресен</t>
  </si>
  <si>
    <t>Мост над река Еньовица, с. Габровци /път Габровци - Пъровци/, с. Габровци</t>
  </si>
  <si>
    <t>Възстановяване на мост - вилна зона, с. Габровци, с. Габровци</t>
  </si>
  <si>
    <t>ОУ „Бачо Киро“, гр. Велико Търново - интерактивни мултитъч дисплей, гр. Велико Търново</t>
  </si>
  <si>
    <t>ОУ „Бачо Киро“, гр. Велико Търново - преносими компютри, преносими конфигурации и 3D принтер, гр. Велико Търново</t>
  </si>
  <si>
    <t>ОУ „Бачо Киро“, гр. Велико Търново - информационен киоск, гр. Велико Търново</t>
  </si>
  <si>
    <t>ОУ „Бачо Киро“, гр. Велико Търново - стериоскопична компютърна конфигурация, гр. Велико Търново</t>
  </si>
  <si>
    <t>СУ „Вела Благоева“, гр. Велико Търново - компютри и хардуер по проект „Живей в кръговрата! Разреши проблема!“, № BG  ENVIORNMENT - 3.00.1-006</t>
  </si>
  <si>
    <t>ОУО "Колю Фичето" - компютърни конфигурации</t>
  </si>
  <si>
    <t>СУ „Вела Благоева“, гр. Велико Търново - аудио-озвучителна техника по  проект „Живей в кръговрата! Разреши проблема!“, 
№ BG  ENVIORNMENT - 3.00.1-006</t>
  </si>
  <si>
    <t xml:space="preserve">ДГ "Шарения замък" - Доставка и монтаж на сенници за детски площадки </t>
  </si>
  <si>
    <t xml:space="preserve">ДГ "Шарения замък" - Доставка и монтаж на детски съоръжения за детски площадки </t>
  </si>
  <si>
    <t>СОУ „Емилиян Станев“ - Подопочистваща машина, гр. Велико Търново</t>
  </si>
  <si>
    <t>ДГ "Шарения замък" - Доставка и монтаж на мебели</t>
  </si>
  <si>
    <t>Придобиване на компютри за нуждите на Детските ясли</t>
  </si>
  <si>
    <t>ПИЦ Придобиване на преносими компютри 2 бр.</t>
  </si>
  <si>
    <t>ПИЦ Закупуване на мултимедиен проектор</t>
  </si>
  <si>
    <t>Заснемане, проектиране и остойностяване на част "Пожароизвестителна система" за Детските ясли</t>
  </si>
  <si>
    <t>Климатици на Детските ясли</t>
  </si>
  <si>
    <t>Бойлер  със серпентина 2 бр. ДЯ Мечо Пух</t>
  </si>
  <si>
    <t>ДЯ "Щастливо детство", ДЯ "Пролет", ДЯ "Слънце, ДЯ "Зорница" - професионални сушилни</t>
  </si>
  <si>
    <t>ДЯ Зорница - закупуване на електрическа пекарна с 2 фурни и печка с 4 котлона</t>
  </si>
  <si>
    <t>ДЯ Мечо Пух - Закупуване на електрическа пекарна с 2 фурни</t>
  </si>
  <si>
    <t>ДЯ Щастливо Детство - Закупуване на електическа пекарна и печка</t>
  </si>
  <si>
    <t>ДМК - Закупуване на работни маси и шкафове</t>
  </si>
  <si>
    <t>Закупуване на компютри в Преходно жилище 1 бр.</t>
  </si>
  <si>
    <t>ЦСРИ Бойчо войвода -закупуване на компютърна конфигурация</t>
  </si>
  <si>
    <t>Асистентска подкрепа - Придобиване на 3 бр. компютърна конфигурация</t>
  </si>
  <si>
    <t>Компютри по проект "Патронажна грижа + ", ОП "Развитие на човешките ресурси" 2014-2020, №BG05M9OP001-6.002-0077-C01 /код 98/</t>
  </si>
  <si>
    <t>Компютри и хардуер по проект "Дневен център за подкрепа на лица с увреждания и техните семейства, вкл. с тежки множествени увреждания", ОП "Развитие на човешките ресурси" 2014-2020, №BG05M9OP001-2.061-0002 /код 98/</t>
  </si>
  <si>
    <t>Закупуване на кушетка и лифтер по проект "Разкриване на център за социална рехабилитация и интеграция за лица с психични разстройства и интелектуални затруднения", ОП "Развитие на човешките ресурси" 2014-2020, №BG05M9OP001-2.062-0004 /код 98/</t>
  </si>
  <si>
    <t>Климатична система по проект "Общностен център за деца и родители "ЦАРЕВГРАД"
BG05M9OP001-2.004-0046-C01 /код 98/</t>
  </si>
  <si>
    <t>ЦНСТ ул. Никола Габровски -Проектиране за изграждане на пожароизвестителна система</t>
  </si>
  <si>
    <t>ЦНСТ ул. Никола Габровски -Придобиване на климатична система 2 бр.</t>
  </si>
  <si>
    <t>ЦНСТ III ул. Колоня Товар - Закупуване на газов котел</t>
  </si>
  <si>
    <t>ЦСРИ Бойчо войвода - Закупуване на цветна копирна машина</t>
  </si>
  <si>
    <t>ЦСРИ Бойчо войвода - закупуване на многофункционална кушетка за кинезитерапия</t>
  </si>
  <si>
    <t>Дневен център за деца и младежи с увреждания "Дъга", гр. Велико Търново - беседка с ударопоглъщаща настилка</t>
  </si>
  <si>
    <t>ДСХ В Търново - Закупуване на локална вентилационна система</t>
  </si>
  <si>
    <t>Заснемане, проектиране и остойностяване на част "Пожароизвестителна система" за ДПЛУИ, с. Церова Кория</t>
  </si>
  <si>
    <t>ЦНСТ I ул. Ил. Драгостинов - Закупуване на МПС с рампа за инвалиди</t>
  </si>
  <si>
    <t>Закупуване на транспортно средство - бус по проект "Дневен център за подкрепа на лица с увреждания и техните семейства, вкл. с тежки множествени увреждания", ОП "Развитие на човешките ресурси" 2014-2020, №BG05M9OP001-2.061-0002 /код 98/</t>
  </si>
  <si>
    <t>ЦНСТ I и II ул. Цветарска 14 - Закупуване на бойлер с 2 серпентини</t>
  </si>
  <si>
    <t>ЦНСТ Церова кория - Доставка и монтаж на кухня</t>
  </si>
  <si>
    <t>ДПЛУИ Церова Кория - Закупуване на високооборотна перална машина</t>
  </si>
  <si>
    <t>ДПЛУИ Церова Кория - закупуване на печка с 6 плочи</t>
  </si>
  <si>
    <t>Закупуване на съдомиялна машина и професионална сушилня по проект "Дневен център за подкрепа на лица с увреждания и техните семейства, вкл. с тежки множествени увреждания", ОП "Развитие на човешките ресурси" 2014-2020, №BG05M9OP001-2.061-0002 /код 98/</t>
  </si>
  <si>
    <t>Закупуване на съдомиялна машина по проект "Разкриване на център за социална рехабилитация и интеграция за лица с психични разстройства и интелектуални затруднения", ОП "Развитие на човешките ресурси" 2014-2020, №BG05M9OP001-2.062-0004 /код 98/</t>
  </si>
  <si>
    <t>Билборд, информационно табло по Проект "Рехабилитация и модернизация на системи за външно изкуствено осветление във Велико Търново", №BGENERGY-2.001-0003-017 /код 97/</t>
  </si>
  <si>
    <t>ОП "Зелени системи" - Сметосъбираща машина</t>
  </si>
  <si>
    <t>ОП "Зелени системи" - Специализирана машина водоноска</t>
  </si>
  <si>
    <t>Комбиниран багер - товарач, ОП Зелени Системи</t>
  </si>
  <si>
    <t>Стопански инвентар Кметство с. Русаля /30% от продажба на общинско имущество/</t>
  </si>
  <si>
    <t>Доизграждане на улични участъци в кв. Картала, гр. В . Търново /доизграждане на участък от ул. Александър Бурмов от ОК 2374 а до ОК2475 и изграждане на нов уличен участък от ОК2524 до ОК2903 м/у ул. А. Бурмов и ул. Беляковско шосе/ -  ПМС 376/05.11.21 г.</t>
  </si>
  <si>
    <t>Изграждане на фундамент за автомобилна везна в землището на с. Шереметя</t>
  </si>
  <si>
    <t>Мултимедийна информационна система по проект "Разширение на Мултимедиен посетителски център "Царевград Търнов" по ОП „Региони в растеж“ 2014-2020г., №BG16RFOP001-1.009-0007 /код 98/</t>
  </si>
  <si>
    <t>Интерактивен киоск за нуждите на ХГ "Борис Денев"  гр. В. Търново</t>
  </si>
  <si>
    <t>Билборд, информационно табло по проект "Разширение на Мултимедиен посетителски център "Царевград Търнов" по ОП „Региони в растеж“ 2014-2020г., №BG16RFOP001-1.009-0007 /код 98/</t>
  </si>
  <si>
    <t>Билборд, информационно табло по проект "Реконструкция и обновяване на музей "Възраждане" и "Учредително събрание" по ОП „Региони в растеж“ 2014-2020г., №BG16RFOP001-1.009-0006 /код 98/</t>
  </si>
  <si>
    <t>Мобилни осветителни и озвучителни кули АМР "Царевец" КТМД Дирекция</t>
  </si>
  <si>
    <t>Стопански инвентар за нуждите на РБ "П.Р.Славейков"</t>
  </si>
  <si>
    <t>Изграждане на скулптури "Глухарчета" в открити градски пространства КТМД Дирекция</t>
  </si>
  <si>
    <t>Изграждане на асфалтов пъмп трак в УПИ XI-3779, кв. 237, гр. Велико Търново</t>
  </si>
  <si>
    <t>Откупки на художествени произведения на Великотърновска тематика  на стари и съвременни автори, след оценка на художествен съвет КТМД Дирекция</t>
  </si>
  <si>
    <t>Контролен център, паркинг система и информационни табла за електробуси по проект "Интегриран градски транспорт на гр. Велико Търново по ОП „Региони в растеж“ 2014-2020г." BG16RFOP001-1.009-0005-C01 /код 98/</t>
  </si>
  <si>
    <t xml:space="preserve">Изграждане на трафопост за захранване на буферен паркинг "Френхисар" </t>
  </si>
  <si>
    <t>Монтаж на цистерна за вода на приют за бездомни животни</t>
  </si>
  <si>
    <t>Софтуерни функционалности за управление на общинска собственост</t>
  </si>
  <si>
    <t>Софтуерни лицензи в РБ „П.Р.Славейков“, гр. Велико Търново</t>
  </si>
  <si>
    <t>Отчуждаване на части от недвижими имоти частна собственост за гробищни паркове</t>
  </si>
  <si>
    <t>Неотложни разходи за текущи ремонти на улична мрежа по населените места</t>
  </si>
  <si>
    <t>6202 Трансфери между бюджети - предоставени трансфери (-)</t>
  </si>
  <si>
    <t>Собствено участие по проект "Интегриран градски транспорт на гр. Велико Търново по ОП „Региони в растеж“ 2014-2020г." BG16RFOP001-1.009-0005-C01</t>
  </si>
  <si>
    <t>ПРИЛОЖЕНИЕ 17А</t>
  </si>
  <si>
    <t>Обекти</t>
  </si>
  <si>
    <t>Общо</t>
  </si>
  <si>
    <t>Арбанаси /в т.ч. 18 263 лева преходен остатък/</t>
  </si>
  <si>
    <t>Беляковец /в т.ч. 35 001 лева преходен остатък/</t>
  </si>
  <si>
    <t>Велчево /в т.ч. 5 000 лева преходен остатък/</t>
  </si>
  <si>
    <t>Къпиново  /в т.ч. 23 702 лева преходен остатък/</t>
  </si>
  <si>
    <t>Леденик  /в т.ч. 11 000 лева преходен остатък/</t>
  </si>
  <si>
    <t>Миндя  /в т.ч.  17 000 лева преходен остатък/</t>
  </si>
  <si>
    <t>Ново село /в т.ч.  19 358 лева преходен остатък/</t>
  </si>
  <si>
    <t>Присово /в т.ч. 50 432 лева преходен остатък/</t>
  </si>
  <si>
    <t>Пчелище /в т.ч. 11 000 лева преходен остатък/</t>
  </si>
  <si>
    <t>Русаля /в т.ч. 9 000 лева преходен остатък/</t>
  </si>
  <si>
    <t>Хотница /в т.ч. 12 270 лева преходен остатък/</t>
  </si>
  <si>
    <t>Церова кория /в т.ч. 10 000 преходен остатък/</t>
  </si>
  <si>
    <t>Войнежа /в т.ч. 1 398 лева преходен остатък/</t>
  </si>
  <si>
    <t xml:space="preserve">Габровци </t>
  </si>
  <si>
    <t>Дебелец /в т.ч. 14 000 лева преходен остатък/</t>
  </si>
  <si>
    <t xml:space="preserve">Ресен </t>
  </si>
  <si>
    <t>Самоводене  /в т.ч. 14 355 лева преходен остатък/</t>
  </si>
  <si>
    <t xml:space="preserve">Миндя </t>
  </si>
  <si>
    <t xml:space="preserve">Хотница </t>
  </si>
  <si>
    <t xml:space="preserve">Самоводене  </t>
  </si>
  <si>
    <t>Текущ ремонт улична мрежа на територията на кметствата и кметските наместничества на територията на Община Велико Търново - Програма "Инициативи на местните общности" 2021, вкл. преходен остатък</t>
  </si>
  <si>
    <t>Текущ ремонт улична мрежа на територията на кметствата и кметските наместничества на територията на Община Велико Търново 2022 г., вкл. преходен остатък</t>
  </si>
  <si>
    <t>Разходи за договорни санкции и неустойки, съдебни обезщетения и разноски</t>
  </si>
  <si>
    <t>Изграждане на инфраструктурни обекти</t>
  </si>
  <si>
    <t>Общински фонд "Заедно"</t>
  </si>
  <si>
    <t>Функция " Общи държавни служби" ; Общинска администрация</t>
  </si>
  <si>
    <t>Възстановени средства на кметства и кметски наместничества в размер 30 на сто от получените суми от търгове за разпореждане с имущество за  периода 01.10.2021 г. - 31.01.2022 г. и договорените  на разсрочено плащане до 31.12.2022 г.</t>
  </si>
  <si>
    <t>Функция "Жил. строителство, БКС и опазване на околната среда"  и Функция " Култура, спорт, почивни дейности и религиозно дело"</t>
  </si>
  <si>
    <t>Функция " Култура, спорт, почивни дейности и религиозно дело" ; Обредни домове и зали</t>
  </si>
  <si>
    <t>Функция " Култура, спорт, почивни дейности и религиозно дело"; Спортни бази за спорт за всички</t>
  </si>
  <si>
    <t>Функция " Култура, спорт, почивни дейности и религиозно дело" ; Други дейности по културата</t>
  </si>
  <si>
    <t>Функция " Култура, спорт, почивни дейности и религиозно дело" ; Музеи, худ. галерии, паметници на културата и етногр. комплекси с национален и регионален харакер</t>
  </si>
  <si>
    <t>Функция " Култура, спорт, почивни дейности и религиозно дело"; Други дейности по културата</t>
  </si>
  <si>
    <t>Обслужване /плащания/ по дълга за 2022 г.</t>
  </si>
  <si>
    <t>Размер на усвоените средства през 2022 г.</t>
  </si>
  <si>
    <t>Към 31.12.2022 г.</t>
  </si>
  <si>
    <t xml:space="preserve">ФИНАНСОВ ПЛАН 2022 ГОДИНА </t>
  </si>
  <si>
    <t>ОБЩО РАЗХОДИ:</t>
  </si>
  <si>
    <t>Постъпления от продажба на общински нефинансови активи,  
(планирани по бюджета на общината за 2022 г.)</t>
  </si>
  <si>
    <t>Постъпления от продажба на общински нефинансови активи  
(планирани по бюджета на общината за 2022 г.), с които се финансира текущ ремонт</t>
  </si>
  <si>
    <t>Постъпления от продажба на общински нефинансови активи,  
(планирани по бюджета на общината за 2022 г.), с които се финансират капиталовите разходи</t>
  </si>
  <si>
    <t>ИЗНЕСЕН ФАЙЛ</t>
  </si>
  <si>
    <t>НА ОБЩИНА ВЕЛИКО ТЪРНОВО ЗА 2022 ГОДИНА</t>
  </si>
  <si>
    <t>ВСИЧКО ПРИХОДИ:</t>
  </si>
  <si>
    <t>ВСИЧКО ПРИХОДИ ЗА МЕСТНИ ДЕЙНОСТИ:</t>
  </si>
  <si>
    <t>Всичко:</t>
  </si>
  <si>
    <t>8389</t>
  </si>
  <si>
    <t xml:space="preserve"> - В Т.Ч. дългосрочни заеми от ФОНД ЗА ОРГАНИТЕ НА МЕСТНО САМОУПРАВЛЕНИЕ - " ФЛАГ " ЕАД (-)_x000D_
</t>
  </si>
  <si>
    <t>8385</t>
  </si>
  <si>
    <t xml:space="preserve"> - В Т.Ч. дългосрочни заеми от „Регионален фонд за градско развитие“ АД (РФГР)  (-)</t>
  </si>
  <si>
    <t>8379</t>
  </si>
  <si>
    <t xml:space="preserve"> - В Т.Ч. дългосрочни заеми от ФОНД ЗА ОРГАНИТЕ НА МЕСТНО САМОУПРАВЛЕНИЕ - " ФЛАГ " ЕАД (+)_x000D_
</t>
  </si>
  <si>
    <t>8375</t>
  </si>
  <si>
    <t xml:space="preserve"> - В Т.Ч. дългосрочни заеми от „Регионален фонд за градско развитие“ АД (РФГР)  (+)</t>
  </si>
  <si>
    <t>ВСИЧКО ПРИХОДИ ЗА ДЪРЖАВНИ ДЕЙНОСТИ:</t>
  </si>
  <si>
    <t>9508</t>
  </si>
  <si>
    <t>наличност в левова равностойност по валутни сметки в края на периода (-)</t>
  </si>
  <si>
    <t>ПРИХОДИ ЗА ДЪРЖАВНИ ДЕЙНОСТИ</t>
  </si>
  <si>
    <t>ИМЕ НА ПАРАГРАФ</t>
  </si>
  <si>
    <t>ЗА 2022 ГОДИНА</t>
  </si>
  <si>
    <t>ПРИЛОЖЕНИЕ 1</t>
  </si>
  <si>
    <t>ВСИЧКО РАЗХОДИ ПО БЮДЖЕТА:</t>
  </si>
  <si>
    <t>ВСИЧКО РАЗХОДИ ЗА ДЪРЖАВНИ ДЕЙНОСТИ, ДОФИНАНСИРАНИ С МЕСТНИ ПРИХОДИ</t>
  </si>
  <si>
    <t>Всичко - 541 Домове за пълнолетни лица с увреждания:</t>
  </si>
  <si>
    <t>541 Домове за пълнолетни лица с увреждания</t>
  </si>
  <si>
    <t>РАЗХОДИ ЗА ДЪРЖАВНИ ДЕЙНОСТИ, ДОФИНАНСИРАНИ С МЕСТНИ ПРИХОДИ</t>
  </si>
  <si>
    <t>ВСИЧКО РАЗХОДИ ЗА МЕСТНИ ДЕЙНОСТИ:</t>
  </si>
  <si>
    <t>1063</t>
  </si>
  <si>
    <t>такса ангажимент по заеми</t>
  </si>
  <si>
    <t>ВСИЧКО РАЗХОДИ ЗА ДЪРЖАВНИ ДЕЙНОСТИ:</t>
  </si>
  <si>
    <t>Всичко - 561 Асистентска подкрепа:</t>
  </si>
  <si>
    <t>561 Асистентска подкрепа</t>
  </si>
  <si>
    <t xml:space="preserve"> - текущи трансфери за чужбина</t>
  </si>
  <si>
    <t>42-17</t>
  </si>
  <si>
    <t>текущи трансфери за домакинства от средства на Европейския съюз</t>
  </si>
  <si>
    <t>02-08</t>
  </si>
  <si>
    <t xml:space="preserve"> - обезщетения за персонала, с характер на възнаграждение</t>
  </si>
  <si>
    <t>45-01</t>
  </si>
  <si>
    <t xml:space="preserve"> - текущи помощи и дарения от страната</t>
  </si>
  <si>
    <t xml:space="preserve"> И ДРУГИ МЕЖДУНАРОДНИ ПРОГРАМИ И ПРОЕКТИ НА ОБЩИНА ВЕЛИКО ТЪРНОВО ЗА 2022 ГОДИНА </t>
  </si>
  <si>
    <t>Приложение 4</t>
  </si>
  <si>
    <t>НАИМЕНОВАНИЕ НА ПАРАГРАФА ПО ЕБК 2022</t>
  </si>
  <si>
    <t>РАЗПРЕДЕЛЕНИЕ НА БЮДЖЕТ 2022</t>
  </si>
  <si>
    <t xml:space="preserve"> СРЕДСТВА ЗА ТЕКУЩИ РЕМОНТИ УЛИЧНА МРЕЖА ПО НАСЕЛЕНИТЕ МЕСТА В ОБЩИНА ВЕЛИКО ТЪРНОВО</t>
  </si>
  <si>
    <t>Приложение 2В</t>
  </si>
  <si>
    <t>ПРИЛОЖЕНИЕ 3</t>
  </si>
  <si>
    <t>ДПЛУИ Церова Кория - компютърна конфигурация</t>
  </si>
  <si>
    <t>ДПЛУИ Церова Кория - преносим компютър</t>
  </si>
  <si>
    <t>Закупуване на лифтер, специализирани електрически легла и кушетка по проект "Дневен център за подкрепа на лица с увреждания и техните семейства, вкл. с тежки множествени увреждания", ОП "Развитие на човешките ресурси" 2014-2020, №BG05M9OP001-2.061-0002 /код 98/</t>
  </si>
  <si>
    <t>ПРИЛОЖЕНИЕ 17</t>
  </si>
  <si>
    <t>ИЗНЕСЕН</t>
  </si>
  <si>
    <t>ПРИЛОЖЕНИЕ №14</t>
  </si>
  <si>
    <t>МЕСТНИТЕ ДЕЙНОСТИ И ДОФИНАНСИРАНИТЕ ДЕЙНОСТИ ЗА 2022 ГОДИНА</t>
  </si>
  <si>
    <t>в т.ч.</t>
  </si>
  <si>
    <t xml:space="preserve"> общински съветници</t>
  </si>
  <si>
    <t>Функция "Култура, спорт, почивни дейности и религиозно дело"</t>
  </si>
  <si>
    <t>III.</t>
  </si>
  <si>
    <t>Функция " Култура, спорт, почивни дейности и религиозно дело"</t>
  </si>
  <si>
    <t>ЧЛ. 35, АЛ. 2 ОТ ПМС №31/17.03.2022 г.</t>
  </si>
  <si>
    <t>Основен ремонт на ул. "Трета", с. Пчелище</t>
  </si>
  <si>
    <t xml:space="preserve">На педагогическите специалисти в делегираните от държавата дейности по Образование, </t>
  </si>
  <si>
    <t>Приложение № 23</t>
  </si>
  <si>
    <t>ПЛАН - ГРАФИК на Община Велико Търново
за обслужване на просрочените задължения през 2022 година</t>
  </si>
  <si>
    <t>Сметки за просрочени задължения
 (по подгрупа 992)</t>
  </si>
  <si>
    <t xml:space="preserve">Дейност по ЕБК, в която е отчетено просроченото задължение към 31.12.2021 г.
</t>
  </si>
  <si>
    <t xml:space="preserve">Вид разход (параграф) по ЕБК на просроченото задължение към 31.12.2021 г.
</t>
  </si>
  <si>
    <t>Размер на просроченото задължение към 31.12.2021 г. 
(в лева)</t>
  </si>
  <si>
    <t>Размер на заложените за разплащане просрочени задължения от края на 2021 г. в бюджета за 2022 година (в лева)</t>
  </si>
  <si>
    <t>Източник на средства, с който ще бъде погасено просроченото задължение
(параграф по ЕБК)</t>
  </si>
  <si>
    <t>Тримесечие от 2022 г., в което ще бъде разплатено просроченото задължение</t>
  </si>
  <si>
    <t>9923 "Просрочени задължения към доставчици"</t>
  </si>
  <si>
    <t>Местна дейност 122</t>
  </si>
  <si>
    <t>§§1015</t>
  </si>
  <si>
    <t>1301;2711;3112</t>
  </si>
  <si>
    <t>първо-трето</t>
  </si>
  <si>
    <t>§§1020</t>
  </si>
  <si>
    <t>§§1030</t>
  </si>
  <si>
    <t>Местна дейност 311</t>
  </si>
  <si>
    <t>2701;1301</t>
  </si>
  <si>
    <t>Местна дейност 336</t>
  </si>
  <si>
    <t>2404;1301</t>
  </si>
  <si>
    <t>Местна дейност 337</t>
  </si>
  <si>
    <t>1301;1304;3112</t>
  </si>
  <si>
    <t>Местна дейност 389</t>
  </si>
  <si>
    <t>Местна дейност 431</t>
  </si>
  <si>
    <t>2702;1301</t>
  </si>
  <si>
    <t>Местна дейност 524</t>
  </si>
  <si>
    <t>2704;1301</t>
  </si>
  <si>
    <t>2704;1302</t>
  </si>
  <si>
    <t>Местна дейност 525</t>
  </si>
  <si>
    <t>Местна дейност 589</t>
  </si>
  <si>
    <t>Местна дейност 604</t>
  </si>
  <si>
    <t>Местна дейност 606</t>
  </si>
  <si>
    <t>Местна дейност 619</t>
  </si>
  <si>
    <t>1303;1304;3112</t>
  </si>
  <si>
    <t>Местна дейност 622</t>
  </si>
  <si>
    <t>1301;1304</t>
  </si>
  <si>
    <t>Местна дейност 623</t>
  </si>
  <si>
    <t>§§1016</t>
  </si>
  <si>
    <t>Местна дейност 629</t>
  </si>
  <si>
    <t>Местна дейност 714</t>
  </si>
  <si>
    <t>Местна дейност 759</t>
  </si>
  <si>
    <t>Местна дейност 849</t>
  </si>
  <si>
    <t>1303;1301</t>
  </si>
  <si>
    <t>Местна дейност 878</t>
  </si>
  <si>
    <t>2717;1301</t>
  </si>
  <si>
    <t>Общ размер на заложените за разплащане просрочени задължения в бюджета за 2022 година (в лева)</t>
  </si>
  <si>
    <t>в т.ч.:</t>
  </si>
  <si>
    <t xml:space="preserve"> - за разплащане в І-во тримесечие</t>
  </si>
  <si>
    <t xml:space="preserve"> - за разплащане във ІІ-ро тримесечие</t>
  </si>
  <si>
    <t xml:space="preserve"> - за разплащане в ІІІ-то тримесечие</t>
  </si>
  <si>
    <t xml:space="preserve"> - за разплащане в ІV-то тримесечие</t>
  </si>
  <si>
    <t>Общ размер на отчетените просрочени задължения към 31.12.2021 година (в лева)</t>
  </si>
  <si>
    <t xml:space="preserve">                                                   </t>
  </si>
  <si>
    <t xml:space="preserve">                   </t>
  </si>
  <si>
    <t>ВЕНЦИСЛАВ СПИРДОНОВ</t>
  </si>
  <si>
    <t>ПРЕДСЕДАТЕЛ</t>
  </si>
  <si>
    <t>ОБЩИНСКИ СЪВЕТ</t>
  </si>
  <si>
    <t>БЮДЖЕТ 2022</t>
  </si>
  <si>
    <t xml:space="preserve"> ПРИХОДИТЕ ПО БЮДЖЕТА НА ОБЩИНА ВЕЛИКО ТЪРНОВО </t>
  </si>
  <si>
    <t xml:space="preserve"> БЮДЖЕТ 2022</t>
  </si>
  <si>
    <t xml:space="preserve">РАЗХОДИТЕ ПО БЮДЖЕТА НА ОБЩИНА ВЕЛИКО ТЪРНОВО </t>
  </si>
  <si>
    <t>Рекапитулация по разходни параграфи на общински предприятия и мероприятия - 2022 година</t>
  </si>
  <si>
    <t xml:space="preserve">ПРЕДСЕДАТЕЛ </t>
  </si>
  <si>
    <t xml:space="preserve">ПРИХОДИТЕ И РАЗХОДИТЕ НА СМЕТКИТЕ ЗА СРЕДСТВАТА ОТ ЕВРОПЕЙСКИЯ СЪЮЗ </t>
  </si>
  <si>
    <t xml:space="preserve">Структура и размер на дълга на </t>
  </si>
  <si>
    <t>Директор на образователна институция</t>
  </si>
  <si>
    <t>ИНВЕСТИЦИОННА ПРОГРАМА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</si>
</sst>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00"/>
    <numFmt numFmtId="166" formatCode="#,##0\ &quot;лв.&quot;"/>
    <numFmt numFmtId="167" formatCode="dd/mm/yyyy\ &quot;г.&quot;;@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Heba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6"/>
      <color indexed="8"/>
      <name val="All Times New Roman"/>
      <family val="1"/>
      <charset val="204"/>
    </font>
    <font>
      <sz val="6"/>
      <name val="All Times New Roman"/>
      <family val="1"/>
      <charset val="204"/>
    </font>
    <font>
      <b/>
      <sz val="6"/>
      <color indexed="8"/>
      <name val="All Times New Roman"/>
      <family val="1"/>
      <charset val="204"/>
    </font>
    <font>
      <b/>
      <sz val="6"/>
      <name val="All Times New Roman"/>
      <family val="1"/>
      <charset val="204"/>
    </font>
    <font>
      <b/>
      <sz val="6"/>
      <color theme="1"/>
      <name val="All Times New Roman"/>
      <family val="1"/>
      <charset val="204"/>
    </font>
    <font>
      <sz val="6"/>
      <color theme="1"/>
      <name val="All Times New Roman"/>
      <family val="1"/>
      <charset val="204"/>
    </font>
    <font>
      <i/>
      <sz val="6"/>
      <color indexed="8"/>
      <name val="All Times New Roman"/>
      <family val="1"/>
      <charset val="204"/>
    </font>
    <font>
      <sz val="8"/>
      <color indexed="8"/>
      <name val="All 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6"/>
      <color indexed="8"/>
      <name val="All Times New Roman"/>
      <charset val="204"/>
    </font>
    <font>
      <sz val="10"/>
      <name val="Times New Roman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u/>
      <sz val="10"/>
      <color theme="10"/>
      <name val="Hebar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"/>
      <family val="2"/>
    </font>
    <font>
      <sz val="12"/>
      <color indexed="8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1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6"/>
      <name val="All Times New Roman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indexed="12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color indexed="57"/>
      <name val="Times New Roman"/>
      <family val="1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sz val="11"/>
      <color theme="0"/>
      <name val="Calibri"/>
      <family val="2"/>
      <scheme val="minor"/>
    </font>
    <font>
      <i/>
      <sz val="9"/>
      <color theme="0"/>
      <name val="Arial"/>
      <family val="2"/>
      <charset val="204"/>
    </font>
    <font>
      <sz val="9"/>
      <name val="Arial"/>
      <family val="2"/>
      <charset val="204"/>
    </font>
    <font>
      <sz val="9"/>
      <color theme="0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6">
    <xf numFmtId="0" fontId="0" fillId="0" borderId="0"/>
    <xf numFmtId="0" fontId="12" fillId="0" borderId="0"/>
    <xf numFmtId="0" fontId="13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3" borderId="0" applyNumberFormat="0" applyBorder="0" applyAlignment="0" applyProtection="0"/>
    <xf numFmtId="0" fontId="19" fillId="20" borderId="6" applyNumberFormat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6" fillId="7" borderId="6" applyNumberFormat="0" applyAlignment="0" applyProtection="0"/>
    <xf numFmtId="0" fontId="27" fillId="0" borderId="11" applyNumberFormat="0" applyFill="0" applyAlignment="0" applyProtection="0"/>
    <xf numFmtId="0" fontId="28" fillId="22" borderId="0" applyNumberFormat="0" applyBorder="0" applyAlignment="0" applyProtection="0"/>
    <xf numFmtId="0" fontId="12" fillId="0" borderId="0"/>
    <xf numFmtId="0" fontId="12" fillId="23" borderId="12" applyNumberFormat="0" applyFont="0" applyAlignment="0" applyProtection="0"/>
    <xf numFmtId="0" fontId="29" fillId="20" borderId="13" applyNumberFormat="0" applyAlignment="0" applyProtection="0"/>
    <xf numFmtId="0" fontId="30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12" fillId="0" borderId="0"/>
    <xf numFmtId="0" fontId="11" fillId="0" borderId="0"/>
    <xf numFmtId="0" fontId="34" fillId="0" borderId="0"/>
    <xf numFmtId="0" fontId="10" fillId="0" borderId="0"/>
    <xf numFmtId="0" fontId="44" fillId="0" borderId="0"/>
    <xf numFmtId="0" fontId="12" fillId="0" borderId="0"/>
    <xf numFmtId="0" fontId="45" fillId="0" borderId="0"/>
    <xf numFmtId="0" fontId="46" fillId="0" borderId="0"/>
    <xf numFmtId="0" fontId="12" fillId="0" borderId="0"/>
    <xf numFmtId="0" fontId="12" fillId="0" borderId="0"/>
    <xf numFmtId="0" fontId="51" fillId="0" borderId="0"/>
    <xf numFmtId="0" fontId="52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54" fillId="0" borderId="0"/>
    <xf numFmtId="0" fontId="12" fillId="0" borderId="0"/>
    <xf numFmtId="0" fontId="15" fillId="0" borderId="0"/>
    <xf numFmtId="0" fontId="12" fillId="0" borderId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2" fillId="0" borderId="0"/>
    <xf numFmtId="0" fontId="64" fillId="0" borderId="0"/>
    <xf numFmtId="0" fontId="8" fillId="0" borderId="0"/>
    <xf numFmtId="0" fontId="65" fillId="0" borderId="0"/>
    <xf numFmtId="0" fontId="7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2" fillId="23" borderId="12" applyNumberFormat="0" applyFont="0" applyAlignment="0" applyProtection="0"/>
    <xf numFmtId="0" fontId="26" fillId="7" borderId="6" applyNumberFormat="0" applyAlignment="0" applyProtection="0"/>
    <xf numFmtId="0" fontId="22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9" fillId="20" borderId="13" applyNumberFormat="0" applyAlignment="0" applyProtection="0"/>
    <xf numFmtId="0" fontId="19" fillId="20" borderId="6" applyNumberFormat="0" applyAlignment="0" applyProtection="0"/>
    <xf numFmtId="0" fontId="20" fillId="21" borderId="7" applyNumberFormat="0" applyAlignment="0" applyProtection="0"/>
    <xf numFmtId="0" fontId="18" fillId="3" borderId="0" applyNumberFormat="0" applyBorder="0" applyAlignment="0" applyProtection="0"/>
    <xf numFmtId="0" fontId="28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31" fillId="0" borderId="14" applyNumberFormat="0" applyFill="0" applyAlignment="0" applyProtection="0"/>
    <xf numFmtId="0" fontId="7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76" fillId="0" borderId="0"/>
    <xf numFmtId="9" fontId="16" fillId="0" borderId="0" applyFont="0" applyFill="0" applyBorder="0" applyAlignment="0" applyProtection="0"/>
    <xf numFmtId="0" fontId="16" fillId="0" borderId="0"/>
    <xf numFmtId="0" fontId="2" fillId="0" borderId="0"/>
    <xf numFmtId="0" fontId="1" fillId="0" borderId="0"/>
    <xf numFmtId="0" fontId="91" fillId="0" borderId="0"/>
  </cellStyleXfs>
  <cellXfs count="809">
    <xf numFmtId="0" fontId="0" fillId="0" borderId="0" xfId="0"/>
    <xf numFmtId="0" fontId="47" fillId="0" borderId="0" xfId="54" applyFont="1"/>
    <xf numFmtId="0" fontId="47" fillId="0" borderId="0" xfId="45" applyFont="1" applyBorder="1" applyAlignment="1"/>
    <xf numFmtId="0" fontId="35" fillId="24" borderId="0" xfId="45" applyNumberFormat="1" applyFont="1" applyFill="1" applyBorder="1" applyAlignment="1"/>
    <xf numFmtId="0" fontId="35" fillId="0" borderId="0" xfId="45" applyNumberFormat="1" applyFont="1" applyBorder="1" applyAlignment="1"/>
    <xf numFmtId="0" fontId="47" fillId="0" borderId="0" xfId="45" applyFont="1" applyAlignment="1"/>
    <xf numFmtId="0" fontId="47" fillId="24" borderId="0" xfId="45" applyNumberFormat="1" applyFont="1" applyFill="1" applyBorder="1" applyAlignment="1"/>
    <xf numFmtId="0" fontId="47" fillId="0" borderId="0" xfId="45" applyNumberFormat="1" applyFont="1" applyBorder="1" applyAlignment="1"/>
    <xf numFmtId="0" fontId="47" fillId="0" borderId="0" xfId="45" applyFont="1" applyFill="1" applyBorder="1" applyAlignment="1">
      <alignment horizontal="justify" vertical="center" wrapText="1"/>
    </xf>
    <xf numFmtId="0" fontId="47" fillId="0" borderId="0" xfId="45" applyFont="1" applyFill="1"/>
    <xf numFmtId="0" fontId="47" fillId="0" borderId="0" xfId="45" applyFont="1" applyFill="1" applyBorder="1" applyAlignment="1">
      <alignment vertical="center" wrapText="1"/>
    </xf>
    <xf numFmtId="0" fontId="47" fillId="0" borderId="0" xfId="45" applyFont="1" applyFill="1" applyAlignment="1"/>
    <xf numFmtId="0" fontId="50" fillId="0" borderId="0" xfId="45" applyFont="1" applyFill="1" applyBorder="1" applyAlignment="1">
      <alignment vertical="center" wrapText="1"/>
    </xf>
    <xf numFmtId="0" fontId="50" fillId="0" borderId="0" xfId="45" applyFont="1" applyFill="1" applyAlignment="1"/>
    <xf numFmtId="0" fontId="35" fillId="0" borderId="0" xfId="45" applyFont="1" applyFill="1" applyBorder="1" applyAlignment="1">
      <alignment vertical="center"/>
    </xf>
    <xf numFmtId="0" fontId="35" fillId="0" borderId="0" xfId="45" applyFont="1" applyFill="1" applyAlignment="1"/>
    <xf numFmtId="0" fontId="50" fillId="0" borderId="0" xfId="45" applyFont="1" applyFill="1" applyBorder="1" applyAlignment="1">
      <alignment vertical="center"/>
    </xf>
    <xf numFmtId="0" fontId="47" fillId="0" borderId="0" xfId="45" applyFont="1" applyFill="1" applyBorder="1" applyAlignment="1"/>
    <xf numFmtId="0" fontId="50" fillId="0" borderId="0" xfId="52" applyFont="1" applyFill="1"/>
    <xf numFmtId="0" fontId="47" fillId="0" borderId="0" xfId="52" applyFont="1" applyFill="1" applyBorder="1" applyAlignment="1">
      <alignment horizontal="center" vertical="center" wrapText="1"/>
    </xf>
    <xf numFmtId="0" fontId="47" fillId="0" borderId="0" xfId="52" applyFont="1" applyFill="1" applyBorder="1" applyAlignment="1">
      <alignment vertical="center" wrapText="1"/>
    </xf>
    <xf numFmtId="0" fontId="50" fillId="0" borderId="0" xfId="52" applyFont="1" applyFill="1" applyBorder="1" applyAlignment="1">
      <alignment vertical="center" wrapText="1"/>
    </xf>
    <xf numFmtId="0" fontId="35" fillId="0" borderId="0" xfId="52" applyFont="1" applyFill="1" applyBorder="1" applyAlignment="1">
      <alignment vertical="center"/>
    </xf>
    <xf numFmtId="0" fontId="50" fillId="0" borderId="0" xfId="52" applyFont="1" applyFill="1" applyBorder="1" applyAlignment="1">
      <alignment vertical="center"/>
    </xf>
    <xf numFmtId="0" fontId="47" fillId="0" borderId="0" xfId="54" applyFont="1" applyFill="1"/>
    <xf numFmtId="0" fontId="37" fillId="0" borderId="0" xfId="1" applyNumberFormat="1" applyFont="1" applyBorder="1" applyAlignment="1">
      <alignment horizontal="center" vertical="center" wrapText="1"/>
    </xf>
    <xf numFmtId="0" fontId="37" fillId="0" borderId="1" xfId="1" applyNumberFormat="1" applyFont="1" applyBorder="1" applyAlignment="1">
      <alignment horizontal="center" vertical="center" wrapText="1"/>
    </xf>
    <xf numFmtId="0" fontId="37" fillId="0" borderId="5" xfId="1" applyNumberFormat="1" applyFont="1" applyBorder="1" applyAlignment="1">
      <alignment horizontal="center" vertical="center" wrapText="1"/>
    </xf>
    <xf numFmtId="0" fontId="37" fillId="0" borderId="15" xfId="1" applyNumberFormat="1" applyFont="1" applyBorder="1" applyAlignment="1">
      <alignment horizontal="center" vertical="center" wrapText="1"/>
    </xf>
    <xf numFmtId="0" fontId="37" fillId="0" borderId="16" xfId="1" applyNumberFormat="1" applyFont="1" applyBorder="1" applyAlignment="1">
      <alignment horizontal="center" vertical="center" wrapText="1"/>
    </xf>
    <xf numFmtId="0" fontId="37" fillId="0" borderId="2" xfId="1" applyNumberFormat="1" applyFont="1" applyBorder="1" applyAlignment="1">
      <alignment horizontal="center" vertical="center" wrapText="1"/>
    </xf>
    <xf numFmtId="0" fontId="37" fillId="0" borderId="1" xfId="1" applyNumberFormat="1" applyFont="1" applyBorder="1" applyAlignment="1">
      <alignment horizontal="center" vertical="center" textRotation="90" wrapText="1"/>
    </xf>
    <xf numFmtId="0" fontId="55" fillId="0" borderId="0" xfId="1" applyFont="1"/>
    <xf numFmtId="0" fontId="55" fillId="0" borderId="0" xfId="0" applyFont="1"/>
    <xf numFmtId="0" fontId="57" fillId="0" borderId="0" xfId="45" applyFont="1" applyFill="1" applyAlignment="1"/>
    <xf numFmtId="0" fontId="55" fillId="0" borderId="0" xfId="0" applyFont="1" applyFill="1" applyAlignment="1"/>
    <xf numFmtId="0" fontId="55" fillId="0" borderId="0" xfId="45" applyFont="1" applyFill="1" applyAlignment="1"/>
    <xf numFmtId="0" fontId="57" fillId="0" borderId="0" xfId="0" applyFont="1" applyFill="1" applyAlignment="1"/>
    <xf numFmtId="0" fontId="55" fillId="0" borderId="0" xfId="45" applyFont="1" applyFill="1" applyBorder="1" applyAlignment="1">
      <alignment vertical="center"/>
    </xf>
    <xf numFmtId="0" fontId="55" fillId="0" borderId="0" xfId="45" applyFont="1" applyFill="1" applyBorder="1" applyAlignment="1">
      <alignment vertical="center" wrapText="1"/>
    </xf>
    <xf numFmtId="0" fontId="57" fillId="0" borderId="0" xfId="45" applyFont="1" applyFill="1" applyBorder="1" applyAlignment="1">
      <alignment vertical="center" wrapText="1"/>
    </xf>
    <xf numFmtId="0" fontId="35" fillId="0" borderId="0" xfId="52" applyFont="1" applyFill="1" applyAlignment="1">
      <alignment horizontal="center"/>
    </xf>
    <xf numFmtId="0" fontId="35" fillId="0" borderId="0" xfId="52" applyFont="1" applyFill="1"/>
    <xf numFmtId="3" fontId="35" fillId="0" borderId="0" xfId="52" applyNumberFormat="1" applyFont="1" applyFill="1"/>
    <xf numFmtId="0" fontId="35" fillId="0" borderId="0" xfId="52" applyFont="1" applyFill="1" applyAlignment="1">
      <alignment horizontal="right"/>
    </xf>
    <xf numFmtId="0" fontId="35" fillId="0" borderId="0" xfId="52" applyFont="1" applyFill="1" applyAlignment="1">
      <alignment horizontal="centerContinuous"/>
    </xf>
    <xf numFmtId="3" fontId="35" fillId="0" borderId="0" xfId="52" applyNumberFormat="1" applyFont="1" applyFill="1" applyAlignment="1">
      <alignment horizontal="centerContinuous"/>
    </xf>
    <xf numFmtId="0" fontId="35" fillId="0" borderId="0" xfId="52" applyFont="1" applyFill="1" applyAlignment="1">
      <alignment horizontal="center" wrapText="1"/>
    </xf>
    <xf numFmtId="0" fontId="47" fillId="0" borderId="0" xfId="52" applyFont="1" applyFill="1" applyAlignment="1">
      <alignment wrapText="1"/>
    </xf>
    <xf numFmtId="0" fontId="35" fillId="0" borderId="0" xfId="52" applyFont="1" applyFill="1" applyBorder="1" applyAlignment="1">
      <alignment horizontal="center" wrapText="1"/>
    </xf>
    <xf numFmtId="0" fontId="47" fillId="0" borderId="0" xfId="52" applyFont="1" applyFill="1" applyBorder="1" applyAlignment="1">
      <alignment wrapText="1"/>
    </xf>
    <xf numFmtId="3" fontId="47" fillId="0" borderId="0" xfId="52" applyNumberFormat="1" applyFont="1" applyFill="1" applyBorder="1" applyAlignment="1">
      <alignment wrapText="1"/>
    </xf>
    <xf numFmtId="0" fontId="35" fillId="0" borderId="0" xfId="52" applyFont="1" applyFill="1" applyAlignment="1"/>
    <xf numFmtId="0" fontId="35" fillId="0" borderId="0" xfId="45" applyNumberFormat="1" applyFont="1" applyFill="1" applyBorder="1" applyAlignment="1"/>
    <xf numFmtId="0" fontId="50" fillId="0" borderId="0" xfId="52" applyFont="1" applyFill="1" applyAlignment="1"/>
    <xf numFmtId="0" fontId="47" fillId="0" borderId="0" xfId="52" applyFont="1" applyFill="1" applyAlignment="1"/>
    <xf numFmtId="0" fontId="47" fillId="0" borderId="0" xfId="45" applyNumberFormat="1" applyFont="1" applyFill="1" applyBorder="1" applyAlignment="1"/>
    <xf numFmtId="0" fontId="47" fillId="0" borderId="0" xfId="52" applyFont="1" applyFill="1"/>
    <xf numFmtId="0" fontId="47" fillId="0" borderId="0" xfId="52" applyFont="1" applyFill="1" applyBorder="1" applyAlignment="1">
      <alignment horizontal="justify" vertical="center" wrapText="1"/>
    </xf>
    <xf numFmtId="0" fontId="47" fillId="0" borderId="0" xfId="0" applyFont="1" applyFill="1" applyAlignment="1"/>
    <xf numFmtId="0" fontId="50" fillId="0" borderId="0" xfId="0" applyFont="1" applyFill="1" applyAlignment="1"/>
    <xf numFmtId="0" fontId="47" fillId="0" borderId="0" xfId="52" applyFont="1" applyFill="1" applyProtection="1">
      <protection locked="0"/>
    </xf>
    <xf numFmtId="0" fontId="47" fillId="0" borderId="0" xfId="52" applyFont="1" applyFill="1" applyAlignment="1" applyProtection="1">
      <alignment wrapText="1"/>
      <protection locked="0"/>
    </xf>
    <xf numFmtId="0" fontId="35" fillId="0" borderId="0" xfId="52" applyFont="1" applyFill="1" applyProtection="1">
      <protection locked="0"/>
    </xf>
    <xf numFmtId="0" fontId="35" fillId="0" borderId="0" xfId="52" applyFont="1" applyFill="1" applyAlignment="1" applyProtection="1">
      <alignment horizontal="right"/>
      <protection locked="0"/>
    </xf>
    <xf numFmtId="0" fontId="47" fillId="0" borderId="0" xfId="52" applyFont="1" applyFill="1" applyAlignment="1" applyProtection="1">
      <protection locked="0"/>
    </xf>
    <xf numFmtId="0" fontId="47" fillId="0" borderId="16" xfId="52" applyFont="1" applyFill="1" applyBorder="1" applyAlignment="1" applyProtection="1">
      <protection locked="0"/>
    </xf>
    <xf numFmtId="0" fontId="47" fillId="0" borderId="34" xfId="52" applyFont="1" applyFill="1" applyBorder="1" applyAlignment="1" applyProtection="1">
      <alignment wrapText="1"/>
      <protection locked="0"/>
    </xf>
    <xf numFmtId="0" fontId="47" fillId="0" borderId="15" xfId="52" applyFont="1" applyFill="1" applyBorder="1" applyAlignment="1" applyProtection="1">
      <alignment horizontal="right"/>
      <protection locked="0"/>
    </xf>
    <xf numFmtId="0" fontId="47" fillId="0" borderId="1" xfId="52" applyFont="1" applyFill="1" applyBorder="1" applyAlignment="1" applyProtection="1">
      <alignment horizontal="centerContinuous" vertical="center" wrapText="1"/>
      <protection locked="0"/>
    </xf>
    <xf numFmtId="3" fontId="58" fillId="0" borderId="1" xfId="52" applyNumberFormat="1" applyFont="1" applyFill="1" applyBorder="1" applyAlignment="1" applyProtection="1">
      <alignment vertical="center" wrapText="1"/>
      <protection locked="0"/>
    </xf>
    <xf numFmtId="3" fontId="35" fillId="0" borderId="1" xfId="52" applyNumberFormat="1" applyFont="1" applyFill="1" applyBorder="1" applyAlignment="1" applyProtection="1">
      <alignment wrapText="1"/>
      <protection locked="0"/>
    </xf>
    <xf numFmtId="3" fontId="35" fillId="0" borderId="1" xfId="52" applyNumberFormat="1" applyFont="1" applyFill="1" applyBorder="1" applyAlignment="1" applyProtection="1"/>
    <xf numFmtId="0" fontId="47" fillId="0" borderId="1" xfId="52" applyFont="1" applyFill="1" applyBorder="1" applyAlignment="1" applyProtection="1">
      <alignment wrapText="1"/>
      <protection locked="0"/>
    </xf>
    <xf numFmtId="3" fontId="59" fillId="0" borderId="1" xfId="52" applyNumberFormat="1" applyFont="1" applyFill="1" applyBorder="1" applyAlignment="1" applyProtection="1">
      <alignment wrapText="1"/>
      <protection locked="0"/>
    </xf>
    <xf numFmtId="0" fontId="47" fillId="0" borderId="0" xfId="1" applyFont="1" applyFill="1"/>
    <xf numFmtId="0" fontId="35" fillId="0" borderId="0" xfId="1" applyFont="1" applyFill="1"/>
    <xf numFmtId="0" fontId="47" fillId="0" borderId="0" xfId="1" applyFont="1" applyFill="1" applyAlignment="1">
      <alignment horizontal="center"/>
    </xf>
    <xf numFmtId="0" fontId="35" fillId="0" borderId="0" xfId="1" applyFont="1" applyFill="1" applyAlignment="1">
      <alignment horizontal="center"/>
    </xf>
    <xf numFmtId="0" fontId="47" fillId="0" borderId="0" xfId="1" applyFont="1" applyFill="1" applyAlignment="1">
      <alignment horizontal="left"/>
    </xf>
    <xf numFmtId="0" fontId="47" fillId="0" borderId="0" xfId="1" applyFont="1"/>
    <xf numFmtId="0" fontId="61" fillId="0" borderId="0" xfId="1" applyFont="1" applyFill="1"/>
    <xf numFmtId="0" fontId="35" fillId="0" borderId="0" xfId="1" applyFont="1" applyAlignment="1"/>
    <xf numFmtId="0" fontId="50" fillId="0" borderId="0" xfId="1" applyFont="1" applyAlignment="1"/>
    <xf numFmtId="0" fontId="47" fillId="0" borderId="0" xfId="1" applyFont="1" applyAlignment="1"/>
    <xf numFmtId="0" fontId="47" fillId="24" borderId="0" xfId="1" applyFont="1" applyFill="1"/>
    <xf numFmtId="0" fontId="50" fillId="0" borderId="0" xfId="1" applyFont="1"/>
    <xf numFmtId="0" fontId="50" fillId="24" borderId="0" xfId="1" applyFont="1" applyFill="1"/>
    <xf numFmtId="0" fontId="47" fillId="0" borderId="0" xfId="1" applyFont="1" applyBorder="1" applyAlignment="1">
      <alignment horizontal="center" vertical="center" wrapText="1"/>
    </xf>
    <xf numFmtId="0" fontId="47" fillId="0" borderId="0" xfId="1" applyFont="1" applyBorder="1" applyAlignment="1">
      <alignment horizontal="justify" vertical="center" wrapText="1"/>
    </xf>
    <xf numFmtId="0" fontId="47" fillId="24" borderId="0" xfId="1" applyFont="1" applyFill="1" applyBorder="1" applyAlignment="1">
      <alignment horizontal="justify" vertical="center" wrapText="1"/>
    </xf>
    <xf numFmtId="0" fontId="47" fillId="0" borderId="0" xfId="1" applyFont="1" applyBorder="1" applyAlignment="1">
      <alignment vertical="center" wrapText="1"/>
    </xf>
    <xf numFmtId="0" fontId="47" fillId="24" borderId="0" xfId="1" applyFont="1" applyFill="1" applyBorder="1" applyAlignment="1">
      <alignment vertical="center" wrapText="1"/>
    </xf>
    <xf numFmtId="0" fontId="50" fillId="0" borderId="0" xfId="1" applyFont="1" applyBorder="1" applyAlignment="1">
      <alignment vertical="center" wrapText="1"/>
    </xf>
    <xf numFmtId="0" fontId="50" fillId="24" borderId="0" xfId="1" applyFont="1" applyFill="1" applyBorder="1" applyAlignment="1">
      <alignment vertical="center" wrapText="1"/>
    </xf>
    <xf numFmtId="0" fontId="35" fillId="0" borderId="0" xfId="1" applyFont="1" applyBorder="1" applyAlignment="1">
      <alignment vertical="center"/>
    </xf>
    <xf numFmtId="0" fontId="35" fillId="24" borderId="0" xfId="1" applyFont="1" applyFill="1" applyBorder="1" applyAlignment="1">
      <alignment vertical="center"/>
    </xf>
    <xf numFmtId="0" fontId="50" fillId="0" borderId="0" xfId="1" applyFont="1" applyBorder="1" applyAlignment="1">
      <alignment vertical="center"/>
    </xf>
    <xf numFmtId="0" fontId="50" fillId="24" borderId="0" xfId="1" applyFont="1" applyFill="1" applyBorder="1" applyAlignment="1">
      <alignment vertical="center"/>
    </xf>
    <xf numFmtId="0" fontId="47" fillId="0" borderId="0" xfId="1" applyFont="1" applyFill="1" applyAlignment="1"/>
    <xf numFmtId="0" fontId="35" fillId="24" borderId="0" xfId="1" applyFont="1" applyFill="1" applyAlignment="1"/>
    <xf numFmtId="0" fontId="35" fillId="0" borderId="0" xfId="1" applyFont="1" applyFill="1" applyAlignment="1"/>
    <xf numFmtId="0" fontId="47" fillId="0" borderId="0" xfId="45" applyFont="1" applyFill="1" applyBorder="1" applyAlignment="1">
      <alignment vertical="center"/>
    </xf>
    <xf numFmtId="0" fontId="35" fillId="0" borderId="0" xfId="1" applyFont="1" applyFill="1" applyAlignment="1">
      <alignment horizontal="right"/>
    </xf>
    <xf numFmtId="0" fontId="48" fillId="0" borderId="0" xfId="1" applyFont="1" applyFill="1"/>
    <xf numFmtId="0" fontId="47" fillId="0" borderId="0" xfId="63" applyFont="1"/>
    <xf numFmtId="0" fontId="59" fillId="0" borderId="0" xfId="0" applyFont="1"/>
    <xf numFmtId="0" fontId="58" fillId="0" borderId="0" xfId="0" applyFont="1" applyAlignment="1">
      <alignment horizontal="right"/>
    </xf>
    <xf numFmtId="0" fontId="47" fillId="0" borderId="1" xfId="52" applyFont="1" applyFill="1" applyBorder="1" applyAlignment="1">
      <alignment wrapText="1"/>
    </xf>
    <xf numFmtId="0" fontId="47" fillId="0" borderId="0" xfId="0" applyFont="1"/>
    <xf numFmtId="4" fontId="47" fillId="0" borderId="0" xfId="45" applyNumberFormat="1" applyFont="1" applyFill="1"/>
    <xf numFmtId="0" fontId="35" fillId="0" borderId="0" xfId="53" applyFont="1" applyFill="1" applyBorder="1"/>
    <xf numFmtId="0" fontId="35" fillId="0" borderId="0" xfId="53" applyFont="1" applyFill="1"/>
    <xf numFmtId="0" fontId="50" fillId="0" borderId="0" xfId="53" applyFont="1" applyFill="1"/>
    <xf numFmtId="4" fontId="35" fillId="0" borderId="0" xfId="45" applyNumberFormat="1" applyFont="1" applyFill="1" applyAlignment="1">
      <alignment horizontal="centerContinuous"/>
    </xf>
    <xf numFmtId="0" fontId="35" fillId="0" borderId="0" xfId="45" applyFont="1" applyFill="1"/>
    <xf numFmtId="0" fontId="35" fillId="0" borderId="0" xfId="45" applyFont="1" applyFill="1" applyAlignment="1">
      <alignment horizontal="centerContinuous"/>
    </xf>
    <xf numFmtId="0" fontId="47" fillId="0" borderId="0" xfId="45" applyFont="1" applyFill="1" applyAlignment="1">
      <alignment horizontal="centerContinuous"/>
    </xf>
    <xf numFmtId="4" fontId="47" fillId="0" borderId="0" xfId="45" applyNumberFormat="1" applyFont="1" applyFill="1" applyAlignment="1">
      <alignment horizontal="centerContinuous"/>
    </xf>
    <xf numFmtId="0" fontId="35" fillId="0" borderId="0" xfId="45" applyFont="1" applyFill="1" applyBorder="1" applyAlignment="1">
      <alignment wrapText="1"/>
    </xf>
    <xf numFmtId="4" fontId="35" fillId="0" borderId="0" xfId="45" applyNumberFormat="1" applyFont="1" applyFill="1" applyBorder="1" applyAlignment="1">
      <alignment wrapText="1"/>
    </xf>
    <xf numFmtId="4" fontId="35" fillId="0" borderId="0" xfId="45" applyNumberFormat="1" applyFont="1" applyFill="1" applyAlignment="1">
      <alignment horizontal="right"/>
    </xf>
    <xf numFmtId="0" fontId="35" fillId="0" borderId="0" xfId="1" applyFont="1" applyAlignment="1">
      <alignment horizontal="centerContinuous"/>
    </xf>
    <xf numFmtId="0" fontId="47" fillId="0" borderId="0" xfId="1" applyFont="1" applyAlignment="1">
      <alignment horizontal="centerContinuous"/>
    </xf>
    <xf numFmtId="0" fontId="47" fillId="0" borderId="0" xfId="1" applyFont="1" applyFill="1" applyAlignment="1">
      <alignment horizontal="centerContinuous"/>
    </xf>
    <xf numFmtId="0" fontId="47" fillId="0" borderId="0" xfId="1" applyFont="1" applyAlignment="1">
      <alignment horizontal="right"/>
    </xf>
    <xf numFmtId="0" fontId="55" fillId="0" borderId="0" xfId="45" applyFont="1" applyFill="1" applyBorder="1" applyAlignment="1"/>
    <xf numFmtId="0" fontId="56" fillId="0" borderId="0" xfId="45" applyNumberFormat="1" applyFont="1" applyFill="1" applyBorder="1" applyAlignment="1"/>
    <xf numFmtId="0" fontId="55" fillId="0" borderId="0" xfId="45" applyNumberFormat="1" applyFont="1" applyFill="1" applyBorder="1" applyAlignment="1"/>
    <xf numFmtId="0" fontId="55" fillId="0" borderId="0" xfId="45" applyFont="1" applyFill="1"/>
    <xf numFmtId="0" fontId="35" fillId="0" borderId="0" xfId="53" applyFont="1" applyFill="1" applyAlignment="1">
      <alignment horizontal="right"/>
    </xf>
    <xf numFmtId="0" fontId="35" fillId="0" borderId="22" xfId="1" applyFont="1" applyFill="1" applyBorder="1" applyAlignment="1">
      <alignment horizontal="center" wrapText="1"/>
    </xf>
    <xf numFmtId="0" fontId="35" fillId="0" borderId="0" xfId="1" applyFont="1" applyFill="1" applyBorder="1" applyAlignment="1">
      <alignment horizontal="center" wrapText="1"/>
    </xf>
    <xf numFmtId="0" fontId="35" fillId="0" borderId="24" xfId="1" applyFont="1" applyFill="1" applyBorder="1" applyAlignment="1">
      <alignment wrapText="1"/>
    </xf>
    <xf numFmtId="0" fontId="35" fillId="0" borderId="26" xfId="1" applyFont="1" applyFill="1" applyBorder="1" applyAlignment="1">
      <alignment wrapText="1"/>
    </xf>
    <xf numFmtId="0" fontId="35" fillId="0" borderId="17" xfId="1" applyFont="1" applyFill="1" applyBorder="1" applyAlignment="1">
      <alignment wrapText="1"/>
    </xf>
    <xf numFmtId="0" fontId="35" fillId="0" borderId="18" xfId="1" applyFont="1" applyFill="1" applyBorder="1" applyAlignment="1">
      <alignment horizontal="left" wrapText="1"/>
    </xf>
    <xf numFmtId="0" fontId="35" fillId="0" borderId="0" xfId="1" applyFont="1" applyBorder="1" applyAlignment="1">
      <alignment horizontal="left" wrapText="1"/>
    </xf>
    <xf numFmtId="3" fontId="35" fillId="0" borderId="0" xfId="1" applyNumberFormat="1" applyFont="1" applyBorder="1" applyAlignment="1">
      <alignment horizontal="right"/>
    </xf>
    <xf numFmtId="0" fontId="35" fillId="0" borderId="0" xfId="45" applyFont="1" applyAlignment="1"/>
    <xf numFmtId="0" fontId="50" fillId="0" borderId="0" xfId="1" applyFont="1" applyFill="1" applyAlignment="1"/>
    <xf numFmtId="3" fontId="47" fillId="0" borderId="0" xfId="1" applyNumberFormat="1" applyFont="1" applyBorder="1" applyAlignment="1">
      <alignment horizontal="right"/>
    </xf>
    <xf numFmtId="0" fontId="50" fillId="0" borderId="0" xfId="1" applyFont="1" applyBorder="1"/>
    <xf numFmtId="0" fontId="67" fillId="0" borderId="0" xfId="1" applyFont="1" applyAlignment="1"/>
    <xf numFmtId="0" fontId="47" fillId="0" borderId="0" xfId="0" applyFont="1" applyAlignment="1"/>
    <xf numFmtId="0" fontId="50" fillId="0" borderId="0" xfId="0" applyFont="1" applyAlignment="1"/>
    <xf numFmtId="0" fontId="61" fillId="0" borderId="0" xfId="1" applyFont="1" applyAlignment="1"/>
    <xf numFmtId="0" fontId="35" fillId="0" borderId="20" xfId="1" applyFont="1" applyFill="1" applyBorder="1" applyAlignment="1">
      <alignment horizontal="center"/>
    </xf>
    <xf numFmtId="0" fontId="35" fillId="0" borderId="23" xfId="1" applyFont="1" applyFill="1" applyBorder="1" applyAlignment="1">
      <alignment horizontal="center"/>
    </xf>
    <xf numFmtId="0" fontId="35" fillId="0" borderId="0" xfId="62" applyFont="1" applyAlignment="1">
      <alignment horizontal="right"/>
    </xf>
    <xf numFmtId="0" fontId="35" fillId="0" borderId="0" xfId="1" applyFont="1"/>
    <xf numFmtId="0" fontId="47" fillId="0" borderId="0" xfId="1" applyFont="1" applyAlignment="1">
      <alignment horizontal="center"/>
    </xf>
    <xf numFmtId="0" fontId="35" fillId="0" borderId="0" xfId="1" applyFont="1" applyFill="1" applyBorder="1" applyAlignment="1"/>
    <xf numFmtId="0" fontId="50" fillId="0" borderId="0" xfId="53" applyFont="1" applyFill="1" applyAlignment="1"/>
    <xf numFmtId="0" fontId="47" fillId="0" borderId="0" xfId="62" applyFont="1"/>
    <xf numFmtId="0" fontId="35" fillId="0" borderId="0" xfId="63" applyFont="1" applyFill="1" applyAlignment="1"/>
    <xf numFmtId="0" fontId="50" fillId="0" borderId="0" xfId="63" applyFont="1" applyFill="1" applyAlignment="1"/>
    <xf numFmtId="0" fontId="47" fillId="0" borderId="0" xfId="63" applyFont="1" applyFill="1" applyAlignment="1"/>
    <xf numFmtId="0" fontId="50" fillId="0" borderId="0" xfId="63" applyFont="1"/>
    <xf numFmtId="0" fontId="47" fillId="0" borderId="0" xfId="63" applyFont="1" applyFill="1" applyBorder="1" applyAlignment="1">
      <alignment horizontal="center" vertical="center" wrapText="1"/>
    </xf>
    <xf numFmtId="0" fontId="47" fillId="0" borderId="0" xfId="63" applyFont="1" applyFill="1" applyBorder="1" applyAlignment="1">
      <alignment vertical="center" wrapText="1"/>
    </xf>
    <xf numFmtId="0" fontId="47" fillId="0" borderId="0" xfId="63" applyFont="1" applyBorder="1" applyAlignment="1">
      <alignment vertical="center" wrapText="1"/>
    </xf>
    <xf numFmtId="0" fontId="50" fillId="0" borderId="0" xfId="63" applyFont="1" applyFill="1" applyBorder="1" applyAlignment="1">
      <alignment vertical="center" wrapText="1"/>
    </xf>
    <xf numFmtId="0" fontId="50" fillId="0" borderId="0" xfId="63" applyFont="1" applyBorder="1" applyAlignment="1">
      <alignment vertical="center" wrapText="1"/>
    </xf>
    <xf numFmtId="0" fontId="35" fillId="0" borderId="0" xfId="63" applyFont="1" applyFill="1" applyBorder="1" applyAlignment="1">
      <alignment vertical="center"/>
    </xf>
    <xf numFmtId="0" fontId="50" fillId="0" borderId="0" xfId="63" applyFont="1" applyFill="1" applyBorder="1" applyAlignment="1">
      <alignment vertical="center"/>
    </xf>
    <xf numFmtId="0" fontId="58" fillId="0" borderId="0" xfId="0" applyFont="1" applyAlignment="1">
      <alignment horizontal="centerContinuous" vertical="center"/>
    </xf>
    <xf numFmtId="0" fontId="59" fillId="0" borderId="0" xfId="0" applyFont="1" applyAlignment="1">
      <alignment horizontal="centerContinuous"/>
    </xf>
    <xf numFmtId="0" fontId="58" fillId="0" borderId="0" xfId="0" applyFont="1" applyAlignment="1">
      <alignment horizontal="center" vertical="center"/>
    </xf>
    <xf numFmtId="0" fontId="35" fillId="0" borderId="1" xfId="52" applyFont="1" applyFill="1" applyBorder="1" applyAlignment="1" applyProtection="1">
      <alignment horizontal="center" vertical="center" wrapText="1"/>
      <protection locked="0"/>
    </xf>
    <xf numFmtId="0" fontId="56" fillId="0" borderId="0" xfId="52" applyFont="1" applyFill="1" applyAlignment="1"/>
    <xf numFmtId="0" fontId="57" fillId="0" borderId="0" xfId="52" applyFont="1" applyFill="1" applyAlignment="1"/>
    <xf numFmtId="0" fontId="55" fillId="0" borderId="0" xfId="52" applyFont="1" applyFill="1" applyAlignment="1"/>
    <xf numFmtId="0" fontId="35" fillId="24" borderId="17" xfId="0" applyFont="1" applyFill="1" applyBorder="1" applyAlignment="1">
      <alignment horizontal="center" vertical="center"/>
    </xf>
    <xf numFmtId="0" fontId="35" fillId="24" borderId="35" xfId="0" applyFont="1" applyFill="1" applyBorder="1" applyAlignment="1">
      <alignment horizontal="center"/>
    </xf>
    <xf numFmtId="0" fontId="35" fillId="24" borderId="36" xfId="0" applyFont="1" applyFill="1" applyBorder="1" applyAlignment="1">
      <alignment horizontal="center"/>
    </xf>
    <xf numFmtId="0" fontId="47" fillId="24" borderId="37" xfId="0" applyFont="1" applyFill="1" applyBorder="1" applyAlignment="1">
      <alignment horizontal="center" vertical="center"/>
    </xf>
    <xf numFmtId="0" fontId="47" fillId="24" borderId="33" xfId="0" applyFont="1" applyFill="1" applyBorder="1" applyAlignment="1">
      <alignment horizontal="center"/>
    </xf>
    <xf numFmtId="0" fontId="50" fillId="24" borderId="38" xfId="0" applyFont="1" applyFill="1" applyBorder="1" applyAlignment="1">
      <alignment horizontal="center"/>
    </xf>
    <xf numFmtId="0" fontId="47" fillId="27" borderId="39" xfId="0" applyFont="1" applyFill="1" applyBorder="1" applyAlignment="1">
      <alignment horizontal="center" vertical="center"/>
    </xf>
    <xf numFmtId="0" fontId="47" fillId="27" borderId="5" xfId="0" applyFont="1" applyFill="1" applyBorder="1" applyAlignment="1">
      <alignment horizontal="left" vertical="center"/>
    </xf>
    <xf numFmtId="0" fontId="47" fillId="27" borderId="41" xfId="0" applyFont="1" applyFill="1" applyBorder="1" applyAlignment="1">
      <alignment horizontal="center" vertical="center"/>
    </xf>
    <xf numFmtId="0" fontId="66" fillId="27" borderId="1" xfId="0" applyFont="1" applyFill="1" applyBorder="1" applyAlignment="1">
      <alignment horizontal="left" vertical="center"/>
    </xf>
    <xf numFmtId="164" fontId="66" fillId="27" borderId="3" xfId="0" applyNumberFormat="1" applyFont="1" applyFill="1" applyBorder="1" applyAlignment="1">
      <alignment horizontal="center" vertical="center"/>
    </xf>
    <xf numFmtId="0" fontId="47" fillId="27" borderId="42" xfId="0" applyFont="1" applyFill="1" applyBorder="1" applyAlignment="1">
      <alignment horizontal="center" vertical="center"/>
    </xf>
    <xf numFmtId="0" fontId="66" fillId="27" borderId="2" xfId="0" applyFont="1" applyFill="1" applyBorder="1" applyAlignment="1">
      <alignment horizontal="left" vertical="center"/>
    </xf>
    <xf numFmtId="164" fontId="66" fillId="27" borderId="43" xfId="0" applyNumberFormat="1" applyFont="1" applyFill="1" applyBorder="1" applyAlignment="1">
      <alignment horizontal="center" vertical="center"/>
    </xf>
    <xf numFmtId="0" fontId="47" fillId="27" borderId="18" xfId="0" applyFont="1" applyFill="1" applyBorder="1" applyAlignment="1">
      <alignment horizontal="center" vertical="center"/>
    </xf>
    <xf numFmtId="0" fontId="74" fillId="27" borderId="29" xfId="0" applyFont="1" applyFill="1" applyBorder="1" applyAlignment="1">
      <alignment horizontal="center" vertical="center"/>
    </xf>
    <xf numFmtId="164" fontId="74" fillId="27" borderId="25" xfId="0" applyNumberFormat="1" applyFont="1" applyFill="1" applyBorder="1" applyAlignment="1">
      <alignment horizontal="center" vertical="center"/>
    </xf>
    <xf numFmtId="164" fontId="47" fillId="27" borderId="40" xfId="0" applyNumberFormat="1" applyFont="1" applyFill="1" applyBorder="1" applyAlignment="1">
      <alignment horizontal="center" vertical="center"/>
    </xf>
    <xf numFmtId="0" fontId="59" fillId="0" borderId="0" xfId="73" applyFont="1"/>
    <xf numFmtId="0" fontId="50" fillId="0" borderId="0" xfId="73" applyFont="1" applyFill="1" applyAlignment="1"/>
    <xf numFmtId="0" fontId="47" fillId="0" borderId="0" xfId="73" applyFont="1" applyFill="1" applyAlignment="1"/>
    <xf numFmtId="3" fontId="58" fillId="0" borderId="0" xfId="73" applyNumberFormat="1" applyFont="1" applyAlignment="1">
      <alignment horizontal="centerContinuous"/>
    </xf>
    <xf numFmtId="0" fontId="58" fillId="0" borderId="0" xfId="73" applyFont="1" applyAlignment="1">
      <alignment horizontal="centerContinuous"/>
    </xf>
    <xf numFmtId="3" fontId="59" fillId="0" borderId="0" xfId="73" applyNumberFormat="1" applyFont="1"/>
    <xf numFmtId="3" fontId="58" fillId="0" borderId="0" xfId="73" applyNumberFormat="1" applyFont="1" applyAlignment="1"/>
    <xf numFmtId="0" fontId="58" fillId="0" borderId="0" xfId="73" applyFont="1" applyAlignment="1">
      <alignment horizontal="centerContinuous" wrapText="1"/>
    </xf>
    <xf numFmtId="3" fontId="58" fillId="0" borderId="0" xfId="73" applyNumberFormat="1" applyFont="1" applyAlignment="1">
      <alignment horizontal="right"/>
    </xf>
    <xf numFmtId="0" fontId="55" fillId="0" borderId="0" xfId="117" applyFont="1" applyFill="1"/>
    <xf numFmtId="3" fontId="47" fillId="0" borderId="0" xfId="52" applyNumberFormat="1" applyFont="1" applyFill="1" applyAlignment="1">
      <alignment wrapText="1"/>
    </xf>
    <xf numFmtId="0" fontId="47" fillId="0" borderId="0" xfId="53" applyFont="1" applyFill="1" applyAlignment="1">
      <alignment wrapText="1"/>
    </xf>
    <xf numFmtId="0" fontId="47" fillId="0" borderId="0" xfId="53" applyFont="1" applyFill="1"/>
    <xf numFmtId="0" fontId="35" fillId="0" borderId="0" xfId="53" applyFont="1" applyFill="1" applyAlignment="1">
      <alignment horizontal="centerContinuous"/>
    </xf>
    <xf numFmtId="0" fontId="35" fillId="0" borderId="0" xfId="53" applyNumberFormat="1" applyFont="1" applyFill="1" applyAlignment="1">
      <alignment horizontal="centerContinuous"/>
    </xf>
    <xf numFmtId="0" fontId="35" fillId="0" borderId="2" xfId="1" applyFont="1" applyFill="1" applyBorder="1" applyAlignment="1">
      <alignment horizontal="center" vertical="center"/>
    </xf>
    <xf numFmtId="0" fontId="35" fillId="0" borderId="1" xfId="53" applyFont="1" applyFill="1" applyBorder="1" applyAlignment="1">
      <alignment horizontal="center" wrapText="1"/>
    </xf>
    <xf numFmtId="3" fontId="35" fillId="0" borderId="1" xfId="53" applyNumberFormat="1" applyFont="1" applyFill="1" applyBorder="1" applyAlignment="1">
      <alignment horizontal="center" wrapText="1"/>
    </xf>
    <xf numFmtId="0" fontId="47" fillId="0" borderId="0" xfId="53" applyFont="1" applyFill="1" applyBorder="1" applyAlignment="1">
      <alignment wrapText="1"/>
    </xf>
    <xf numFmtId="3" fontId="35" fillId="0" borderId="5" xfId="59" applyNumberFormat="1" applyFont="1" applyFill="1" applyBorder="1" applyAlignment="1">
      <alignment horizontal="center" wrapText="1"/>
    </xf>
    <xf numFmtId="3" fontId="35" fillId="0" borderId="5" xfId="59" applyNumberFormat="1" applyFont="1" applyFill="1" applyBorder="1"/>
    <xf numFmtId="0" fontId="35" fillId="0" borderId="1" xfId="59" applyFont="1" applyFill="1" applyBorder="1" applyAlignment="1">
      <alignment wrapText="1"/>
    </xf>
    <xf numFmtId="3" fontId="35" fillId="0" borderId="1" xfId="59" applyNumberFormat="1" applyFont="1" applyFill="1" applyBorder="1"/>
    <xf numFmtId="0" fontId="47" fillId="0" borderId="0" xfId="53" applyFont="1" applyFill="1" applyBorder="1"/>
    <xf numFmtId="3" fontId="35" fillId="0" borderId="1" xfId="59" applyNumberFormat="1" applyFont="1" applyFill="1" applyBorder="1" applyAlignment="1"/>
    <xf numFmtId="0" fontId="47" fillId="0" borderId="1" xfId="53" applyFont="1" applyFill="1" applyBorder="1" applyAlignment="1">
      <alignment wrapText="1"/>
    </xf>
    <xf numFmtId="3" fontId="47" fillId="0" borderId="1" xfId="59" applyNumberFormat="1" applyFont="1" applyFill="1" applyBorder="1" applyAlignment="1"/>
    <xf numFmtId="0" fontId="35" fillId="0" borderId="1" xfId="53" applyFont="1" applyFill="1" applyBorder="1" applyAlignment="1">
      <alignment wrapText="1"/>
    </xf>
    <xf numFmtId="0" fontId="47" fillId="0" borderId="1" xfId="59" applyFont="1" applyFill="1" applyBorder="1" applyAlignment="1">
      <alignment wrapText="1"/>
    </xf>
    <xf numFmtId="3" fontId="47" fillId="0" borderId="1" xfId="59" applyNumberFormat="1" applyFont="1" applyFill="1" applyBorder="1"/>
    <xf numFmtId="0" fontId="47" fillId="0" borderId="1" xfId="1" applyFont="1" applyFill="1" applyBorder="1" applyAlignment="1">
      <alignment horizontal="left" wrapText="1"/>
    </xf>
    <xf numFmtId="0" fontId="47" fillId="0" borderId="1" xfId="1" applyFont="1" applyFill="1" applyBorder="1" applyAlignment="1">
      <alignment wrapText="1"/>
    </xf>
    <xf numFmtId="0" fontId="35" fillId="0" borderId="1" xfId="1" applyFont="1" applyFill="1" applyBorder="1" applyAlignment="1">
      <alignment wrapText="1"/>
    </xf>
    <xf numFmtId="3" fontId="47" fillId="0" borderId="1" xfId="59" applyNumberFormat="1" applyFont="1" applyFill="1" applyBorder="1" applyAlignment="1">
      <alignment horizontal="right"/>
    </xf>
    <xf numFmtId="0" fontId="47" fillId="0" borderId="1" xfId="56" applyFont="1" applyFill="1" applyBorder="1" applyAlignment="1">
      <alignment vertical="center" wrapText="1"/>
    </xf>
    <xf numFmtId="0" fontId="47" fillId="0" borderId="1" xfId="59" applyFont="1" applyFill="1" applyBorder="1" applyAlignment="1">
      <alignment horizontal="left" wrapText="1"/>
    </xf>
    <xf numFmtId="0" fontId="47" fillId="0" borderId="1" xfId="0" applyFont="1" applyFill="1" applyBorder="1" applyAlignment="1">
      <alignment wrapText="1"/>
    </xf>
    <xf numFmtId="3" fontId="47" fillId="0" borderId="1" xfId="0" applyNumberFormat="1" applyFont="1" applyFill="1" applyBorder="1"/>
    <xf numFmtId="0" fontId="47" fillId="0" borderId="0" xfId="56" applyFont="1" applyFill="1" applyBorder="1" applyAlignment="1">
      <alignment vertical="center" wrapText="1"/>
    </xf>
    <xf numFmtId="0" fontId="47" fillId="0" borderId="0" xfId="60" applyFont="1" applyFill="1" applyAlignment="1"/>
    <xf numFmtId="0" fontId="35" fillId="0" borderId="0" xfId="60" applyFont="1" applyFill="1" applyBorder="1" applyAlignment="1"/>
    <xf numFmtId="0" fontId="47" fillId="0" borderId="0" xfId="53" applyFont="1" applyFill="1" applyAlignment="1"/>
    <xf numFmtId="0" fontId="35" fillId="0" borderId="0" xfId="1" applyFont="1" applyAlignment="1">
      <alignment vertical="center"/>
    </xf>
    <xf numFmtId="0" fontId="47" fillId="0" borderId="0" xfId="1" applyFont="1" applyAlignment="1">
      <alignment horizontal="center" vertical="center"/>
    </xf>
    <xf numFmtId="0" fontId="35" fillId="0" borderId="0" xfId="1" applyFont="1" applyAlignment="1">
      <alignment horizontal="centerContinuous" vertical="center"/>
    </xf>
    <xf numFmtId="0" fontId="47" fillId="0" borderId="0" xfId="1" applyFont="1" applyAlignment="1">
      <alignment horizontal="centerContinuous" vertical="center"/>
    </xf>
    <xf numFmtId="0" fontId="47" fillId="0" borderId="0" xfId="0" applyFont="1" applyAlignment="1">
      <alignment horizontal="right"/>
    </xf>
    <xf numFmtId="0" fontId="47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right"/>
    </xf>
    <xf numFmtId="0" fontId="35" fillId="0" borderId="1" xfId="0" applyFont="1" applyBorder="1" applyAlignment="1">
      <alignment horizontal="center" vertical="center"/>
    </xf>
    <xf numFmtId="0" fontId="47" fillId="0" borderId="1" xfId="64" applyFont="1" applyBorder="1" applyAlignment="1">
      <alignment horizontal="center"/>
    </xf>
    <xf numFmtId="0" fontId="47" fillId="0" borderId="1" xfId="64" applyFont="1" applyBorder="1"/>
    <xf numFmtId="0" fontId="47" fillId="0" borderId="1" xfId="0" applyFont="1" applyBorder="1" applyAlignment="1">
      <alignment horizontal="center"/>
    </xf>
    <xf numFmtId="3" fontId="47" fillId="0" borderId="1" xfId="0" applyNumberFormat="1" applyFont="1" applyBorder="1" applyAlignment="1">
      <alignment horizontal="right"/>
    </xf>
    <xf numFmtId="3" fontId="47" fillId="0" borderId="1" xfId="0" applyNumberFormat="1" applyFont="1" applyBorder="1" applyAlignment="1">
      <alignment horizontal="right" vertical="center"/>
    </xf>
    <xf numFmtId="4" fontId="47" fillId="0" borderId="1" xfId="0" applyNumberFormat="1" applyFont="1" applyBorder="1" applyAlignment="1">
      <alignment horizontal="right"/>
    </xf>
    <xf numFmtId="0" fontId="47" fillId="0" borderId="1" xfId="64" applyFont="1" applyFill="1" applyBorder="1"/>
    <xf numFmtId="0" fontId="47" fillId="24" borderId="1" xfId="64" applyFont="1" applyFill="1" applyBorder="1"/>
    <xf numFmtId="0" fontId="47" fillId="0" borderId="1" xfId="0" applyFont="1" applyFill="1" applyBorder="1" applyAlignment="1">
      <alignment horizontal="center"/>
    </xf>
    <xf numFmtId="0" fontId="47" fillId="0" borderId="15" xfId="64" applyFont="1" applyFill="1" applyBorder="1"/>
    <xf numFmtId="0" fontId="47" fillId="0" borderId="1" xfId="64" applyFont="1" applyBorder="1" applyAlignment="1">
      <alignment horizontal="center" vertical="center" wrapText="1"/>
    </xf>
    <xf numFmtId="0" fontId="47" fillId="0" borderId="1" xfId="64" applyFont="1" applyFill="1" applyBorder="1" applyAlignment="1">
      <alignment horizontal="left" vertical="center" wrapText="1"/>
    </xf>
    <xf numFmtId="4" fontId="47" fillId="0" borderId="1" xfId="0" applyNumberFormat="1" applyFont="1" applyBorder="1" applyAlignment="1">
      <alignment horizontal="right" vertical="distributed"/>
    </xf>
    <xf numFmtId="3" fontId="35" fillId="0" borderId="1" xfId="0" applyNumberFormat="1" applyFont="1" applyBorder="1" applyAlignment="1">
      <alignment horizontal="right"/>
    </xf>
    <xf numFmtId="4" fontId="35" fillId="0" borderId="1" xfId="64" applyNumberFormat="1" applyFont="1" applyBorder="1" applyAlignment="1">
      <alignment horizontal="right"/>
    </xf>
    <xf numFmtId="4" fontId="35" fillId="0" borderId="1" xfId="0" applyNumberFormat="1" applyFont="1" applyBorder="1" applyAlignment="1">
      <alignment horizontal="right"/>
    </xf>
    <xf numFmtId="0" fontId="35" fillId="0" borderId="0" xfId="64" applyFont="1" applyBorder="1"/>
    <xf numFmtId="3" fontId="35" fillId="0" borderId="0" xfId="0" applyNumberFormat="1" applyFont="1" applyBorder="1" applyAlignment="1">
      <alignment horizontal="right"/>
    </xf>
    <xf numFmtId="4" fontId="35" fillId="0" borderId="0" xfId="64" applyNumberFormat="1" applyFont="1" applyBorder="1" applyAlignment="1">
      <alignment horizontal="right"/>
    </xf>
    <xf numFmtId="3" fontId="47" fillId="0" borderId="0" xfId="0" applyNumberFormat="1" applyFont="1" applyBorder="1" applyAlignment="1">
      <alignment horizontal="right" vertical="center"/>
    </xf>
    <xf numFmtId="4" fontId="47" fillId="0" borderId="0" xfId="0" applyNumberFormat="1" applyFont="1" applyBorder="1" applyAlignment="1">
      <alignment horizontal="right"/>
    </xf>
    <xf numFmtId="0" fontId="35" fillId="0" borderId="0" xfId="0" applyFont="1" applyAlignment="1"/>
    <xf numFmtId="0" fontId="47" fillId="0" borderId="0" xfId="45" applyFont="1" applyBorder="1" applyAlignment="1">
      <alignment horizontal="right"/>
    </xf>
    <xf numFmtId="0" fontId="47" fillId="0" borderId="0" xfId="45" applyFont="1" applyBorder="1" applyAlignment="1">
      <alignment horizontal="right" vertical="center"/>
    </xf>
    <xf numFmtId="0" fontId="77" fillId="0" borderId="0" xfId="0" applyFont="1" applyAlignment="1"/>
    <xf numFmtId="0" fontId="35" fillId="0" borderId="0" xfId="0" applyFont="1" applyFill="1" applyBorder="1" applyAlignment="1"/>
    <xf numFmtId="0" fontId="35" fillId="0" borderId="0" xfId="53" applyFont="1" applyFill="1" applyBorder="1" applyAlignment="1">
      <alignment horizontal="right"/>
    </xf>
    <xf numFmtId="0" fontId="35" fillId="0" borderId="0" xfId="53" applyFont="1" applyFill="1" applyBorder="1" applyAlignment="1">
      <alignment horizontal="right" vertical="center"/>
    </xf>
    <xf numFmtId="0" fontId="77" fillId="0" borderId="0" xfId="53" applyFont="1" applyFill="1" applyAlignment="1"/>
    <xf numFmtId="0" fontId="50" fillId="0" borderId="0" xfId="53" applyFont="1" applyFill="1" applyAlignment="1">
      <alignment horizontal="right"/>
    </xf>
    <xf numFmtId="0" fontId="50" fillId="0" borderId="0" xfId="53" applyFont="1" applyFill="1" applyAlignment="1">
      <alignment horizontal="right" vertical="center"/>
    </xf>
    <xf numFmtId="0" fontId="47" fillId="0" borderId="0" xfId="45" applyFont="1" applyFill="1" applyBorder="1" applyAlignment="1">
      <alignment horizontal="right" vertical="center" wrapText="1"/>
    </xf>
    <xf numFmtId="0" fontId="47" fillId="0" borderId="0" xfId="0" applyFont="1" applyBorder="1" applyAlignment="1">
      <alignment horizontal="right" vertical="center" wrapText="1"/>
    </xf>
    <xf numFmtId="0" fontId="35" fillId="0" borderId="0" xfId="62" applyFont="1"/>
    <xf numFmtId="0" fontId="47" fillId="0" borderId="0" xfId="62" applyFont="1" applyAlignment="1">
      <alignment horizontal="right"/>
    </xf>
    <xf numFmtId="0" fontId="47" fillId="0" borderId="0" xfId="62" applyFont="1" applyAlignment="1">
      <alignment horizontal="right" vertical="center"/>
    </xf>
    <xf numFmtId="0" fontId="35" fillId="0" borderId="0" xfId="0" applyFont="1"/>
    <xf numFmtId="0" fontId="77" fillId="0" borderId="0" xfId="0" applyFont="1"/>
    <xf numFmtId="0" fontId="36" fillId="0" borderId="1" xfId="128" applyNumberFormat="1" applyFont="1" applyBorder="1" applyAlignment="1">
      <alignment horizontal="center" vertical="center" wrapText="1"/>
    </xf>
    <xf numFmtId="0" fontId="36" fillId="0" borderId="2" xfId="128" applyNumberFormat="1" applyFont="1" applyBorder="1" applyAlignment="1">
      <alignment horizontal="center" vertical="center" wrapText="1"/>
    </xf>
    <xf numFmtId="0" fontId="38" fillId="0" borderId="27" xfId="128" applyNumberFormat="1" applyFont="1" applyBorder="1" applyAlignment="1">
      <alignment horizontal="center" vertical="center" wrapText="1"/>
    </xf>
    <xf numFmtId="0" fontId="41" fillId="25" borderId="5" xfId="128" applyNumberFormat="1" applyFont="1" applyFill="1" applyBorder="1" applyAlignment="1">
      <alignment horizontal="center" vertical="center" wrapText="1"/>
    </xf>
    <xf numFmtId="0" fontId="41" fillId="0" borderId="5" xfId="128" applyNumberFormat="1" applyFont="1" applyBorder="1" applyAlignment="1">
      <alignment horizontal="center" vertical="center" wrapText="1"/>
    </xf>
    <xf numFmtId="0" fontId="41" fillId="25" borderId="1" xfId="128" applyNumberFormat="1" applyFont="1" applyFill="1" applyBorder="1" applyAlignment="1">
      <alignment horizontal="center" vertical="center" wrapText="1"/>
    </xf>
    <xf numFmtId="0" fontId="41" fillId="0" borderId="1" xfId="128" applyNumberFormat="1" applyFont="1" applyBorder="1" applyAlignment="1">
      <alignment horizontal="center" vertical="center" wrapText="1"/>
    </xf>
    <xf numFmtId="0" fontId="41" fillId="0" borderId="0" xfId="128" applyNumberFormat="1" applyFont="1" applyAlignment="1">
      <alignment horizontal="center" vertical="center" wrapText="1"/>
    </xf>
    <xf numFmtId="0" fontId="41" fillId="25" borderId="2" xfId="128" applyNumberFormat="1" applyFont="1" applyFill="1" applyBorder="1" applyAlignment="1">
      <alignment horizontal="center" vertical="center" wrapText="1"/>
    </xf>
    <xf numFmtId="0" fontId="42" fillId="0" borderId="1" xfId="128" applyNumberFormat="1" applyFont="1" applyBorder="1" applyAlignment="1">
      <alignment horizontal="center" vertical="center" wrapText="1"/>
    </xf>
    <xf numFmtId="0" fontId="42" fillId="0" borderId="0" xfId="128" applyNumberFormat="1" applyFont="1" applyBorder="1" applyAlignment="1">
      <alignment horizontal="center" vertical="center" wrapText="1"/>
    </xf>
    <xf numFmtId="0" fontId="36" fillId="0" borderId="15" xfId="128" applyNumberFormat="1" applyFont="1" applyBorder="1" applyAlignment="1">
      <alignment horizontal="center" vertical="center" wrapText="1"/>
    </xf>
    <xf numFmtId="0" fontId="36" fillId="0" borderId="16" xfId="128" applyNumberFormat="1" applyFont="1" applyBorder="1" applyAlignment="1">
      <alignment horizontal="center" vertical="center" wrapText="1"/>
    </xf>
    <xf numFmtId="0" fontId="36" fillId="0" borderId="5" xfId="128" applyNumberFormat="1" applyFont="1" applyBorder="1" applyAlignment="1">
      <alignment horizontal="center" vertical="center" wrapText="1"/>
    </xf>
    <xf numFmtId="0" fontId="36" fillId="0" borderId="31" xfId="128" applyNumberFormat="1" applyFont="1" applyBorder="1" applyAlignment="1">
      <alignment horizontal="center" vertical="center" wrapText="1"/>
    </xf>
    <xf numFmtId="0" fontId="41" fillId="0" borderId="2" xfId="128" applyNumberFormat="1" applyFont="1" applyBorder="1" applyAlignment="1">
      <alignment horizontal="center" vertical="center" wrapText="1"/>
    </xf>
    <xf numFmtId="0" fontId="55" fillId="0" borderId="0" xfId="128" applyNumberFormat="1" applyFont="1" applyBorder="1" applyAlignment="1">
      <alignment horizontal="center" vertical="center" wrapText="1"/>
    </xf>
    <xf numFmtId="0" fontId="47" fillId="0" borderId="0" xfId="1" applyFont="1" applyFill="1"/>
    <xf numFmtId="0" fontId="47" fillId="0" borderId="0" xfId="1" applyFont="1" applyFill="1" applyAlignment="1">
      <alignment horizontal="left"/>
    </xf>
    <xf numFmtId="0" fontId="47" fillId="0" borderId="0" xfId="1" applyFont="1"/>
    <xf numFmtId="0" fontId="33" fillId="0" borderId="0" xfId="0" applyFont="1"/>
    <xf numFmtId="0" fontId="35" fillId="0" borderId="0" xfId="0" applyFont="1" applyProtection="1">
      <protection locked="0"/>
    </xf>
    <xf numFmtId="0" fontId="47" fillId="0" borderId="0" xfId="0" applyFont="1" applyAlignment="1" applyProtection="1">
      <alignment wrapText="1"/>
    </xf>
    <xf numFmtId="0" fontId="35" fillId="0" borderId="15" xfId="50" applyFont="1" applyFill="1" applyBorder="1" applyAlignment="1" applyProtection="1">
      <alignment horizontal="center" vertical="center" wrapText="1"/>
    </xf>
    <xf numFmtId="0" fontId="35" fillId="0" borderId="1" xfId="5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5" fillId="0" borderId="1" xfId="50" applyFont="1" applyFill="1" applyBorder="1" applyAlignment="1" applyProtection="1">
      <alignment vertical="center" wrapText="1"/>
    </xf>
    <xf numFmtId="3" fontId="35" fillId="0" borderId="1" xfId="50" applyNumberFormat="1" applyFont="1" applyFill="1" applyBorder="1" applyAlignment="1" applyProtection="1">
      <alignment vertical="center" wrapText="1"/>
    </xf>
    <xf numFmtId="0" fontId="33" fillId="0" borderId="1" xfId="0" applyFont="1" applyBorder="1"/>
    <xf numFmtId="0" fontId="47" fillId="0" borderId="1" xfId="0" applyFont="1" applyBorder="1"/>
    <xf numFmtId="3" fontId="14" fillId="0" borderId="1" xfId="0" applyNumberFormat="1" applyFont="1" applyBorder="1"/>
    <xf numFmtId="3" fontId="33" fillId="28" borderId="1" xfId="0" applyNumberFormat="1" applyFont="1" applyFill="1" applyBorder="1" applyProtection="1">
      <protection locked="0"/>
    </xf>
    <xf numFmtId="0" fontId="33" fillId="29" borderId="1" xfId="0" applyFont="1" applyFill="1" applyBorder="1"/>
    <xf numFmtId="0" fontId="47" fillId="29" borderId="1" xfId="0" applyFont="1" applyFill="1" applyBorder="1"/>
    <xf numFmtId="0" fontId="14" fillId="29" borderId="1" xfId="0" applyFont="1" applyFill="1" applyBorder="1"/>
    <xf numFmtId="0" fontId="35" fillId="0" borderId="1" xfId="0" applyFont="1" applyFill="1" applyBorder="1"/>
    <xf numFmtId="0" fontId="35" fillId="0" borderId="1" xfId="0" applyFont="1" applyBorder="1"/>
    <xf numFmtId="0" fontId="33" fillId="0" borderId="0" xfId="0" applyFont="1" applyBorder="1"/>
    <xf numFmtId="0" fontId="35" fillId="0" borderId="0" xfId="0" applyFont="1" applyBorder="1"/>
    <xf numFmtId="0" fontId="14" fillId="0" borderId="0" xfId="0" applyFont="1" applyBorder="1"/>
    <xf numFmtId="0" fontId="71" fillId="0" borderId="0" xfId="129" applyFont="1" applyFill="1"/>
    <xf numFmtId="0" fontId="75" fillId="0" borderId="0" xfId="129" applyFont="1" applyFill="1" applyAlignment="1">
      <alignment horizontal="centerContinuous"/>
    </xf>
    <xf numFmtId="0" fontId="72" fillId="0" borderId="1" xfId="129" applyFont="1" applyFill="1" applyBorder="1" applyAlignment="1"/>
    <xf numFmtId="9" fontId="72" fillId="0" borderId="1" xfId="131" applyFont="1" applyFill="1" applyBorder="1" applyAlignment="1"/>
    <xf numFmtId="0" fontId="75" fillId="0" borderId="0" xfId="129" applyFont="1" applyFill="1" applyAlignment="1">
      <alignment horizontal="center" wrapText="1"/>
    </xf>
    <xf numFmtId="0" fontId="71" fillId="0" borderId="0" xfId="129" applyFont="1" applyFill="1" applyAlignment="1">
      <alignment wrapText="1"/>
    </xf>
    <xf numFmtId="49" fontId="71" fillId="0" borderId="1" xfId="129" applyNumberFormat="1" applyFont="1" applyFill="1" applyBorder="1" applyAlignment="1">
      <alignment horizontal="center" vertical="center" wrapText="1"/>
    </xf>
    <xf numFmtId="0" fontId="69" fillId="0" borderId="1" xfId="130" applyFont="1" applyFill="1" applyBorder="1" applyAlignment="1">
      <alignment horizontal="left"/>
    </xf>
    <xf numFmtId="0" fontId="69" fillId="0" borderId="1" xfId="130" applyFont="1" applyFill="1" applyBorder="1" applyAlignment="1">
      <alignment horizontal="left" wrapText="1"/>
    </xf>
    <xf numFmtId="0" fontId="70" fillId="0" borderId="1" xfId="130" applyFont="1" applyFill="1" applyBorder="1" applyAlignment="1">
      <alignment horizontal="left"/>
    </xf>
    <xf numFmtId="0" fontId="70" fillId="0" borderId="1" xfId="130" applyFont="1" applyFill="1" applyBorder="1" applyAlignment="1">
      <alignment horizontal="left" wrapText="1"/>
    </xf>
    <xf numFmtId="49" fontId="69" fillId="0" borderId="1" xfId="130" applyNumberFormat="1" applyFont="1" applyFill="1" applyBorder="1" applyAlignment="1">
      <alignment horizontal="left" wrapText="1"/>
    </xf>
    <xf numFmtId="0" fontId="72" fillId="0" borderId="1" xfId="129" applyFont="1" applyFill="1" applyBorder="1"/>
    <xf numFmtId="0" fontId="35" fillId="0" borderId="1" xfId="52" applyFont="1" applyFill="1" applyBorder="1" applyAlignment="1">
      <alignment horizontal="center" wrapText="1"/>
    </xf>
    <xf numFmtId="3" fontId="35" fillId="0" borderId="1" xfId="52" applyNumberFormat="1" applyFont="1" applyFill="1" applyBorder="1" applyAlignment="1">
      <alignment horizontal="center" wrapText="1"/>
    </xf>
    <xf numFmtId="0" fontId="35" fillId="0" borderId="0" xfId="0" applyFont="1" applyFill="1"/>
    <xf numFmtId="0" fontId="50" fillId="0" borderId="0" xfId="0" applyFont="1" applyFill="1"/>
    <xf numFmtId="0" fontId="47" fillId="0" borderId="0" xfId="1" applyFont="1" applyFill="1" applyBorder="1"/>
    <xf numFmtId="0" fontId="35" fillId="0" borderId="1" xfId="1" applyFont="1" applyFill="1" applyBorder="1" applyAlignment="1">
      <alignment horizontal="center" vertical="center"/>
    </xf>
    <xf numFmtId="0" fontId="58" fillId="0" borderId="1" xfId="0" applyFont="1" applyBorder="1"/>
    <xf numFmtId="3" fontId="58" fillId="0" borderId="1" xfId="0" applyNumberFormat="1" applyFont="1" applyBorder="1"/>
    <xf numFmtId="0" fontId="58" fillId="0" borderId="0" xfId="0" applyFont="1"/>
    <xf numFmtId="0" fontId="35" fillId="0" borderId="0" xfId="0" applyFont="1" applyFill="1" applyAlignment="1" applyProtection="1">
      <alignment horizontal="right"/>
      <protection locked="0"/>
    </xf>
    <xf numFmtId="0" fontId="35" fillId="0" borderId="0" xfId="1" applyFont="1" applyFill="1" applyAlignment="1">
      <alignment horizontal="centerContinuous"/>
    </xf>
    <xf numFmtId="0" fontId="49" fillId="0" borderId="0" xfId="1" applyFont="1" applyFill="1" applyAlignment="1">
      <alignment horizontal="centerContinuous"/>
    </xf>
    <xf numFmtId="0" fontId="48" fillId="0" borderId="0" xfId="1" applyFont="1" applyFill="1" applyAlignment="1">
      <alignment horizontal="centerContinuous"/>
    </xf>
    <xf numFmtId="0" fontId="80" fillId="0" borderId="0" xfId="0" applyFont="1" applyAlignment="1"/>
    <xf numFmtId="3" fontId="80" fillId="0" borderId="0" xfId="39" applyNumberFormat="1" applyFont="1" applyAlignment="1"/>
    <xf numFmtId="0" fontId="80" fillId="0" borderId="0" xfId="0" applyFont="1" applyAlignment="1">
      <alignment horizontal="right"/>
    </xf>
    <xf numFmtId="3" fontId="80" fillId="0" borderId="0" xfId="0" applyNumberFormat="1" applyFont="1" applyAlignment="1"/>
    <xf numFmtId="0" fontId="80" fillId="0" borderId="0" xfId="0" applyFont="1" applyAlignment="1">
      <alignment horizontal="centerContinuous"/>
    </xf>
    <xf numFmtId="3" fontId="80" fillId="0" borderId="0" xfId="39" applyNumberFormat="1" applyFont="1" applyAlignment="1">
      <alignment horizontal="centerContinuous"/>
    </xf>
    <xf numFmtId="0" fontId="81" fillId="0" borderId="0" xfId="55" applyFont="1" applyAlignment="1">
      <alignment wrapText="1"/>
    </xf>
    <xf numFmtId="0" fontId="80" fillId="0" borderId="0" xfId="55" applyFont="1" applyAlignment="1">
      <alignment wrapText="1"/>
    </xf>
    <xf numFmtId="3" fontId="81" fillId="0" borderId="0" xfId="55" applyNumberFormat="1" applyFont="1" applyAlignment="1">
      <alignment wrapText="1"/>
    </xf>
    <xf numFmtId="3" fontId="80" fillId="0" borderId="0" xfId="55" applyNumberFormat="1" applyFont="1"/>
    <xf numFmtId="3" fontId="81" fillId="0" borderId="0" xfId="39" applyNumberFormat="1" applyFont="1" applyAlignment="1">
      <alignment wrapText="1"/>
    </xf>
    <xf numFmtId="3" fontId="80" fillId="0" borderId="0" xfId="39" applyNumberFormat="1" applyFont="1" applyAlignment="1">
      <alignment wrapText="1"/>
    </xf>
    <xf numFmtId="0" fontId="80" fillId="0" borderId="1" xfId="0" applyFont="1" applyBorder="1" applyAlignment="1">
      <alignment horizontal="center" wrapText="1"/>
    </xf>
    <xf numFmtId="3" fontId="80" fillId="0" borderId="1" xfId="39" applyNumberFormat="1" applyFont="1" applyBorder="1" applyAlignment="1">
      <alignment horizontal="center" wrapText="1"/>
    </xf>
    <xf numFmtId="0" fontId="80" fillId="0" borderId="1" xfId="0" applyFont="1" applyFill="1" applyBorder="1" applyAlignment="1">
      <alignment wrapText="1"/>
    </xf>
    <xf numFmtId="3" fontId="81" fillId="0" borderId="1" xfId="39" applyNumberFormat="1" applyFont="1" applyFill="1" applyBorder="1" applyAlignment="1">
      <alignment wrapText="1"/>
    </xf>
    <xf numFmtId="3" fontId="80" fillId="0" borderId="1" xfId="39" applyNumberFormat="1" applyFont="1" applyFill="1" applyBorder="1" applyAlignment="1">
      <alignment wrapText="1"/>
    </xf>
    <xf numFmtId="0" fontId="80" fillId="0" borderId="1" xfId="0" applyFont="1" applyBorder="1" applyAlignment="1">
      <alignment wrapText="1"/>
    </xf>
    <xf numFmtId="0" fontId="81" fillId="0" borderId="1" xfId="56" applyFont="1" applyBorder="1" applyAlignment="1">
      <alignment wrapText="1"/>
    </xf>
    <xf numFmtId="3" fontId="81" fillId="0" borderId="1" xfId="56" applyNumberFormat="1" applyFont="1" applyBorder="1" applyAlignment="1">
      <alignment wrapText="1"/>
    </xf>
    <xf numFmtId="3" fontId="81" fillId="0" borderId="1" xfId="39" applyNumberFormat="1" applyFont="1" applyBorder="1" applyAlignment="1">
      <alignment wrapText="1"/>
    </xf>
    <xf numFmtId="3" fontId="80" fillId="0" borderId="1" xfId="39" applyNumberFormat="1" applyFont="1" applyBorder="1" applyAlignment="1">
      <alignment wrapText="1"/>
    </xf>
    <xf numFmtId="0" fontId="80" fillId="0" borderId="0" xfId="55" applyFont="1" applyAlignment="1">
      <alignment horizontal="right" wrapText="1"/>
    </xf>
    <xf numFmtId="3" fontId="80" fillId="0" borderId="1" xfId="0" applyNumberFormat="1" applyFont="1" applyBorder="1" applyAlignment="1">
      <alignment horizontal="center" wrapText="1"/>
    </xf>
    <xf numFmtId="3" fontId="81" fillId="0" borderId="1" xfId="0" applyNumberFormat="1" applyFont="1" applyBorder="1"/>
    <xf numFmtId="3" fontId="80" fillId="0" borderId="1" xfId="0" applyNumberFormat="1" applyFont="1" applyBorder="1"/>
    <xf numFmtId="0" fontId="81" fillId="0" borderId="1" xfId="56" applyFont="1" applyBorder="1" applyAlignment="1">
      <alignment vertical="center"/>
    </xf>
    <xf numFmtId="0" fontId="81" fillId="0" borderId="1" xfId="0" applyFont="1" applyBorder="1"/>
    <xf numFmtId="3" fontId="80" fillId="0" borderId="0" xfId="55" applyNumberFormat="1" applyFont="1" applyAlignment="1">
      <alignment horizontal="right" wrapText="1"/>
    </xf>
    <xf numFmtId="0" fontId="80" fillId="0" borderId="0" xfId="63" applyFont="1" applyFill="1" applyAlignment="1"/>
    <xf numFmtId="0" fontId="81" fillId="0" borderId="0" xfId="73" applyFont="1" applyFill="1" applyAlignment="1"/>
    <xf numFmtId="0" fontId="82" fillId="0" borderId="0" xfId="63" applyFont="1" applyFill="1" applyAlignment="1"/>
    <xf numFmtId="0" fontId="82" fillId="0" borderId="0" xfId="73" applyFont="1" applyFill="1" applyAlignment="1"/>
    <xf numFmtId="0" fontId="81" fillId="0" borderId="0" xfId="63" applyFont="1" applyFill="1" applyAlignment="1"/>
    <xf numFmtId="166" fontId="0" fillId="0" borderId="0" xfId="0" applyNumberFormat="1"/>
    <xf numFmtId="0" fontId="83" fillId="0" borderId="0" xfId="0" applyFont="1" applyAlignment="1">
      <alignment horizontal="center"/>
    </xf>
    <xf numFmtId="0" fontId="84" fillId="0" borderId="0" xfId="0" applyFont="1" applyAlignment="1">
      <alignment horizontal="right"/>
    </xf>
    <xf numFmtId="0" fontId="83" fillId="0" borderId="0" xfId="0" applyFont="1"/>
    <xf numFmtId="0" fontId="58" fillId="0" borderId="0" xfId="0" applyFont="1" applyAlignment="1">
      <alignment horizontal="centerContinuous"/>
    </xf>
    <xf numFmtId="0" fontId="55" fillId="0" borderId="0" xfId="53" applyFont="1" applyFill="1"/>
    <xf numFmtId="0" fontId="56" fillId="0" borderId="0" xfId="53" applyFont="1" applyFill="1" applyAlignment="1">
      <alignment horizontal="right"/>
    </xf>
    <xf numFmtId="0" fontId="71" fillId="0" borderId="0" xfId="0" applyFont="1"/>
    <xf numFmtId="0" fontId="72" fillId="0" borderId="0" xfId="0" applyFont="1" applyAlignment="1">
      <alignment horizontal="right"/>
    </xf>
    <xf numFmtId="0" fontId="35" fillId="0" borderId="0" xfId="1" applyFont="1" applyAlignment="1">
      <alignment horizontal="center"/>
    </xf>
    <xf numFmtId="3" fontId="59" fillId="0" borderId="25" xfId="0" applyNumberFormat="1" applyFont="1" applyFill="1" applyBorder="1" applyAlignment="1">
      <alignment horizontal="right" vertical="center"/>
    </xf>
    <xf numFmtId="3" fontId="59" fillId="0" borderId="20" xfId="0" applyNumberFormat="1" applyFont="1" applyFill="1" applyBorder="1" applyAlignment="1">
      <alignment horizontal="right" vertical="center"/>
    </xf>
    <xf numFmtId="0" fontId="58" fillId="0" borderId="20" xfId="0" applyFont="1" applyFill="1" applyBorder="1" applyAlignment="1">
      <alignment horizontal="right" vertical="center"/>
    </xf>
    <xf numFmtId="0" fontId="85" fillId="0" borderId="0" xfId="0" applyFont="1" applyFill="1" applyBorder="1" applyAlignment="1">
      <alignment vertical="center" wrapText="1"/>
    </xf>
    <xf numFmtId="3" fontId="83" fillId="0" borderId="0" xfId="0" applyNumberFormat="1" applyFont="1" applyFill="1" applyBorder="1" applyAlignment="1">
      <alignment horizontal="right" vertical="center"/>
    </xf>
    <xf numFmtId="0" fontId="84" fillId="0" borderId="0" xfId="0" applyFont="1" applyFill="1" applyBorder="1" applyAlignment="1">
      <alignment horizontal="right" vertical="center"/>
    </xf>
    <xf numFmtId="3" fontId="59" fillId="0" borderId="23" xfId="0" applyNumberFormat="1" applyFont="1" applyFill="1" applyBorder="1" applyAlignment="1">
      <alignment horizontal="right" vertical="center"/>
    </xf>
    <xf numFmtId="3" fontId="59" fillId="0" borderId="44" xfId="0" applyNumberFormat="1" applyFont="1" applyFill="1" applyBorder="1" applyAlignment="1">
      <alignment horizontal="right" vertical="center"/>
    </xf>
    <xf numFmtId="0" fontId="58" fillId="0" borderId="44" xfId="0" applyFont="1" applyFill="1" applyBorder="1" applyAlignment="1">
      <alignment horizontal="right" vertical="center"/>
    </xf>
    <xf numFmtId="0" fontId="59" fillId="0" borderId="23" xfId="0" applyFont="1" applyFill="1" applyBorder="1" applyAlignment="1">
      <alignment horizontal="right" vertical="center"/>
    </xf>
    <xf numFmtId="0" fontId="59" fillId="0" borderId="44" xfId="0" applyFont="1" applyFill="1" applyBorder="1" applyAlignment="1">
      <alignment horizontal="right" vertical="center"/>
    </xf>
    <xf numFmtId="0" fontId="83" fillId="0" borderId="0" xfId="0" applyFont="1" applyFill="1" applyBorder="1" applyAlignment="1">
      <alignment horizontal="right" vertical="center"/>
    </xf>
    <xf numFmtId="3" fontId="59" fillId="0" borderId="24" xfId="0" applyNumberFormat="1" applyFont="1" applyFill="1" applyBorder="1" applyAlignment="1">
      <alignment horizontal="right" vertical="center"/>
    </xf>
    <xf numFmtId="0" fontId="86" fillId="0" borderId="23" xfId="0" applyFont="1" applyFill="1" applyBorder="1" applyAlignment="1">
      <alignment horizontal="right" vertical="center"/>
    </xf>
    <xf numFmtId="0" fontId="86" fillId="0" borderId="44" xfId="0" applyFont="1" applyFill="1" applyBorder="1" applyAlignment="1">
      <alignment horizontal="right" vertical="center"/>
    </xf>
    <xf numFmtId="0" fontId="68" fillId="0" borderId="0" xfId="0" applyFont="1" applyFill="1" applyBorder="1" applyAlignment="1">
      <alignment horizontal="right" vertical="center"/>
    </xf>
    <xf numFmtId="0" fontId="87" fillId="0" borderId="44" xfId="0" applyFont="1" applyFill="1" applyBorder="1" applyAlignment="1">
      <alignment horizontal="right" vertical="center"/>
    </xf>
    <xf numFmtId="0" fontId="88" fillId="0" borderId="0" xfId="0" applyFont="1" applyFill="1" applyBorder="1" applyAlignment="1">
      <alignment horizontal="right" vertical="center"/>
    </xf>
    <xf numFmtId="3" fontId="86" fillId="0" borderId="23" xfId="0" applyNumberFormat="1" applyFont="1" applyFill="1" applyBorder="1" applyAlignment="1">
      <alignment horizontal="right" vertical="center"/>
    </xf>
    <xf numFmtId="3" fontId="86" fillId="0" borderId="44" xfId="0" applyNumberFormat="1" applyFont="1" applyFill="1" applyBorder="1" applyAlignment="1">
      <alignment horizontal="right" vertical="center"/>
    </xf>
    <xf numFmtId="0" fontId="84" fillId="0" borderId="0" xfId="0" applyFont="1" applyFill="1" applyBorder="1" applyAlignment="1">
      <alignment horizontal="right" vertical="center" wrapText="1"/>
    </xf>
    <xf numFmtId="0" fontId="85" fillId="0" borderId="0" xfId="0" applyFont="1" applyFill="1" applyBorder="1" applyAlignment="1">
      <alignment horizontal="right" vertical="center" wrapText="1"/>
    </xf>
    <xf numFmtId="0" fontId="89" fillId="0" borderId="0" xfId="117" applyFont="1" applyFill="1"/>
    <xf numFmtId="0" fontId="55" fillId="0" borderId="13" xfId="0" applyFont="1" applyFill="1" applyBorder="1" applyAlignment="1">
      <alignment horizontal="left"/>
    </xf>
    <xf numFmtId="0" fontId="70" fillId="0" borderId="13" xfId="0" applyFont="1" applyFill="1" applyBorder="1" applyAlignment="1">
      <alignment horizontal="left"/>
    </xf>
    <xf numFmtId="3" fontId="56" fillId="0" borderId="13" xfId="0" applyNumberFormat="1" applyFont="1" applyFill="1" applyBorder="1" applyAlignment="1"/>
    <xf numFmtId="3" fontId="47" fillId="0" borderId="1" xfId="52" applyNumberFormat="1" applyFont="1" applyFill="1" applyBorder="1" applyAlignment="1">
      <alignment wrapText="1"/>
    </xf>
    <xf numFmtId="0" fontId="35" fillId="0" borderId="0" xfId="0" applyFont="1" applyAlignment="1">
      <alignment horizontal="center"/>
    </xf>
    <xf numFmtId="0" fontId="36" fillId="0" borderId="0" xfId="128" applyNumberFormat="1" applyFont="1" applyBorder="1" applyAlignment="1">
      <alignment horizontal="left" vertical="center" wrapText="1"/>
    </xf>
    <xf numFmtId="0" fontId="36" fillId="0" borderId="0" xfId="128" applyNumberFormat="1" applyFont="1" applyBorder="1" applyAlignment="1">
      <alignment horizontal="center" vertical="center" wrapText="1"/>
    </xf>
    <xf numFmtId="0" fontId="41" fillId="25" borderId="0" xfId="128" applyNumberFormat="1" applyFont="1" applyFill="1" applyBorder="1" applyAlignment="1">
      <alignment horizontal="center" vertical="center" wrapText="1"/>
    </xf>
    <xf numFmtId="0" fontId="56" fillId="0" borderId="0" xfId="117" applyFont="1" applyFill="1" applyAlignment="1">
      <alignment horizontal="right"/>
    </xf>
    <xf numFmtId="0" fontId="56" fillId="0" borderId="0" xfId="117" applyFont="1" applyFill="1" applyAlignment="1">
      <alignment horizontal="center"/>
    </xf>
    <xf numFmtId="0" fontId="56" fillId="0" borderId="0" xfId="117" applyFont="1" applyFill="1"/>
    <xf numFmtId="0" fontId="71" fillId="0" borderId="0" xfId="117" applyFont="1" applyFill="1"/>
    <xf numFmtId="0" fontId="72" fillId="0" borderId="0" xfId="117" applyFont="1" applyFill="1"/>
    <xf numFmtId="0" fontId="56" fillId="0" borderId="0" xfId="117" applyFont="1" applyFill="1" applyAlignment="1"/>
    <xf numFmtId="0" fontId="57" fillId="0" borderId="0" xfId="117" applyFont="1" applyFill="1" applyAlignment="1"/>
    <xf numFmtId="0" fontId="55" fillId="0" borderId="0" xfId="117" applyFont="1" applyFill="1" applyAlignment="1"/>
    <xf numFmtId="0" fontId="57" fillId="0" borderId="0" xfId="117" applyFont="1" applyFill="1"/>
    <xf numFmtId="0" fontId="55" fillId="0" borderId="0" xfId="117" applyFont="1" applyFill="1" applyBorder="1" applyAlignment="1">
      <alignment vertical="center" wrapText="1"/>
    </xf>
    <xf numFmtId="0" fontId="57" fillId="0" borderId="0" xfId="117" applyFont="1" applyFill="1" applyBorder="1" applyAlignment="1">
      <alignment vertical="center" wrapText="1"/>
    </xf>
    <xf numFmtId="0" fontId="57" fillId="0" borderId="0" xfId="117" applyFont="1" applyFill="1" applyBorder="1"/>
    <xf numFmtId="0" fontId="55" fillId="0" borderId="0" xfId="117" applyFont="1" applyFill="1" applyBorder="1" applyAlignment="1">
      <alignment vertical="center"/>
    </xf>
    <xf numFmtId="0" fontId="39" fillId="0" borderId="29" xfId="1" applyNumberFormat="1" applyFont="1" applyBorder="1" applyAlignment="1">
      <alignment horizontal="center" vertical="center" wrapText="1"/>
    </xf>
    <xf numFmtId="0" fontId="39" fillId="30" borderId="27" xfId="1" applyNumberFormat="1" applyFont="1" applyFill="1" applyBorder="1" applyAlignment="1">
      <alignment horizontal="center" vertical="center" wrapText="1"/>
    </xf>
    <xf numFmtId="0" fontId="39" fillId="30" borderId="28" xfId="128" applyNumberFormat="1" applyFont="1" applyFill="1" applyBorder="1" applyAlignment="1">
      <alignment horizontal="center" vertical="center" wrapText="1"/>
    </xf>
    <xf numFmtId="0" fontId="40" fillId="30" borderId="28" xfId="128" applyNumberFormat="1" applyFont="1" applyFill="1" applyBorder="1" applyAlignment="1">
      <alignment horizontal="center" vertical="center" wrapText="1"/>
    </xf>
    <xf numFmtId="0" fontId="39" fillId="30" borderId="28" xfId="1" applyNumberFormat="1" applyFont="1" applyFill="1" applyBorder="1" applyAlignment="1">
      <alignment horizontal="center" vertical="center" wrapText="1"/>
    </xf>
    <xf numFmtId="0" fontId="39" fillId="30" borderId="29" xfId="128" applyNumberFormat="1" applyFont="1" applyFill="1" applyBorder="1" applyAlignment="1">
      <alignment horizontal="center" vertical="center" wrapText="1"/>
    </xf>
    <xf numFmtId="0" fontId="39" fillId="30" borderId="18" xfId="128" applyNumberFormat="1" applyFont="1" applyFill="1" applyBorder="1" applyAlignment="1">
      <alignment horizontal="center" vertical="center" wrapText="1"/>
    </xf>
    <xf numFmtId="0" fontId="40" fillId="30" borderId="18" xfId="128" applyNumberFormat="1" applyFont="1" applyFill="1" applyBorder="1" applyAlignment="1">
      <alignment horizontal="center" vertical="center" wrapText="1"/>
    </xf>
    <xf numFmtId="0" fontId="39" fillId="30" borderId="30" xfId="128" applyNumberFormat="1" applyFont="1" applyFill="1" applyBorder="1" applyAlignment="1">
      <alignment horizontal="center" vertical="center" wrapText="1"/>
    </xf>
    <xf numFmtId="0" fontId="39" fillId="30" borderId="49" xfId="128" applyNumberFormat="1" applyFont="1" applyFill="1" applyBorder="1" applyAlignment="1">
      <alignment horizontal="center" vertical="center" wrapText="1"/>
    </xf>
    <xf numFmtId="0" fontId="40" fillId="30" borderId="19" xfId="128" applyNumberFormat="1" applyFont="1" applyFill="1" applyBorder="1" applyAlignment="1">
      <alignment horizontal="center" vertical="center" wrapText="1"/>
    </xf>
    <xf numFmtId="165" fontId="39" fillId="30" borderId="28" xfId="128" applyNumberFormat="1" applyFont="1" applyFill="1" applyBorder="1" applyAlignment="1">
      <alignment horizontal="center" vertical="center" wrapText="1"/>
    </xf>
    <xf numFmtId="165" fontId="39" fillId="30" borderId="30" xfId="1" applyNumberFormat="1" applyFont="1" applyFill="1" applyBorder="1" applyAlignment="1">
      <alignment horizontal="center" vertical="center" wrapText="1"/>
    </xf>
    <xf numFmtId="0" fontId="35" fillId="0" borderId="0" xfId="53" applyNumberFormat="1" applyFont="1" applyFill="1" applyAlignment="1">
      <alignment horizontal="left"/>
    </xf>
    <xf numFmtId="0" fontId="35" fillId="0" borderId="0" xfId="53" applyFont="1" applyFill="1" applyAlignment="1">
      <alignment horizontal="center"/>
    </xf>
    <xf numFmtId="0" fontId="35" fillId="0" borderId="5" xfId="1" applyFont="1" applyFill="1" applyBorder="1" applyAlignment="1">
      <alignment horizontal="center" vertical="center"/>
    </xf>
    <xf numFmtId="0" fontId="35" fillId="0" borderId="5" xfId="53" applyFont="1" applyFill="1" applyBorder="1" applyAlignment="1">
      <alignment horizontal="center" wrapText="1"/>
    </xf>
    <xf numFmtId="3" fontId="35" fillId="0" borderId="0" xfId="53" applyNumberFormat="1" applyFont="1" applyFill="1" applyBorder="1"/>
    <xf numFmtId="3" fontId="35" fillId="26" borderId="1" xfId="134" applyNumberFormat="1" applyFont="1" applyFill="1" applyBorder="1" applyAlignment="1">
      <alignment horizontal="center" wrapText="1"/>
    </xf>
    <xf numFmtId="0" fontId="35" fillId="0" borderId="0" xfId="134" applyFont="1" applyAlignment="1">
      <alignment wrapText="1"/>
    </xf>
    <xf numFmtId="3" fontId="58" fillId="26" borderId="1" xfId="134" applyNumberFormat="1" applyFont="1" applyFill="1" applyBorder="1" applyAlignment="1">
      <alignment wrapText="1"/>
    </xf>
    <xf numFmtId="0" fontId="59" fillId="0" borderId="0" xfId="134" applyFont="1"/>
    <xf numFmtId="3" fontId="47" fillId="0" borderId="1" xfId="134" applyNumberFormat="1" applyFont="1" applyBorder="1" applyAlignment="1">
      <alignment wrapText="1"/>
    </xf>
    <xf numFmtId="0" fontId="47" fillId="0" borderId="0" xfId="134" applyFont="1"/>
    <xf numFmtId="0" fontId="35" fillId="26" borderId="1" xfId="59" applyFont="1" applyFill="1" applyBorder="1" applyAlignment="1">
      <alignment horizontal="left" wrapText="1"/>
    </xf>
    <xf numFmtId="3" fontId="35" fillId="26" borderId="1" xfId="59" applyNumberFormat="1" applyFont="1" applyFill="1" applyBorder="1"/>
    <xf numFmtId="0" fontId="55" fillId="0" borderId="0" xfId="129" applyFont="1" applyFill="1"/>
    <xf numFmtId="0" fontId="56" fillId="0" borderId="0" xfId="129" applyFont="1" applyFill="1" applyAlignment="1">
      <alignment horizontal="right"/>
    </xf>
    <xf numFmtId="0" fontId="35" fillId="0" borderId="0" xfId="129" applyFont="1" applyFill="1" applyAlignment="1">
      <alignment horizontal="centerContinuous"/>
    </xf>
    <xf numFmtId="0" fontId="55" fillId="0" borderId="0" xfId="129" applyFont="1" applyFill="1" applyAlignment="1">
      <alignment horizontal="center"/>
    </xf>
    <xf numFmtId="0" fontId="35" fillId="0" borderId="1" xfId="129" applyFont="1" applyFill="1" applyBorder="1" applyAlignment="1">
      <alignment horizontal="center" wrapText="1"/>
    </xf>
    <xf numFmtId="3" fontId="56" fillId="0" borderId="1" xfId="130" applyNumberFormat="1" applyFont="1" applyFill="1" applyBorder="1" applyAlignment="1">
      <alignment horizontal="right"/>
    </xf>
    <xf numFmtId="3" fontId="55" fillId="0" borderId="1" xfId="130" applyNumberFormat="1" applyFont="1" applyFill="1" applyBorder="1" applyAlignment="1">
      <alignment horizontal="right"/>
    </xf>
    <xf numFmtId="3" fontId="56" fillId="0" borderId="1" xfId="129" applyNumberFormat="1" applyFont="1" applyFill="1" applyBorder="1"/>
    <xf numFmtId="3" fontId="56" fillId="0" borderId="1" xfId="129" applyNumberFormat="1" applyFont="1" applyFill="1" applyBorder="1" applyAlignment="1"/>
    <xf numFmtId="3" fontId="56" fillId="0" borderId="1" xfId="129" applyNumberFormat="1" applyFont="1" applyFill="1" applyBorder="1" applyAlignment="1">
      <alignment horizontal="right"/>
    </xf>
    <xf numFmtId="0" fontId="81" fillId="0" borderId="0" xfId="124" applyFont="1" applyAlignment="1">
      <alignment wrapText="1"/>
    </xf>
    <xf numFmtId="3" fontId="81" fillId="0" borderId="0" xfId="124" applyNumberFormat="1" applyFont="1" applyAlignment="1">
      <alignment wrapText="1"/>
    </xf>
    <xf numFmtId="3" fontId="80" fillId="0" borderId="0" xfId="124" applyNumberFormat="1" applyFont="1"/>
    <xf numFmtId="0" fontId="80" fillId="0" borderId="0" xfId="124" applyFont="1" applyAlignment="1">
      <alignment wrapText="1"/>
    </xf>
    <xf numFmtId="3" fontId="80" fillId="0" borderId="0" xfId="124" applyNumberFormat="1" applyFont="1" applyAlignment="1">
      <alignment horizontal="right" wrapText="1"/>
    </xf>
    <xf numFmtId="3" fontId="65" fillId="0" borderId="1" xfId="73" applyNumberFormat="1" applyFont="1" applyBorder="1" applyAlignment="1">
      <alignment horizontal="right"/>
    </xf>
    <xf numFmtId="0" fontId="35" fillId="0" borderId="16" xfId="63" applyFont="1" applyFill="1" applyBorder="1" applyAlignment="1">
      <alignment horizontal="center" vertical="top" wrapText="1"/>
    </xf>
    <xf numFmtId="0" fontId="35" fillId="0" borderId="0" xfId="63" applyFont="1" applyFill="1"/>
    <xf numFmtId="0" fontId="35" fillId="0" borderId="1" xfId="63" applyFont="1" applyFill="1" applyBorder="1" applyAlignment="1">
      <alignment horizontal="center" vertical="center" wrapText="1"/>
    </xf>
    <xf numFmtId="0" fontId="35" fillId="0" borderId="1" xfId="63" applyFont="1" applyFill="1" applyBorder="1" applyAlignment="1">
      <alignment horizontal="center" vertical="center"/>
    </xf>
    <xf numFmtId="0" fontId="35" fillId="0" borderId="1" xfId="63" applyFont="1" applyFill="1" applyBorder="1" applyAlignment="1">
      <alignment horizontal="justify" vertical="top" wrapText="1"/>
    </xf>
    <xf numFmtId="3" fontId="35" fillId="0" borderId="1" xfId="63" applyNumberFormat="1" applyFont="1" applyFill="1" applyBorder="1" applyAlignment="1">
      <alignment horizontal="center" vertical="center" wrapText="1"/>
    </xf>
    <xf numFmtId="3" fontId="35" fillId="0" borderId="1" xfId="63" applyNumberFormat="1" applyFont="1" applyFill="1" applyBorder="1" applyAlignment="1">
      <alignment horizontal="center" vertical="center"/>
    </xf>
    <xf numFmtId="2" fontId="47" fillId="0" borderId="1" xfId="63" applyNumberFormat="1" applyFont="1" applyFill="1" applyBorder="1" applyAlignment="1">
      <alignment horizontal="justify" vertical="top" wrapText="1"/>
    </xf>
    <xf numFmtId="0" fontId="47" fillId="0" borderId="1" xfId="63" applyFont="1" applyFill="1" applyBorder="1" applyAlignment="1">
      <alignment horizontal="justify" vertical="top" wrapText="1"/>
    </xf>
    <xf numFmtId="3" fontId="47" fillId="0" borderId="1" xfId="63" applyNumberFormat="1" applyFont="1" applyFill="1" applyBorder="1" applyAlignment="1">
      <alignment horizontal="center" vertical="center" wrapText="1"/>
    </xf>
    <xf numFmtId="3" fontId="47" fillId="0" borderId="1" xfId="63" applyNumberFormat="1" applyFont="1" applyFill="1" applyBorder="1" applyAlignment="1">
      <alignment horizontal="center" vertical="center"/>
    </xf>
    <xf numFmtId="0" fontId="47" fillId="0" borderId="0" xfId="63" applyFont="1" applyFill="1"/>
    <xf numFmtId="0" fontId="35" fillId="0" borderId="1" xfId="63" applyFont="1" applyFill="1" applyBorder="1" applyAlignment="1" applyProtection="1">
      <alignment horizontal="justify" vertical="top" wrapText="1"/>
    </xf>
    <xf numFmtId="2" fontId="35" fillId="0" borderId="1" xfId="63" applyNumberFormat="1" applyFont="1" applyFill="1" applyBorder="1" applyAlignment="1">
      <alignment horizontal="justify" vertical="top" wrapText="1"/>
    </xf>
    <xf numFmtId="0" fontId="47" fillId="0" borderId="1" xfId="63" applyFont="1" applyFill="1" applyBorder="1" applyAlignment="1" applyProtection="1">
      <alignment horizontal="justify" vertical="top" wrapText="1"/>
    </xf>
    <xf numFmtId="3" fontId="73" fillId="0" borderId="1" xfId="63" applyNumberFormat="1" applyFont="1" applyFill="1" applyBorder="1" applyAlignment="1">
      <alignment horizontal="center" vertical="center" wrapText="1"/>
    </xf>
    <xf numFmtId="3" fontId="73" fillId="0" borderId="1" xfId="63" applyNumberFormat="1" applyFont="1" applyFill="1" applyBorder="1" applyAlignment="1">
      <alignment horizontal="center" vertical="center"/>
    </xf>
    <xf numFmtId="0" fontId="35" fillId="0" borderId="1" xfId="63" applyFont="1" applyFill="1" applyBorder="1"/>
    <xf numFmtId="0" fontId="35" fillId="0" borderId="1" xfId="63" applyFont="1" applyFill="1" applyBorder="1" applyAlignment="1" applyProtection="1">
      <alignment horizontal="center" vertical="top" wrapText="1"/>
    </xf>
    <xf numFmtId="0" fontId="47" fillId="0" borderId="1" xfId="63" applyFont="1" applyFill="1" applyBorder="1"/>
    <xf numFmtId="0" fontId="35" fillId="0" borderId="1" xfId="63" applyFont="1" applyFill="1" applyBorder="1" applyAlignment="1">
      <alignment horizontal="left"/>
    </xf>
    <xf numFmtId="0" fontId="35" fillId="0" borderId="1" xfId="63" applyFont="1" applyFill="1" applyBorder="1" applyAlignment="1" applyProtection="1">
      <alignment horizontal="left" vertical="top" wrapText="1"/>
    </xf>
    <xf numFmtId="0" fontId="50" fillId="0" borderId="0" xfId="63" applyFont="1" applyFill="1"/>
    <xf numFmtId="0" fontId="47" fillId="0" borderId="0" xfId="63" applyFont="1" applyFill="1" applyBorder="1" applyAlignment="1">
      <alignment horizontal="justify" vertical="center" wrapText="1"/>
    </xf>
    <xf numFmtId="0" fontId="55" fillId="0" borderId="0" xfId="73" applyFont="1" applyFill="1" applyAlignment="1">
      <alignment horizontal="left"/>
    </xf>
    <xf numFmtId="0" fontId="55" fillId="0" borderId="0" xfId="73" applyNumberFormat="1" applyFont="1" applyFill="1" applyAlignment="1">
      <alignment wrapText="1"/>
    </xf>
    <xf numFmtId="3" fontId="56" fillId="0" borderId="0" xfId="73" applyNumberFormat="1" applyFont="1" applyFill="1" applyAlignment="1">
      <alignment horizontal="right"/>
    </xf>
    <xf numFmtId="0" fontId="55" fillId="0" borderId="0" xfId="73" applyFont="1" applyFill="1"/>
    <xf numFmtId="0" fontId="56" fillId="0" borderId="0" xfId="73" applyFont="1" applyFill="1" applyAlignment="1">
      <alignment horizontal="centerContinuous"/>
    </xf>
    <xf numFmtId="0" fontId="56" fillId="0" borderId="0" xfId="73" applyNumberFormat="1" applyFont="1" applyFill="1" applyAlignment="1">
      <alignment horizontal="centerContinuous" wrapText="1"/>
    </xf>
    <xf numFmtId="3" fontId="56" fillId="0" borderId="0" xfId="73" applyNumberFormat="1" applyFont="1" applyFill="1" applyAlignment="1">
      <alignment horizontal="centerContinuous"/>
    </xf>
    <xf numFmtId="0" fontId="56" fillId="0" borderId="0" xfId="73" applyFont="1" applyFill="1"/>
    <xf numFmtId="0" fontId="56" fillId="0" borderId="45" xfId="0" applyFont="1" applyFill="1" applyBorder="1" applyAlignment="1">
      <alignment horizontal="center" vertical="center" wrapText="1"/>
    </xf>
    <xf numFmtId="49" fontId="56" fillId="0" borderId="45" xfId="0" applyNumberFormat="1" applyFont="1" applyFill="1" applyBorder="1" applyAlignment="1">
      <alignment horizontal="center" vertical="center" wrapText="1"/>
    </xf>
    <xf numFmtId="3" fontId="56" fillId="0" borderId="45" xfId="0" applyNumberFormat="1" applyFont="1" applyFill="1" applyBorder="1" applyAlignment="1">
      <alignment horizontal="center" vertical="center" wrapText="1"/>
    </xf>
    <xf numFmtId="0" fontId="56" fillId="0" borderId="0" xfId="0" applyFont="1" applyFill="1" applyAlignment="1">
      <alignment horizontal="center"/>
    </xf>
    <xf numFmtId="0" fontId="69" fillId="0" borderId="13" xfId="0" applyFont="1" applyFill="1" applyBorder="1" applyAlignment="1"/>
    <xf numFmtId="0" fontId="55" fillId="0" borderId="13" xfId="0" applyFont="1" applyFill="1" applyBorder="1" applyAlignment="1">
      <alignment wrapText="1"/>
    </xf>
    <xf numFmtId="3" fontId="69" fillId="0" borderId="13" xfId="0" applyNumberFormat="1" applyFont="1" applyFill="1" applyBorder="1" applyAlignment="1"/>
    <xf numFmtId="0" fontId="55" fillId="0" borderId="0" xfId="0" applyFont="1" applyFill="1"/>
    <xf numFmtId="0" fontId="55" fillId="0" borderId="13" xfId="0" applyFont="1" applyFill="1" applyBorder="1" applyAlignment="1"/>
    <xf numFmtId="3" fontId="55" fillId="0" borderId="13" xfId="0" applyNumberFormat="1" applyFont="1" applyFill="1" applyBorder="1" applyAlignment="1"/>
    <xf numFmtId="0" fontId="56" fillId="0" borderId="13" xfId="0" applyFont="1" applyFill="1" applyBorder="1" applyAlignment="1"/>
    <xf numFmtId="0" fontId="56" fillId="0" borderId="13" xfId="0" applyFont="1" applyFill="1" applyBorder="1" applyAlignment="1">
      <alignment wrapText="1"/>
    </xf>
    <xf numFmtId="0" fontId="56" fillId="0" borderId="0" xfId="0" applyFont="1" applyFill="1"/>
    <xf numFmtId="0" fontId="70" fillId="0" borderId="13" xfId="0" applyFont="1" applyFill="1" applyBorder="1" applyAlignment="1"/>
    <xf numFmtId="3" fontId="70" fillId="0" borderId="13" xfId="0" applyNumberFormat="1" applyFont="1" applyFill="1" applyBorder="1" applyAlignment="1"/>
    <xf numFmtId="0" fontId="55" fillId="0" borderId="45" xfId="0" applyFont="1" applyFill="1" applyBorder="1" applyAlignment="1">
      <alignment wrapText="1"/>
    </xf>
    <xf numFmtId="3" fontId="56" fillId="0" borderId="45" xfId="0" applyNumberFormat="1" applyFont="1" applyFill="1" applyBorder="1" applyAlignment="1"/>
    <xf numFmtId="0" fontId="56" fillId="0" borderId="46" xfId="0" applyFont="1" applyFill="1" applyBorder="1" applyAlignment="1"/>
    <xf numFmtId="0" fontId="56" fillId="0" borderId="1" xfId="0" applyFont="1" applyFill="1" applyBorder="1" applyAlignment="1"/>
    <xf numFmtId="0" fontId="56" fillId="0" borderId="0" xfId="0" applyFont="1" applyFill="1" applyBorder="1" applyAlignment="1"/>
    <xf numFmtId="0" fontId="55" fillId="0" borderId="47" xfId="0" applyFont="1" applyFill="1" applyBorder="1" applyAlignment="1"/>
    <xf numFmtId="0" fontId="55" fillId="0" borderId="1" xfId="0" applyFont="1" applyFill="1" applyBorder="1" applyAlignment="1">
      <alignment wrapText="1"/>
    </xf>
    <xf numFmtId="3" fontId="55" fillId="0" borderId="1" xfId="0" applyNumberFormat="1" applyFont="1" applyFill="1" applyBorder="1" applyAlignment="1"/>
    <xf numFmtId="0" fontId="55" fillId="0" borderId="48" xfId="0" applyFont="1" applyFill="1" applyBorder="1" applyAlignment="1">
      <alignment wrapText="1"/>
    </xf>
    <xf numFmtId="3" fontId="55" fillId="0" borderId="48" xfId="0" applyNumberFormat="1" applyFont="1" applyFill="1" applyBorder="1" applyAlignment="1"/>
    <xf numFmtId="0" fontId="56" fillId="0" borderId="45" xfId="0" applyFont="1" applyFill="1" applyBorder="1" applyAlignment="1"/>
    <xf numFmtId="3" fontId="56" fillId="0" borderId="1" xfId="0" applyNumberFormat="1" applyFont="1" applyFill="1" applyBorder="1" applyAlignment="1"/>
    <xf numFmtId="3" fontId="55" fillId="0" borderId="0" xfId="73" applyNumberFormat="1" applyFont="1" applyFill="1"/>
    <xf numFmtId="3" fontId="47" fillId="0" borderId="0" xfId="63" applyNumberFormat="1" applyFont="1" applyFill="1"/>
    <xf numFmtId="0" fontId="66" fillId="0" borderId="0" xfId="132" applyFont="1" applyAlignment="1">
      <alignment horizontal="center" vertical="center"/>
    </xf>
    <xf numFmtId="3" fontId="66" fillId="0" borderId="0" xfId="132" applyNumberFormat="1" applyFont="1" applyAlignment="1">
      <alignment horizontal="center" vertical="center"/>
    </xf>
    <xf numFmtId="0" fontId="66" fillId="0" borderId="0" xfId="132" applyFont="1" applyAlignment="1">
      <alignment horizontal="center" vertical="center" wrapText="1"/>
    </xf>
    <xf numFmtId="0" fontId="75" fillId="0" borderId="0" xfId="132" applyFont="1" applyAlignment="1">
      <alignment vertical="center"/>
    </xf>
    <xf numFmtId="3" fontId="75" fillId="0" borderId="1" xfId="132" applyNumberFormat="1" applyFont="1" applyBorder="1" applyAlignment="1">
      <alignment vertical="center"/>
    </xf>
    <xf numFmtId="0" fontId="75" fillId="0" borderId="1" xfId="132" applyFont="1" applyBorder="1" applyAlignment="1">
      <alignment vertical="center"/>
    </xf>
    <xf numFmtId="0" fontId="75" fillId="0" borderId="1" xfId="132" applyFont="1" applyBorder="1" applyAlignment="1">
      <alignment vertical="center" wrapText="1"/>
    </xf>
    <xf numFmtId="0" fontId="75" fillId="0" borderId="0" xfId="132" applyFont="1" applyAlignment="1">
      <alignment horizontal="center" vertical="center"/>
    </xf>
    <xf numFmtId="3" fontId="35" fillId="0" borderId="1" xfId="132" applyNumberFormat="1" applyFont="1" applyFill="1" applyBorder="1" applyAlignment="1">
      <alignment horizontal="right" vertical="center"/>
    </xf>
    <xf numFmtId="0" fontId="35" fillId="0" borderId="1" xfId="132" applyFont="1" applyFill="1" applyBorder="1" applyAlignment="1">
      <alignment horizontal="right" vertical="center"/>
    </xf>
    <xf numFmtId="0" fontId="35" fillId="0" borderId="1" xfId="132" applyFont="1" applyFill="1" applyBorder="1" applyAlignment="1">
      <alignment vertical="center" wrapText="1"/>
    </xf>
    <xf numFmtId="3" fontId="47" fillId="0" borderId="1" xfId="132" applyNumberFormat="1" applyFont="1" applyFill="1" applyBorder="1" applyAlignment="1">
      <alignment horizontal="right" vertical="center"/>
    </xf>
    <xf numFmtId="0" fontId="47" fillId="0" borderId="1" xfId="132" applyFont="1" applyFill="1" applyBorder="1" applyAlignment="1">
      <alignment horizontal="right" vertical="center"/>
    </xf>
    <xf numFmtId="0" fontId="47" fillId="0" borderId="1" xfId="132" applyFont="1" applyFill="1" applyBorder="1" applyAlignment="1">
      <alignment horizontal="left" vertical="center" wrapText="1"/>
    </xf>
    <xf numFmtId="0" fontId="35" fillId="0" borderId="1" xfId="132" applyFont="1" applyFill="1" applyBorder="1" applyAlignment="1">
      <alignment horizontal="left" vertical="center" wrapText="1"/>
    </xf>
    <xf numFmtId="0" fontId="47" fillId="0" borderId="1" xfId="132" applyFont="1" applyFill="1" applyBorder="1" applyAlignment="1">
      <alignment horizontal="center" vertical="center"/>
    </xf>
    <xf numFmtId="0" fontId="35" fillId="0" borderId="0" xfId="132" applyFont="1" applyAlignment="1">
      <alignment horizontal="center" vertical="center"/>
    </xf>
    <xf numFmtId="3" fontId="47" fillId="0" borderId="1" xfId="132" applyNumberFormat="1" applyFont="1" applyFill="1" applyBorder="1" applyAlignment="1">
      <alignment vertical="center"/>
    </xf>
    <xf numFmtId="0" fontId="47" fillId="0" borderId="1" xfId="132" applyFont="1" applyFill="1" applyBorder="1" applyAlignment="1">
      <alignment vertical="center"/>
    </xf>
    <xf numFmtId="0" fontId="47" fillId="0" borderId="1" xfId="132" applyFont="1" applyFill="1" applyBorder="1" applyAlignment="1">
      <alignment vertical="center" wrapText="1"/>
    </xf>
    <xf numFmtId="3" fontId="47" fillId="0" borderId="1" xfId="132" applyNumberFormat="1" applyFont="1" applyFill="1" applyBorder="1" applyAlignment="1">
      <alignment horizontal="center" vertical="center"/>
    </xf>
    <xf numFmtId="0" fontId="47" fillId="0" borderId="1" xfId="132" applyFont="1" applyFill="1" applyBorder="1" applyAlignment="1" applyProtection="1">
      <alignment horizontal="center" vertical="center"/>
    </xf>
    <xf numFmtId="0" fontId="47" fillId="0" borderId="1" xfId="132" applyFont="1" applyFill="1" applyBorder="1" applyAlignment="1" applyProtection="1">
      <alignment horizontal="center" vertical="center" wrapText="1"/>
    </xf>
    <xf numFmtId="3" fontId="35" fillId="0" borderId="1" xfId="132" applyNumberFormat="1" applyFont="1" applyFill="1" applyBorder="1" applyAlignment="1" applyProtection="1">
      <alignment horizontal="center" vertical="center"/>
      <protection locked="0"/>
    </xf>
    <xf numFmtId="0" fontId="77" fillId="0" borderId="1" xfId="132" applyFont="1" applyFill="1" applyBorder="1" applyAlignment="1">
      <alignment horizontal="right" vertical="center"/>
    </xf>
    <xf numFmtId="0" fontId="35" fillId="0" borderId="1" xfId="132" applyNumberFormat="1" applyFont="1" applyFill="1" applyBorder="1" applyAlignment="1">
      <alignment horizontal="center" vertical="center" wrapText="1"/>
    </xf>
    <xf numFmtId="3" fontId="47" fillId="0" borderId="1" xfId="132" applyNumberFormat="1" applyFont="1" applyFill="1" applyBorder="1" applyAlignment="1">
      <alignment horizontal="center" vertical="center" wrapText="1"/>
    </xf>
    <xf numFmtId="0" fontId="47" fillId="0" borderId="1" xfId="132" applyFont="1" applyFill="1" applyBorder="1" applyAlignment="1">
      <alignment horizontal="center" vertical="center" wrapText="1"/>
    </xf>
    <xf numFmtId="3" fontId="35" fillId="0" borderId="1" xfId="132" applyNumberFormat="1" applyFont="1" applyFill="1" applyBorder="1" applyAlignment="1">
      <alignment horizontal="center" vertical="center" wrapText="1"/>
    </xf>
    <xf numFmtId="0" fontId="35" fillId="0" borderId="1" xfId="132" applyFont="1" applyFill="1" applyBorder="1" applyAlignment="1">
      <alignment horizontal="center" vertical="center" wrapText="1"/>
    </xf>
    <xf numFmtId="3" fontId="66" fillId="0" borderId="0" xfId="132" applyNumberFormat="1" applyFont="1" applyFill="1" applyAlignment="1">
      <alignment horizontal="center" vertical="center"/>
    </xf>
    <xf numFmtId="3" fontId="66" fillId="0" borderId="0" xfId="132" applyNumberFormat="1" applyFont="1" applyFill="1" applyAlignment="1">
      <alignment horizontal="center" vertical="center" wrapText="1"/>
    </xf>
    <xf numFmtId="3" fontId="75" fillId="0" borderId="0" xfId="132" applyNumberFormat="1" applyFont="1" applyFill="1" applyAlignment="1">
      <alignment horizontal="center" vertical="center"/>
    </xf>
    <xf numFmtId="3" fontId="75" fillId="0" borderId="1" xfId="132" applyNumberFormat="1" applyFont="1" applyFill="1" applyBorder="1" applyAlignment="1">
      <alignment horizontal="right" vertical="center"/>
    </xf>
    <xf numFmtId="3" fontId="75" fillId="0" borderId="1" xfId="132" applyNumberFormat="1" applyFont="1" applyFill="1" applyBorder="1" applyAlignment="1">
      <alignment vertical="center" wrapText="1"/>
    </xf>
    <xf numFmtId="3" fontId="66" fillId="0" borderId="1" xfId="132" applyNumberFormat="1" applyFont="1" applyFill="1" applyBorder="1" applyAlignment="1">
      <alignment horizontal="right" vertical="center"/>
    </xf>
    <xf numFmtId="3" fontId="66" fillId="0" borderId="1" xfId="132" applyNumberFormat="1" applyFont="1" applyFill="1" applyBorder="1" applyAlignment="1">
      <alignment horizontal="left" vertical="center" wrapText="1"/>
    </xf>
    <xf numFmtId="3" fontId="66" fillId="0" borderId="1" xfId="132" applyNumberFormat="1" applyFont="1" applyFill="1" applyBorder="1" applyAlignment="1">
      <alignment horizontal="center" vertical="center"/>
    </xf>
    <xf numFmtId="3" fontId="75" fillId="0" borderId="1" xfId="132" applyNumberFormat="1" applyFont="1" applyFill="1" applyBorder="1" applyAlignment="1">
      <alignment vertical="center"/>
    </xf>
    <xf numFmtId="3" fontId="75" fillId="0" borderId="1" xfId="132" applyNumberFormat="1" applyFont="1" applyFill="1" applyBorder="1" applyAlignment="1">
      <alignment horizontal="center" vertical="center" wrapText="1"/>
    </xf>
    <xf numFmtId="3" fontId="66" fillId="0" borderId="1" xfId="132" applyNumberFormat="1" applyFont="1" applyFill="1" applyBorder="1" applyAlignment="1">
      <alignment horizontal="center" vertical="center" wrapText="1"/>
    </xf>
    <xf numFmtId="3" fontId="75" fillId="0" borderId="0" xfId="132" applyNumberFormat="1" applyFont="1" applyAlignment="1">
      <alignment horizontal="center" vertical="center"/>
    </xf>
    <xf numFmtId="3" fontId="58" fillId="0" borderId="0" xfId="73" applyNumberFormat="1" applyFont="1" applyAlignment="1">
      <alignment horizontal="center"/>
    </xf>
    <xf numFmtId="3" fontId="58" fillId="0" borderId="0" xfId="73" applyNumberFormat="1" applyFont="1" applyAlignment="1">
      <alignment horizontal="center" wrapText="1"/>
    </xf>
    <xf numFmtId="3" fontId="59" fillId="0" borderId="0" xfId="73" applyNumberFormat="1" applyFont="1" applyAlignment="1">
      <alignment wrapText="1"/>
    </xf>
    <xf numFmtId="3" fontId="66" fillId="0" borderId="0" xfId="132" applyNumberFormat="1" applyFont="1" applyAlignment="1">
      <alignment horizontal="center" vertical="center" wrapText="1"/>
    </xf>
    <xf numFmtId="49" fontId="56" fillId="27" borderId="0" xfId="135" applyNumberFormat="1" applyFont="1" applyFill="1" applyAlignment="1">
      <alignment wrapText="1"/>
    </xf>
    <xf numFmtId="0" fontId="56" fillId="27" borderId="0" xfId="135" applyFont="1" applyFill="1" applyAlignment="1">
      <alignment wrapText="1"/>
    </xf>
    <xf numFmtId="0" fontId="55" fillId="27" borderId="0" xfId="135" applyFont="1" applyFill="1" applyAlignment="1"/>
    <xf numFmtId="0" fontId="55" fillId="27" borderId="0" xfId="135" applyFont="1" applyFill="1" applyAlignment="1">
      <alignment wrapText="1"/>
    </xf>
    <xf numFmtId="0" fontId="56" fillId="27" borderId="0" xfId="135" applyFont="1" applyFill="1" applyAlignment="1"/>
    <xf numFmtId="0" fontId="56" fillId="27" borderId="0" xfId="135" applyFont="1" applyFill="1" applyAlignment="1">
      <alignment horizontal="centerContinuous" wrapText="1"/>
    </xf>
    <xf numFmtId="0" fontId="55" fillId="27" borderId="0" xfId="135" applyFont="1" applyFill="1" applyBorder="1" applyAlignment="1">
      <alignment horizontal="centerContinuous"/>
    </xf>
    <xf numFmtId="0" fontId="55" fillId="27" borderId="0" xfId="135" applyFont="1" applyFill="1" applyBorder="1"/>
    <xf numFmtId="0" fontId="56" fillId="27" borderId="0" xfId="135" applyFont="1" applyFill="1" applyBorder="1" applyAlignment="1">
      <alignment horizontal="centerContinuous" wrapText="1"/>
    </xf>
    <xf numFmtId="0" fontId="55" fillId="27" borderId="0" xfId="135" applyFont="1" applyFill="1" applyBorder="1" applyAlignment="1">
      <alignment wrapText="1"/>
    </xf>
    <xf numFmtId="49" fontId="56" fillId="27" borderId="1" xfId="135" applyNumberFormat="1" applyFont="1" applyFill="1" applyBorder="1" applyAlignment="1" applyProtection="1">
      <alignment horizontal="center" vertical="center" wrapText="1"/>
      <protection locked="0"/>
    </xf>
    <xf numFmtId="1" fontId="69" fillId="27" borderId="1" xfId="135" applyNumberFormat="1" applyFont="1" applyFill="1" applyBorder="1" applyAlignment="1" applyProtection="1">
      <alignment horizontal="center" vertical="center"/>
    </xf>
    <xf numFmtId="0" fontId="56" fillId="27" borderId="1" xfId="135" applyFont="1" applyFill="1" applyBorder="1" applyAlignment="1" applyProtection="1">
      <alignment horizontal="center" vertical="center"/>
    </xf>
    <xf numFmtId="0" fontId="56" fillId="27" borderId="1" xfId="135" applyFont="1" applyFill="1" applyBorder="1" applyAlignment="1" applyProtection="1">
      <alignment horizontal="center" vertical="center" wrapText="1"/>
    </xf>
    <xf numFmtId="0" fontId="55" fillId="27" borderId="0" xfId="135" applyFont="1" applyFill="1" applyAlignment="1" applyProtection="1"/>
    <xf numFmtId="49" fontId="92" fillId="27" borderId="1" xfId="135" applyNumberFormat="1" applyFont="1" applyFill="1" applyBorder="1" applyAlignment="1" applyProtection="1">
      <alignment vertical="center" wrapText="1"/>
    </xf>
    <xf numFmtId="49" fontId="56" fillId="27" borderId="1" xfId="135" applyNumberFormat="1" applyFont="1" applyFill="1" applyBorder="1" applyAlignment="1" applyProtection="1">
      <alignment vertical="center" wrapText="1"/>
    </xf>
    <xf numFmtId="0" fontId="92" fillId="27" borderId="1" xfId="135" applyFont="1" applyFill="1" applyBorder="1" applyAlignment="1" applyProtection="1">
      <alignment vertical="justify" wrapText="1"/>
      <protection hidden="1"/>
    </xf>
    <xf numFmtId="1" fontId="92" fillId="27" borderId="1" xfId="135" applyNumberFormat="1" applyFont="1" applyFill="1" applyBorder="1" applyAlignment="1" applyProtection="1">
      <alignment vertical="top" wrapText="1"/>
    </xf>
    <xf numFmtId="49" fontId="92" fillId="27" borderId="1" xfId="135" applyNumberFormat="1" applyFont="1" applyFill="1" applyBorder="1" applyAlignment="1" applyProtection="1">
      <alignment vertical="center" wrapText="1"/>
      <protection hidden="1"/>
    </xf>
    <xf numFmtId="3" fontId="55" fillId="27" borderId="1" xfId="135" applyNumberFormat="1" applyFont="1" applyFill="1" applyBorder="1" applyAlignment="1" applyProtection="1">
      <alignment wrapText="1"/>
      <protection hidden="1"/>
    </xf>
    <xf numFmtId="1" fontId="56" fillId="27" borderId="1" xfId="135" applyNumberFormat="1" applyFont="1" applyFill="1" applyBorder="1" applyAlignment="1" applyProtection="1">
      <alignment vertical="top" wrapText="1"/>
    </xf>
    <xf numFmtId="49" fontId="69" fillId="27" borderId="1" xfId="135" applyNumberFormat="1" applyFont="1" applyFill="1" applyBorder="1" applyAlignment="1" applyProtection="1">
      <alignment vertical="center" wrapText="1"/>
      <protection hidden="1"/>
    </xf>
    <xf numFmtId="3" fontId="69" fillId="27" borderId="1" xfId="135" applyNumberFormat="1" applyFont="1" applyFill="1" applyBorder="1" applyAlignment="1" applyProtection="1">
      <alignment wrapText="1"/>
      <protection hidden="1"/>
    </xf>
    <xf numFmtId="3" fontId="56" fillId="27" borderId="1" xfId="135" applyNumberFormat="1" applyFont="1" applyFill="1" applyBorder="1" applyAlignment="1" applyProtection="1">
      <alignment wrapText="1"/>
      <protection hidden="1"/>
    </xf>
    <xf numFmtId="1" fontId="55" fillId="27" borderId="1" xfId="135" applyNumberFormat="1" applyFont="1" applyFill="1" applyBorder="1" applyAlignment="1" applyProtection="1">
      <alignment vertical="top" wrapText="1"/>
    </xf>
    <xf numFmtId="49" fontId="55" fillId="27" borderId="1" xfId="135" applyNumberFormat="1" applyFont="1" applyFill="1" applyBorder="1" applyAlignment="1" applyProtection="1">
      <alignment vertical="center" wrapText="1"/>
    </xf>
    <xf numFmtId="3" fontId="70" fillId="27" borderId="1" xfId="135" applyNumberFormat="1" applyFont="1" applyFill="1" applyBorder="1" applyAlignment="1" applyProtection="1">
      <alignment wrapText="1"/>
      <protection hidden="1"/>
    </xf>
    <xf numFmtId="3" fontId="92" fillId="27" borderId="1" xfId="135" applyNumberFormat="1" applyFont="1" applyFill="1" applyBorder="1" applyAlignment="1" applyProtection="1">
      <alignment wrapText="1"/>
      <protection hidden="1"/>
    </xf>
    <xf numFmtId="1" fontId="92" fillId="27" borderId="1" xfId="135" applyNumberFormat="1" applyFont="1" applyFill="1" applyBorder="1" applyAlignment="1" applyProtection="1">
      <alignment vertical="top" wrapText="1"/>
      <protection hidden="1"/>
    </xf>
    <xf numFmtId="49" fontId="93" fillId="27" borderId="1" xfId="135" applyNumberFormat="1" applyFont="1" applyFill="1" applyBorder="1" applyAlignment="1" applyProtection="1">
      <alignment vertical="center" wrapText="1"/>
    </xf>
    <xf numFmtId="0" fontId="92" fillId="27" borderId="0" xfId="135" applyFont="1" applyFill="1" applyAlignment="1"/>
    <xf numFmtId="49" fontId="70" fillId="27" borderId="1" xfId="135" applyNumberFormat="1" applyFont="1" applyFill="1" applyBorder="1" applyAlignment="1" applyProtection="1">
      <alignment vertical="center" wrapText="1"/>
    </xf>
    <xf numFmtId="0" fontId="93" fillId="27" borderId="0" xfId="135" applyFont="1" applyFill="1" applyAlignment="1" applyProtection="1"/>
    <xf numFmtId="1" fontId="69" fillId="27" borderId="1" xfId="135" applyNumberFormat="1" applyFont="1" applyFill="1" applyBorder="1" applyAlignment="1" applyProtection="1">
      <alignment vertical="top" wrapText="1"/>
    </xf>
    <xf numFmtId="49" fontId="69" fillId="27" borderId="1" xfId="135" applyNumberFormat="1" applyFont="1" applyFill="1" applyBorder="1" applyAlignment="1" applyProtection="1">
      <alignment vertical="center" wrapText="1"/>
    </xf>
    <xf numFmtId="3" fontId="93" fillId="27" borderId="1" xfId="135" applyNumberFormat="1" applyFont="1" applyFill="1" applyBorder="1" applyAlignment="1" applyProtection="1">
      <alignment wrapText="1"/>
      <protection hidden="1"/>
    </xf>
    <xf numFmtId="0" fontId="56" fillId="27" borderId="0" xfId="135" applyFont="1" applyFill="1" applyAlignment="1" applyProtection="1"/>
    <xf numFmtId="1" fontId="70" fillId="27" borderId="1" xfId="135" applyNumberFormat="1" applyFont="1" applyFill="1" applyBorder="1" applyAlignment="1" applyProtection="1">
      <alignment vertical="top" wrapText="1"/>
    </xf>
    <xf numFmtId="1" fontId="69" fillId="27" borderId="1" xfId="135" applyNumberFormat="1" applyFont="1" applyFill="1" applyBorder="1" applyAlignment="1" applyProtection="1">
      <alignment vertical="top" wrapText="1"/>
      <protection hidden="1"/>
    </xf>
    <xf numFmtId="1" fontId="55" fillId="27" borderId="1" xfId="135" applyNumberFormat="1" applyFont="1" applyFill="1" applyBorder="1" applyAlignment="1" applyProtection="1">
      <alignment vertical="top" wrapText="1"/>
      <protection hidden="1"/>
    </xf>
    <xf numFmtId="49" fontId="55" fillId="27" borderId="1" xfId="135" applyNumberFormat="1" applyFont="1" applyFill="1" applyBorder="1" applyAlignment="1" applyProtection="1">
      <alignment vertical="center" wrapText="1"/>
      <protection hidden="1"/>
    </xf>
    <xf numFmtId="3" fontId="94" fillId="27" borderId="1" xfId="135" applyNumberFormat="1" applyFont="1" applyFill="1" applyBorder="1" applyAlignment="1" applyProtection="1">
      <alignment wrapText="1"/>
      <protection hidden="1"/>
    </xf>
    <xf numFmtId="49" fontId="92" fillId="27" borderId="1" xfId="135" applyNumberFormat="1" applyFont="1" applyFill="1" applyBorder="1" applyAlignment="1" applyProtection="1">
      <alignment vertical="top" wrapText="1"/>
    </xf>
    <xf numFmtId="49" fontId="95" fillId="27" borderId="1" xfId="135" applyNumberFormat="1" applyFont="1" applyFill="1" applyBorder="1" applyAlignment="1" applyProtection="1">
      <alignment vertical="center" wrapText="1"/>
    </xf>
    <xf numFmtId="0" fontId="70" fillId="27" borderId="1" xfId="135" applyNumberFormat="1" applyFont="1" applyFill="1" applyBorder="1" applyAlignment="1" applyProtection="1">
      <alignment vertical="top" wrapText="1"/>
    </xf>
    <xf numFmtId="1" fontId="72" fillId="27" borderId="1" xfId="135" applyNumberFormat="1" applyFont="1" applyFill="1" applyBorder="1" applyAlignment="1" applyProtection="1">
      <alignment vertical="top" wrapText="1"/>
    </xf>
    <xf numFmtId="49" fontId="72" fillId="27" borderId="1" xfId="135" applyNumberFormat="1" applyFont="1" applyFill="1" applyBorder="1" applyAlignment="1" applyProtection="1">
      <alignment vertical="center" wrapText="1"/>
    </xf>
    <xf numFmtId="3" fontId="72" fillId="27" borderId="1" xfId="135" applyNumberFormat="1" applyFont="1" applyFill="1" applyBorder="1" applyAlignment="1" applyProtection="1">
      <alignment wrapText="1"/>
      <protection hidden="1"/>
    </xf>
    <xf numFmtId="0" fontId="90" fillId="27" borderId="0" xfId="135" applyFont="1" applyFill="1" applyAlignment="1" applyProtection="1"/>
    <xf numFmtId="1" fontId="71" fillId="27" borderId="1" xfId="135" applyNumberFormat="1" applyFont="1" applyFill="1" applyBorder="1" applyAlignment="1" applyProtection="1">
      <alignment vertical="top" wrapText="1"/>
    </xf>
    <xf numFmtId="49" fontId="71" fillId="27" borderId="1" xfId="135" applyNumberFormat="1" applyFont="1" applyFill="1" applyBorder="1" applyAlignment="1" applyProtection="1">
      <alignment vertical="center" wrapText="1"/>
    </xf>
    <xf numFmtId="3" fontId="71" fillId="27" borderId="1" xfId="135" applyNumberFormat="1" applyFont="1" applyFill="1" applyBorder="1" applyAlignment="1" applyProtection="1">
      <alignment wrapText="1"/>
      <protection hidden="1"/>
    </xf>
    <xf numFmtId="0" fontId="89" fillId="27" borderId="0" xfId="135" applyFont="1" applyFill="1" applyAlignment="1" applyProtection="1"/>
    <xf numFmtId="0" fontId="55" fillId="27" borderId="0" xfId="135" applyFont="1" applyFill="1" applyBorder="1" applyAlignment="1" applyProtection="1"/>
    <xf numFmtId="1" fontId="69" fillId="27" borderId="1" xfId="135" applyNumberFormat="1" applyFont="1" applyFill="1" applyBorder="1" applyAlignment="1" applyProtection="1">
      <alignment wrapText="1"/>
    </xf>
    <xf numFmtId="0" fontId="56" fillId="27" borderId="0" xfId="135" applyFont="1" applyFill="1" applyAlignment="1">
      <alignment horizontal="right"/>
    </xf>
    <xf numFmtId="3" fontId="80" fillId="0" borderId="1" xfId="56" applyNumberFormat="1" applyFont="1" applyBorder="1" applyAlignment="1">
      <alignment vertical="justify"/>
    </xf>
    <xf numFmtId="0" fontId="59" fillId="0" borderId="0" xfId="0" applyFont="1" applyFill="1"/>
    <xf numFmtId="0" fontId="84" fillId="0" borderId="0" xfId="134" applyFont="1" applyAlignment="1">
      <alignment horizontal="right"/>
    </xf>
    <xf numFmtId="0" fontId="96" fillId="0" borderId="0" xfId="1" applyFont="1" applyFill="1" applyAlignment="1">
      <alignment horizontal="center"/>
    </xf>
    <xf numFmtId="0" fontId="96" fillId="0" borderId="0" xfId="1" applyFont="1" applyFill="1"/>
    <xf numFmtId="3" fontId="98" fillId="0" borderId="0" xfId="0" applyNumberFormat="1" applyFont="1"/>
    <xf numFmtId="0" fontId="99" fillId="0" borderId="0" xfId="1" applyFont="1" applyFill="1"/>
    <xf numFmtId="0" fontId="97" fillId="0" borderId="0" xfId="1" applyFont="1" applyFill="1" applyAlignment="1">
      <alignment horizontal="center"/>
    </xf>
    <xf numFmtId="0" fontId="100" fillId="0" borderId="0" xfId="45" applyFont="1" applyFill="1" applyBorder="1" applyAlignment="1">
      <alignment vertical="center" wrapText="1"/>
    </xf>
    <xf numFmtId="0" fontId="100" fillId="0" borderId="0" xfId="1" applyFont="1" applyFill="1" applyBorder="1" applyAlignment="1">
      <alignment vertical="center" wrapText="1"/>
    </xf>
    <xf numFmtId="3" fontId="99" fillId="0" borderId="0" xfId="0" applyNumberFormat="1" applyFont="1" applyFill="1"/>
    <xf numFmtId="0" fontId="101" fillId="0" borderId="0" xfId="45" applyFont="1" applyFill="1" applyAlignment="1"/>
    <xf numFmtId="0" fontId="100" fillId="0" borderId="0" xfId="45" applyFont="1" applyFill="1" applyAlignment="1"/>
    <xf numFmtId="3" fontId="101" fillId="0" borderId="0" xfId="0" applyNumberFormat="1" applyFont="1" applyFill="1" applyAlignment="1"/>
    <xf numFmtId="0" fontId="101" fillId="0" borderId="0" xfId="57" applyFont="1" applyFill="1"/>
    <xf numFmtId="0" fontId="100" fillId="0" borderId="0" xfId="57" applyFont="1" applyFill="1"/>
    <xf numFmtId="0" fontId="97" fillId="0" borderId="0" xfId="57" applyFont="1" applyFill="1" applyAlignment="1">
      <alignment horizontal="center"/>
    </xf>
    <xf numFmtId="0" fontId="100" fillId="0" borderId="0" xfId="57" applyFont="1" applyFill="1" applyAlignment="1">
      <alignment horizontal="center"/>
    </xf>
    <xf numFmtId="3" fontId="100" fillId="0" borderId="0" xfId="57" applyNumberFormat="1" applyFont="1" applyFill="1" applyAlignment="1">
      <alignment horizontal="center"/>
    </xf>
    <xf numFmtId="3" fontId="97" fillId="0" borderId="0" xfId="57" applyNumberFormat="1" applyFont="1" applyFill="1" applyAlignment="1">
      <alignment horizontal="center"/>
    </xf>
    <xf numFmtId="3" fontId="101" fillId="0" borderId="0" xfId="0" applyNumberFormat="1" applyFont="1" applyFill="1"/>
    <xf numFmtId="3" fontId="97" fillId="0" borderId="0" xfId="57" applyNumberFormat="1" applyFont="1" applyFill="1" applyBorder="1" applyAlignment="1">
      <alignment horizontal="center" wrapText="1"/>
    </xf>
    <xf numFmtId="0" fontId="97" fillId="0" borderId="1" xfId="57" applyFont="1" applyFill="1" applyBorder="1" applyAlignment="1">
      <alignment horizontal="center" wrapText="1"/>
    </xf>
    <xf numFmtId="3" fontId="102" fillId="0" borderId="0" xfId="0" applyNumberFormat="1" applyFont="1" applyFill="1" applyAlignment="1">
      <alignment horizontal="center" wrapText="1"/>
    </xf>
    <xf numFmtId="0" fontId="102" fillId="0" borderId="0" xfId="57" applyFont="1" applyFill="1" applyAlignment="1">
      <alignment horizontal="center" wrapText="1"/>
    </xf>
    <xf numFmtId="0" fontId="97" fillId="0" borderId="0" xfId="57" applyFont="1" applyFill="1" applyAlignment="1">
      <alignment horizontal="center" wrapText="1"/>
    </xf>
    <xf numFmtId="0" fontId="97" fillId="0" borderId="1" xfId="57" applyFont="1" applyFill="1" applyBorder="1" applyAlignment="1">
      <alignment horizontal="center"/>
    </xf>
    <xf numFmtId="0" fontId="97" fillId="0" borderId="1" xfId="57" applyFont="1" applyFill="1" applyBorder="1"/>
    <xf numFmtId="3" fontId="97" fillId="0" borderId="1" xfId="57" applyNumberFormat="1" applyFont="1" applyFill="1" applyBorder="1" applyAlignment="1">
      <alignment horizontal="center" wrapText="1"/>
    </xf>
    <xf numFmtId="3" fontId="102" fillId="0" borderId="0" xfId="0" applyNumberFormat="1" applyFont="1" applyFill="1"/>
    <xf numFmtId="0" fontId="102" fillId="0" borderId="0" xfId="57" applyFont="1" applyFill="1"/>
    <xf numFmtId="0" fontId="97" fillId="0" borderId="0" xfId="57" applyFont="1" applyFill="1"/>
    <xf numFmtId="0" fontId="100" fillId="0" borderId="1" xfId="57" applyFont="1" applyFill="1" applyBorder="1" applyAlignment="1">
      <alignment horizontal="center"/>
    </xf>
    <xf numFmtId="0" fontId="100" fillId="0" borderId="1" xfId="57" applyFont="1" applyFill="1" applyBorder="1"/>
    <xf numFmtId="3" fontId="100" fillId="0" borderId="1" xfId="57" applyNumberFormat="1" applyFont="1" applyFill="1" applyBorder="1"/>
    <xf numFmtId="0" fontId="97" fillId="0" borderId="1" xfId="57" applyFont="1" applyFill="1" applyBorder="1" applyAlignment="1">
      <alignment wrapText="1"/>
    </xf>
    <xf numFmtId="3" fontId="97" fillId="0" borderId="1" xfId="57" applyNumberFormat="1" applyFont="1" applyFill="1" applyBorder="1"/>
    <xf numFmtId="0" fontId="100" fillId="0" borderId="1" xfId="57" applyFont="1" applyFill="1" applyBorder="1" applyAlignment="1">
      <alignment wrapText="1"/>
    </xf>
    <xf numFmtId="3" fontId="101" fillId="0" borderId="0" xfId="57" applyNumberFormat="1" applyFont="1" applyFill="1"/>
    <xf numFmtId="164" fontId="97" fillId="0" borderId="1" xfId="57" applyNumberFormat="1" applyFont="1" applyFill="1" applyBorder="1"/>
    <xf numFmtId="3" fontId="100" fillId="0" borderId="0" xfId="57" applyNumberFormat="1" applyFont="1" applyFill="1"/>
    <xf numFmtId="4" fontId="100" fillId="0" borderId="0" xfId="57" applyNumberFormat="1" applyFont="1" applyFill="1"/>
    <xf numFmtId="0" fontId="97" fillId="0" borderId="0" xfId="0" applyFont="1" applyFill="1"/>
    <xf numFmtId="0" fontId="96" fillId="0" borderId="0" xfId="0" applyFont="1" applyFill="1"/>
    <xf numFmtId="0" fontId="100" fillId="0" borderId="0" xfId="46" applyFont="1" applyFill="1"/>
    <xf numFmtId="0" fontId="96" fillId="0" borderId="0" xfId="46" applyFont="1" applyFill="1"/>
    <xf numFmtId="0" fontId="100" fillId="0" borderId="0" xfId="45" applyFont="1" applyFill="1" applyBorder="1" applyAlignment="1"/>
    <xf numFmtId="0" fontId="100" fillId="0" borderId="0" xfId="0" applyFont="1" applyFill="1"/>
    <xf numFmtId="3" fontId="100" fillId="0" borderId="0" xfId="45" applyNumberFormat="1" applyFont="1" applyFill="1" applyBorder="1" applyAlignment="1"/>
    <xf numFmtId="0" fontId="101" fillId="0" borderId="0" xfId="46" applyFont="1" applyFill="1"/>
    <xf numFmtId="0" fontId="99" fillId="0" borderId="0" xfId="46" applyFont="1" applyFill="1"/>
    <xf numFmtId="0" fontId="96" fillId="0" borderId="0" xfId="45" applyFont="1" applyFill="1" applyAlignment="1"/>
    <xf numFmtId="0" fontId="96" fillId="0" borderId="0" xfId="45" applyFont="1" applyFill="1" applyBorder="1" applyAlignment="1">
      <alignment vertical="center" wrapText="1"/>
    </xf>
    <xf numFmtId="0" fontId="96" fillId="0" borderId="0" xfId="46" applyFont="1" applyFill="1" applyBorder="1" applyAlignment="1">
      <alignment vertical="center" wrapText="1"/>
    </xf>
    <xf numFmtId="3" fontId="99" fillId="0" borderId="0" xfId="0" applyNumberFormat="1" applyFont="1" applyFill="1" applyAlignment="1"/>
    <xf numFmtId="0" fontId="99" fillId="0" borderId="0" xfId="45" applyFont="1" applyFill="1" applyAlignment="1"/>
    <xf numFmtId="0" fontId="96" fillId="0" borderId="0" xfId="46" applyFont="1" applyFill="1" applyAlignment="1">
      <alignment horizontal="left"/>
    </xf>
    <xf numFmtId="0" fontId="100" fillId="0" borderId="0" xfId="46" applyFont="1" applyFill="1" applyAlignment="1"/>
    <xf numFmtId="0" fontId="101" fillId="0" borderId="0" xfId="46" applyFont="1" applyFill="1" applyAlignment="1"/>
    <xf numFmtId="0" fontId="100" fillId="0" borderId="0" xfId="46" applyFont="1" applyFill="1" applyAlignment="1">
      <alignment horizontal="left"/>
    </xf>
    <xf numFmtId="0" fontId="96" fillId="0" borderId="0" xfId="45" applyFont="1" applyFill="1" applyBorder="1" applyAlignment="1">
      <alignment vertical="center"/>
    </xf>
    <xf numFmtId="0" fontId="100" fillId="0" borderId="0" xfId="45" applyFont="1" applyFill="1" applyBorder="1" applyAlignment="1">
      <alignment vertical="center"/>
    </xf>
    <xf numFmtId="0" fontId="100" fillId="0" borderId="0" xfId="1" applyFont="1" applyFill="1" applyAlignment="1"/>
    <xf numFmtId="0" fontId="101" fillId="0" borderId="0" xfId="1" applyFont="1" applyFill="1" applyAlignment="1"/>
    <xf numFmtId="0" fontId="100" fillId="0" borderId="0" xfId="46" applyFont="1" applyFill="1" applyAlignment="1">
      <alignment horizontal="center"/>
    </xf>
    <xf numFmtId="0" fontId="100" fillId="0" borderId="0" xfId="1" applyFont="1" applyFill="1" applyAlignment="1">
      <alignment horizontal="center"/>
    </xf>
    <xf numFmtId="0" fontId="12" fillId="0" borderId="0" xfId="1"/>
    <xf numFmtId="0" fontId="103" fillId="0" borderId="0" xfId="1" applyFont="1"/>
    <xf numFmtId="0" fontId="103" fillId="0" borderId="0" xfId="1" applyFont="1" applyFill="1" applyAlignment="1">
      <alignment horizontal="right"/>
    </xf>
    <xf numFmtId="0" fontId="103" fillId="0" borderId="0" xfId="1" applyFont="1" applyAlignment="1"/>
    <xf numFmtId="0" fontId="12" fillId="0" borderId="1" xfId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68" fillId="0" borderId="1" xfId="1" applyFont="1" applyBorder="1"/>
    <xf numFmtId="49" fontId="104" fillId="0" borderId="1" xfId="1" applyNumberFormat="1" applyFont="1" applyFill="1" applyBorder="1" applyAlignment="1">
      <alignment wrapText="1"/>
    </xf>
    <xf numFmtId="0" fontId="12" fillId="0" borderId="16" xfId="1" applyFont="1" applyFill="1" applyBorder="1" applyAlignment="1">
      <alignment wrapText="1"/>
    </xf>
    <xf numFmtId="0" fontId="12" fillId="0" borderId="15" xfId="1" applyFont="1" applyFill="1" applyBorder="1"/>
    <xf numFmtId="0" fontId="12" fillId="0" borderId="1" xfId="1" applyBorder="1"/>
    <xf numFmtId="0" fontId="12" fillId="0" borderId="1" xfId="1" applyFont="1" applyFill="1" applyBorder="1" applyAlignment="1">
      <alignment horizontal="right"/>
    </xf>
    <xf numFmtId="0" fontId="12" fillId="0" borderId="1" xfId="1" applyFont="1" applyBorder="1"/>
    <xf numFmtId="49" fontId="68" fillId="0" borderId="1" xfId="1" applyNumberFormat="1" applyFont="1" applyFill="1" applyBorder="1" applyAlignment="1">
      <alignment wrapText="1"/>
    </xf>
    <xf numFmtId="0" fontId="68" fillId="0" borderId="16" xfId="1" applyFont="1" applyFill="1" applyBorder="1" applyAlignment="1">
      <alignment wrapText="1"/>
    </xf>
    <xf numFmtId="0" fontId="68" fillId="0" borderId="15" xfId="1" applyFont="1" applyFill="1" applyBorder="1"/>
    <xf numFmtId="0" fontId="12" fillId="0" borderId="1" xfId="1" applyFont="1" applyBorder="1" applyAlignment="1">
      <alignment horizontal="right"/>
    </xf>
    <xf numFmtId="3" fontId="12" fillId="0" borderId="1" xfId="1" applyNumberFormat="1" applyFont="1" applyBorder="1" applyAlignment="1">
      <alignment horizontal="right"/>
    </xf>
    <xf numFmtId="0" fontId="68" fillId="0" borderId="1" xfId="1" applyFont="1" applyBorder="1" applyAlignment="1">
      <alignment horizontal="right"/>
    </xf>
    <xf numFmtId="0" fontId="68" fillId="0" borderId="1" xfId="1" applyFont="1" applyFill="1" applyBorder="1" applyAlignment="1">
      <alignment horizontal="right"/>
    </xf>
    <xf numFmtId="0" fontId="104" fillId="0" borderId="16" xfId="1" applyFont="1" applyFill="1" applyBorder="1" applyAlignment="1">
      <alignment wrapText="1"/>
    </xf>
    <xf numFmtId="0" fontId="104" fillId="0" borderId="15" xfId="1" applyFont="1" applyFill="1" applyBorder="1"/>
    <xf numFmtId="0" fontId="12" fillId="0" borderId="1" xfId="1" applyFill="1" applyBorder="1" applyAlignment="1">
      <alignment horizontal="right"/>
    </xf>
    <xf numFmtId="0" fontId="12" fillId="0" borderId="1" xfId="1" applyBorder="1" applyAlignment="1">
      <alignment horizontal="right"/>
    </xf>
    <xf numFmtId="0" fontId="68" fillId="0" borderId="0" xfId="1" applyFont="1" applyBorder="1"/>
    <xf numFmtId="3" fontId="12" fillId="0" borderId="25" xfId="1" applyNumberFormat="1" applyBorder="1"/>
    <xf numFmtId="0" fontId="12" fillId="0" borderId="0" xfId="1" applyBorder="1"/>
    <xf numFmtId="0" fontId="12" fillId="0" borderId="0" xfId="1" applyBorder="1" applyAlignment="1">
      <alignment horizontal="center" vertical="center" wrapText="1"/>
    </xf>
    <xf numFmtId="3" fontId="12" fillId="0" borderId="5" xfId="1" applyNumberFormat="1" applyBorder="1"/>
    <xf numFmtId="3" fontId="12" fillId="0" borderId="1" xfId="1" applyNumberFormat="1" applyBorder="1"/>
    <xf numFmtId="3" fontId="12" fillId="0" borderId="0" xfId="1" applyNumberFormat="1" applyBorder="1" applyAlignment="1">
      <alignment wrapText="1"/>
    </xf>
    <xf numFmtId="3" fontId="12" fillId="0" borderId="25" xfId="1" applyNumberFormat="1" applyBorder="1" applyAlignment="1">
      <alignment wrapText="1"/>
    </xf>
    <xf numFmtId="0" fontId="12" fillId="0" borderId="0" xfId="1" applyBorder="1" applyAlignment="1">
      <alignment horizontal="left" wrapText="1"/>
    </xf>
    <xf numFmtId="0" fontId="12" fillId="0" borderId="0" xfId="1" applyFont="1"/>
    <xf numFmtId="0" fontId="12" fillId="0" borderId="0" xfId="1" applyFont="1" applyAlignment="1">
      <alignment horizontal="left"/>
    </xf>
    <xf numFmtId="0" fontId="12" fillId="0" borderId="0" xfId="1" applyAlignment="1">
      <alignment horizontal="left" wrapText="1"/>
    </xf>
    <xf numFmtId="0" fontId="12" fillId="0" borderId="0" xfId="1" applyFont="1" applyAlignment="1">
      <alignment horizontal="left" wrapText="1"/>
    </xf>
    <xf numFmtId="0" fontId="12" fillId="0" borderId="0" xfId="1" applyAlignment="1">
      <alignment horizontal="left"/>
    </xf>
    <xf numFmtId="3" fontId="58" fillId="0" borderId="0" xfId="73" applyNumberFormat="1" applyFont="1" applyAlignment="1">
      <alignment horizontal="center"/>
    </xf>
    <xf numFmtId="0" fontId="75" fillId="0" borderId="0" xfId="129" applyFont="1" applyFill="1" applyAlignment="1">
      <alignment horizontal="center"/>
    </xf>
    <xf numFmtId="0" fontId="71" fillId="0" borderId="0" xfId="129" applyFont="1" applyFill="1" applyAlignment="1">
      <alignment horizontal="center"/>
    </xf>
    <xf numFmtId="0" fontId="58" fillId="0" borderId="0" xfId="134" applyFont="1" applyAlignment="1">
      <alignment horizontal="center" wrapText="1"/>
    </xf>
    <xf numFmtId="0" fontId="35" fillId="0" borderId="1" xfId="63" applyFont="1" applyFill="1" applyBorder="1" applyAlignment="1">
      <alignment horizontal="center"/>
    </xf>
    <xf numFmtId="0" fontId="35" fillId="0" borderId="2" xfId="63" applyFont="1" applyFill="1" applyBorder="1" applyAlignment="1">
      <alignment horizontal="center" vertical="center" wrapText="1"/>
    </xf>
    <xf numFmtId="0" fontId="35" fillId="0" borderId="4" xfId="63" applyFont="1" applyFill="1" applyBorder="1" applyAlignment="1">
      <alignment horizontal="center" vertical="center" wrapText="1"/>
    </xf>
    <xf numFmtId="0" fontId="35" fillId="0" borderId="5" xfId="63" applyFont="1" applyFill="1" applyBorder="1" applyAlignment="1">
      <alignment horizontal="center" vertical="center" wrapText="1"/>
    </xf>
    <xf numFmtId="0" fontId="35" fillId="0" borderId="1" xfId="63" applyFont="1" applyFill="1" applyBorder="1" applyAlignment="1">
      <alignment horizontal="center" vertical="top" wrapText="1"/>
    </xf>
    <xf numFmtId="0" fontId="35" fillId="0" borderId="16" xfId="63" applyFont="1" applyFill="1" applyBorder="1" applyAlignment="1">
      <alignment horizontal="center"/>
    </xf>
    <xf numFmtId="0" fontId="35" fillId="0" borderId="34" xfId="63" applyFont="1" applyFill="1" applyBorder="1" applyAlignment="1">
      <alignment horizontal="center"/>
    </xf>
    <xf numFmtId="0" fontId="35" fillId="0" borderId="15" xfId="63" applyFont="1" applyFill="1" applyBorder="1" applyAlignment="1">
      <alignment horizontal="center"/>
    </xf>
    <xf numFmtId="0" fontId="35" fillId="0" borderId="1" xfId="63" applyFont="1" applyFill="1" applyBorder="1" applyAlignment="1">
      <alignment horizontal="center" vertical="center" wrapText="1"/>
    </xf>
    <xf numFmtId="0" fontId="78" fillId="0" borderId="0" xfId="0" applyFont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16" xfId="50" applyFont="1" applyFill="1" applyBorder="1" applyAlignment="1" applyProtection="1">
      <alignment horizontal="left" vertical="center" wrapText="1"/>
    </xf>
    <xf numFmtId="0" fontId="35" fillId="0" borderId="34" xfId="50" applyFont="1" applyFill="1" applyBorder="1" applyAlignment="1" applyProtection="1">
      <alignment horizontal="left" vertical="center" wrapText="1"/>
    </xf>
    <xf numFmtId="0" fontId="35" fillId="0" borderId="15" xfId="50" applyFont="1" applyFill="1" applyBorder="1" applyAlignment="1" applyProtection="1">
      <alignment horizontal="left" vertical="center" wrapText="1"/>
    </xf>
    <xf numFmtId="0" fontId="35" fillId="0" borderId="1" xfId="52" applyFont="1" applyFill="1" applyBorder="1" applyAlignment="1" applyProtection="1">
      <alignment wrapText="1"/>
      <protection locked="0"/>
    </xf>
    <xf numFmtId="0" fontId="35" fillId="0" borderId="16" xfId="52" applyFont="1" applyFill="1" applyBorder="1" applyAlignment="1" applyProtection="1">
      <alignment horizontal="left" wrapText="1"/>
      <protection locked="0"/>
    </xf>
    <xf numFmtId="0" fontId="60" fillId="0" borderId="15" xfId="52" applyFont="1" applyFill="1" applyBorder="1" applyAlignment="1" applyProtection="1">
      <alignment horizontal="left" wrapText="1"/>
      <protection locked="0"/>
    </xf>
    <xf numFmtId="0" fontId="35" fillId="0" borderId="0" xfId="52" applyFont="1" applyFill="1" applyAlignment="1" applyProtection="1">
      <alignment horizontal="center"/>
      <protection locked="0"/>
    </xf>
    <xf numFmtId="0" fontId="35" fillId="0" borderId="16" xfId="52" applyFont="1" applyFill="1" applyBorder="1" applyAlignment="1" applyProtection="1">
      <alignment horizontal="center" wrapText="1"/>
      <protection locked="0"/>
    </xf>
    <xf numFmtId="0" fontId="35" fillId="0" borderId="34" xfId="52" applyFont="1" applyFill="1" applyBorder="1" applyAlignment="1" applyProtection="1">
      <alignment horizontal="center" wrapText="1"/>
      <protection locked="0"/>
    </xf>
    <xf numFmtId="0" fontId="35" fillId="0" borderId="15" xfId="52" applyFont="1" applyFill="1" applyBorder="1" applyAlignment="1" applyProtection="1">
      <alignment horizontal="center" wrapText="1"/>
      <protection locked="0"/>
    </xf>
    <xf numFmtId="0" fontId="35" fillId="0" borderId="1" xfId="52" applyFont="1" applyFill="1" applyBorder="1" applyAlignment="1" applyProtection="1">
      <alignment horizontal="center" vertical="center" wrapText="1"/>
      <protection locked="0"/>
    </xf>
    <xf numFmtId="0" fontId="47" fillId="0" borderId="2" xfId="52" applyFont="1" applyFill="1" applyBorder="1" applyAlignment="1" applyProtection="1">
      <alignment horizontal="center" vertical="center" wrapText="1"/>
      <protection locked="0"/>
    </xf>
    <xf numFmtId="0" fontId="47" fillId="0" borderId="5" xfId="52" applyFont="1" applyFill="1" applyBorder="1" applyAlignment="1" applyProtection="1">
      <alignment horizontal="center" vertical="center" wrapText="1"/>
      <protection locked="0"/>
    </xf>
    <xf numFmtId="0" fontId="97" fillId="0" borderId="0" xfId="1" applyFont="1" applyFill="1" applyAlignment="1">
      <alignment horizontal="center"/>
    </xf>
    <xf numFmtId="0" fontId="97" fillId="0" borderId="0" xfId="57" applyFont="1" applyFill="1" applyAlignment="1">
      <alignment horizontal="center"/>
    </xf>
    <xf numFmtId="167" fontId="97" fillId="0" borderId="16" xfId="57" applyNumberFormat="1" applyFont="1" applyFill="1" applyBorder="1" applyAlignment="1">
      <alignment horizontal="center" wrapText="1"/>
    </xf>
    <xf numFmtId="167" fontId="97" fillId="0" borderId="15" xfId="57" applyNumberFormat="1" applyFont="1" applyFill="1" applyBorder="1" applyAlignment="1">
      <alignment horizontal="center" wrapText="1"/>
    </xf>
    <xf numFmtId="0" fontId="35" fillId="0" borderId="0" xfId="53" applyFont="1" applyFill="1" applyAlignment="1">
      <alignment horizontal="center"/>
    </xf>
    <xf numFmtId="0" fontId="58" fillId="0" borderId="0" xfId="0" applyFont="1" applyAlignment="1">
      <alignment horizontal="center"/>
    </xf>
    <xf numFmtId="3" fontId="68" fillId="0" borderId="0" xfId="0" applyNumberFormat="1" applyFont="1" applyFill="1" applyBorder="1" applyAlignment="1">
      <alignment horizontal="right" vertical="center"/>
    </xf>
    <xf numFmtId="0" fontId="88" fillId="0" borderId="0" xfId="0" applyFont="1" applyFill="1" applyBorder="1" applyAlignment="1">
      <alignment horizontal="right" vertical="center"/>
    </xf>
    <xf numFmtId="0" fontId="35" fillId="0" borderId="0" xfId="1" applyFont="1" applyAlignment="1">
      <alignment horizontal="center"/>
    </xf>
    <xf numFmtId="0" fontId="35" fillId="0" borderId="17" xfId="1" applyFont="1" applyFill="1" applyBorder="1" applyAlignment="1">
      <alignment horizontal="center" wrapText="1"/>
    </xf>
    <xf numFmtId="0" fontId="35" fillId="0" borderId="21" xfId="1" applyFont="1" applyFill="1" applyBorder="1" applyAlignment="1">
      <alignment horizontal="center" wrapText="1"/>
    </xf>
    <xf numFmtId="0" fontId="35" fillId="0" borderId="18" xfId="1" applyFont="1" applyFill="1" applyBorder="1" applyAlignment="1">
      <alignment horizontal="center" wrapText="1"/>
    </xf>
    <xf numFmtId="0" fontId="35" fillId="0" borderId="19" xfId="1" applyFont="1" applyFill="1" applyBorder="1" applyAlignment="1">
      <alignment horizontal="center" wrapText="1"/>
    </xf>
    <xf numFmtId="0" fontId="79" fillId="0" borderId="0" xfId="128" applyNumberFormat="1" applyFont="1" applyBorder="1" applyAlignment="1">
      <alignment horizontal="center" vertical="center" wrapText="1"/>
    </xf>
    <xf numFmtId="0" fontId="36" fillId="0" borderId="0" xfId="128" applyNumberFormat="1" applyFont="1" applyBorder="1" applyAlignment="1">
      <alignment horizontal="left" vertical="center" wrapText="1"/>
    </xf>
    <xf numFmtId="0" fontId="36" fillId="0" borderId="0" xfId="128" applyNumberFormat="1" applyFont="1" applyBorder="1" applyAlignment="1">
      <alignment horizontal="center" vertical="center" wrapText="1"/>
    </xf>
    <xf numFmtId="0" fontId="41" fillId="25" borderId="0" xfId="128" applyNumberFormat="1" applyFont="1" applyFill="1" applyBorder="1" applyAlignment="1">
      <alignment horizontal="center" vertical="center" wrapText="1"/>
    </xf>
    <xf numFmtId="0" fontId="43" fillId="0" borderId="32" xfId="128" applyNumberFormat="1" applyFont="1" applyBorder="1" applyAlignment="1">
      <alignment horizontal="left" vertical="center" wrapText="1"/>
    </xf>
    <xf numFmtId="0" fontId="53" fillId="0" borderId="0" xfId="128" applyNumberFormat="1" applyFont="1" applyBorder="1" applyAlignment="1">
      <alignment horizontal="left" vertical="center" wrapText="1"/>
    </xf>
    <xf numFmtId="0" fontId="35" fillId="0" borderId="16" xfId="64" applyFont="1" applyBorder="1"/>
    <xf numFmtId="0" fontId="35" fillId="0" borderId="15" xfId="64" applyFont="1" applyBorder="1"/>
    <xf numFmtId="0" fontId="35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47" fillId="0" borderId="0" xfId="0" applyFont="1" applyAlignment="1">
      <alignment horizontal="left"/>
    </xf>
    <xf numFmtId="0" fontId="35" fillId="0" borderId="0" xfId="0" applyFont="1" applyAlignment="1">
      <alignment horizontal="center" vertical="center"/>
    </xf>
    <xf numFmtId="0" fontId="12" fillId="0" borderId="16" xfId="1" applyBorder="1" applyAlignment="1">
      <alignment horizontal="left"/>
    </xf>
    <xf numFmtId="0" fontId="12" fillId="0" borderId="34" xfId="1" applyBorder="1" applyAlignment="1">
      <alignment horizontal="left"/>
    </xf>
    <xf numFmtId="0" fontId="12" fillId="0" borderId="16" xfId="1" applyFont="1" applyBorder="1" applyAlignment="1">
      <alignment horizontal="center" wrapText="1"/>
    </xf>
    <xf numFmtId="0" fontId="12" fillId="0" borderId="34" xfId="1" applyFont="1" applyBorder="1" applyAlignment="1">
      <alignment horizontal="center" wrapText="1"/>
    </xf>
    <xf numFmtId="0" fontId="103" fillId="0" borderId="0" xfId="1" applyFont="1" applyAlignment="1">
      <alignment horizontal="center" wrapText="1"/>
    </xf>
  </cellXfs>
  <cellStyles count="13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Акцент1 2" xfId="75"/>
    <cellStyle name="20% - Акцент2 2" xfId="76"/>
    <cellStyle name="20% - Акцент3 2" xfId="77"/>
    <cellStyle name="20% - Акцент4 2" xfId="78"/>
    <cellStyle name="20% - Акцент5 2" xfId="79"/>
    <cellStyle name="20% - Акцент6 2" xfId="80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40% - Акцент1 2" xfId="81"/>
    <cellStyle name="40% - Акцент2 2" xfId="82"/>
    <cellStyle name="40% - Акцент3 2" xfId="83"/>
    <cellStyle name="40% - Акцент4 2" xfId="84"/>
    <cellStyle name="40% - Акцент5 2" xfId="85"/>
    <cellStyle name="40% - Акцент6 2" xfId="86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60% - Акцент1 2" xfId="87"/>
    <cellStyle name="60% - Акцент2 2" xfId="88"/>
    <cellStyle name="60% - Акцент3 2" xfId="89"/>
    <cellStyle name="60% - Акцент4 2" xfId="90"/>
    <cellStyle name="60% - Акцент5 2" xfId="91"/>
    <cellStyle name="60% - Акцент6 2" xfId="92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Hyperlink 2" xfId="69"/>
    <cellStyle name="Input" xfId="36"/>
    <cellStyle name="Linked Cell" xfId="37"/>
    <cellStyle name="Neutral" xfId="38"/>
    <cellStyle name="Normal 2" xfId="2"/>
    <cellStyle name="Normal 2 2" xfId="65"/>
    <cellStyle name="Normal 2 2 2" xfId="130"/>
    <cellStyle name="Normal 2 3" xfId="116"/>
    <cellStyle name="Normal 3" xfId="70"/>
    <cellStyle name="Normal 3 2" xfId="71"/>
    <cellStyle name="Normal 4" xfId="72"/>
    <cellStyle name="Normal 4 2" xfId="118"/>
    <cellStyle name="Normal_B3_2013" xfId="67"/>
    <cellStyle name="Normal_Budjet2005_palna raboten" xfId="39"/>
    <cellStyle name="Normal_PrilDimi" xfId="57"/>
    <cellStyle name="Normal_sesiaI ot4et 2" xfId="45"/>
    <cellStyle name="Normal_Sheet1" xfId="56"/>
    <cellStyle name="Normal_Sheet1 2" xfId="64"/>
    <cellStyle name="Normal_Sheet2" xfId="50"/>
    <cellStyle name="Normal_Към ФО-1 от 2013 г  Приложение № 11 Справка за разпределение на преходния остатък 2" xfId="54"/>
    <cellStyle name="Note" xfId="40"/>
    <cellStyle name="Output" xfId="41"/>
    <cellStyle name="Title" xfId="42"/>
    <cellStyle name="Total" xfId="43"/>
    <cellStyle name="Warning Text" xfId="44"/>
    <cellStyle name="Акцент1 2" xfId="93"/>
    <cellStyle name="Акцент2 2" xfId="94"/>
    <cellStyle name="Акцент3 2" xfId="95"/>
    <cellStyle name="Акцент4 2" xfId="96"/>
    <cellStyle name="Акцент5 2" xfId="97"/>
    <cellStyle name="Акцент6 2" xfId="98"/>
    <cellStyle name="Бележка 2" xfId="99"/>
    <cellStyle name="Вход 2" xfId="100"/>
    <cellStyle name="Добър 2" xfId="101"/>
    <cellStyle name="Заглавие 1 2" xfId="103"/>
    <cellStyle name="Заглавие 2 2" xfId="104"/>
    <cellStyle name="Заглавие 3 2" xfId="105"/>
    <cellStyle name="Заглавие 4 2" xfId="106"/>
    <cellStyle name="Заглавие 5" xfId="102"/>
    <cellStyle name="Изход 2" xfId="107"/>
    <cellStyle name="Изчисление 2" xfId="108"/>
    <cellStyle name="Контролна клетка 2" xfId="109"/>
    <cellStyle name="Лош 2" xfId="110"/>
    <cellStyle name="Неутрален 2" xfId="111"/>
    <cellStyle name="Нормален" xfId="0" builtinId="0"/>
    <cellStyle name="Нормален 10" xfId="66"/>
    <cellStyle name="Нормален 11" xfId="73"/>
    <cellStyle name="Нормален 12" xfId="74"/>
    <cellStyle name="Нормален 12 2" xfId="119"/>
    <cellStyle name="Нормален 13" xfId="126"/>
    <cellStyle name="Нормален 14" xfId="132"/>
    <cellStyle name="Нормален 15" xfId="133"/>
    <cellStyle name="Нормален 16" xfId="134"/>
    <cellStyle name="Нормален 17" xfId="135"/>
    <cellStyle name="Нормален 2" xfId="1"/>
    <cellStyle name="Нормален 2 2" xfId="47"/>
    <cellStyle name="Нормален 2 2 2" xfId="120"/>
    <cellStyle name="Нормален 3" xfId="46"/>
    <cellStyle name="Нормален 3 2" xfId="60"/>
    <cellStyle name="Нормален 3 3" xfId="121"/>
    <cellStyle name="Нормален 4" xfId="48"/>
    <cellStyle name="Нормален 4 2" xfId="122"/>
    <cellStyle name="Нормален 5" xfId="49"/>
    <cellStyle name="Нормален 5 2" xfId="117"/>
    <cellStyle name="Нормален 6" xfId="51"/>
    <cellStyle name="Нормален 6 2" xfId="123"/>
    <cellStyle name="Нормален 6 3" xfId="129"/>
    <cellStyle name="Нормален 7" xfId="52"/>
    <cellStyle name="Нормален 7 2" xfId="63"/>
    <cellStyle name="Нормален 8" xfId="55"/>
    <cellStyle name="Нормален 8 2" xfId="124"/>
    <cellStyle name="Нормален 9" xfId="58"/>
    <cellStyle name="Нормален 9 2" xfId="125"/>
    <cellStyle name="Нормален 9 3" xfId="127"/>
    <cellStyle name="Нормален 9 3 2" xfId="128"/>
    <cellStyle name="Нормален_Дължина улична мрежа кметства нова" xfId="62"/>
    <cellStyle name="Нормален_ИП-2011г-начална 2" xfId="53"/>
    <cellStyle name="Нормален_Лист1 2" xfId="59"/>
    <cellStyle name="Обяснителен текст 2" xfId="112"/>
    <cellStyle name="Предупредителен текст 2" xfId="113"/>
    <cellStyle name="Процент 2" xfId="61"/>
    <cellStyle name="Процент 3" xfId="131"/>
    <cellStyle name="Свързана клетка 2" xfId="114"/>
    <cellStyle name="Сума 2" xfId="115"/>
    <cellStyle name="Хипервръзка 2" xfId="6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t5\mandat%202019-2023\budget_c\Budget_2018\&#1057;&#1045;&#1057;&#1048;&#1071;%20&#1041;&#1070;&#1044;&#1046;&#1045;&#1058;%202018%20-%20&#1042;&#1053;&#1045;&#1057;&#1045;&#1053;&#1040;%20&#1042;&#1066;&#1042;%20&#1042;&#1058;&#1054;&#1041;&#1057;\Pril20-Prognoza_2017_54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t5\mandat%202019-2023\budget_c\Budget_2019\Sesija%20BUDGET%202019%20RABOTNA\Pril20-Prognoza_2017_54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t5\mandat%202019-2023\budget_c\Budget_2019\Pril20-Prognoza_2017_54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si\budget_c\Budget_2019\Pril20-Prognoza_2017_54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si\budget_c\Budget_2018\&#1057;&#1045;&#1057;&#1048;&#1071;%20&#1041;&#1070;&#1044;&#1046;&#1045;&#1058;%202018%20-%20&#1042;&#1053;&#1045;&#1057;&#1045;&#1053;&#1040;%20&#1042;&#1066;&#1042;%20&#1042;&#1058;&#1054;&#1041;&#1057;\Pril20-Prognoza_2017_54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si\budget_c\Budget_2018\Sesija%20BUDGET%202018%20-%20&#1042;&#1053;&#1045;&#1057;&#1045;&#1053;&#1040;%20&#1042;&#1066;&#1042;%20&#1042;&#1058;&#1054;&#1041;&#1057;\Pril20-Prognoza_2017_54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УКАЗАНИЯ"/>
      <sheetName val="list"/>
      <sheetName val="Groups"/>
      <sheetName val="INF"/>
      <sheetName val="Лист1"/>
    </sheetNames>
    <sheetDataSet>
      <sheetData sheetId="0"/>
      <sheetData sheetId="1"/>
      <sheetData sheetId="2"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  <cell r="B283" t="str">
            <v>98111</v>
          </cell>
        </row>
        <row r="284">
          <cell r="A284" t="str">
            <v>КФ - ОП "Околна среда"</v>
          </cell>
          <cell r="B284" t="str">
            <v>98112</v>
          </cell>
        </row>
        <row r="285">
          <cell r="A285" t="str">
            <v>ЕФРР - ОП "Транспорт и транспортна инфраструктура"</v>
          </cell>
          <cell r="B285" t="str">
            <v>98211</v>
          </cell>
        </row>
        <row r="286">
          <cell r="A286" t="str">
            <v>ЕФРР - ОП "Региони в растеж"</v>
          </cell>
          <cell r="B286" t="str">
            <v>98212</v>
          </cell>
        </row>
        <row r="287">
          <cell r="A287" t="str">
            <v>ЕФРР - ОП "Наука и образование за интелигентен растеж"</v>
          </cell>
          <cell r="B287" t="str">
            <v>98213</v>
          </cell>
        </row>
        <row r="288">
          <cell r="A288" t="str">
            <v>ЕФРР - ОП "Иновации и конкурентоспособност "</v>
          </cell>
          <cell r="B288" t="str">
            <v>98214</v>
          </cell>
        </row>
        <row r="289">
          <cell r="A289" t="str">
            <v>ЕФРР - ОП "Околна среда"</v>
          </cell>
          <cell r="B289" t="str">
            <v>98215</v>
          </cell>
        </row>
        <row r="290">
          <cell r="A290" t="str">
            <v>ЕФРР - ОП "Инициатива за малки и средни предприятия"</v>
          </cell>
          <cell r="B290" t="str">
            <v>98224</v>
          </cell>
        </row>
        <row r="291">
          <cell r="A291" t="str">
            <v>ЕСФ - ОП "Развитие на човешките ресурси"</v>
          </cell>
          <cell r="B291" t="str">
            <v>98311</v>
          </cell>
        </row>
        <row r="292">
          <cell r="A292" t="str">
            <v>ЕСФ - ОП "Добро управление"</v>
          </cell>
          <cell r="B292" t="str">
            <v>98312</v>
          </cell>
        </row>
        <row r="293">
          <cell r="A293" t="str">
            <v>ЕСФ - ОП "Наука и образование за интелигентен растеж"</v>
          </cell>
          <cell r="B293" t="str">
            <v>98313</v>
          </cell>
        </row>
        <row r="294">
          <cell r="A294" t="str">
            <v xml:space="preserve">ОП "Фонд за европейско подпомагане на най-нуждаещите се лица" </v>
          </cell>
          <cell r="B294">
            <v>98315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  <cell r="B296" t="str">
            <v>98101</v>
          </cell>
        </row>
        <row r="297">
          <cell r="A297" t="str">
            <v>КФ - ОП "ОКОЛНА СРЕДА"</v>
          </cell>
          <cell r="B297" t="str">
            <v>98102</v>
          </cell>
        </row>
        <row r="298">
          <cell r="A298" t="str">
            <v>ЕФРР - ОП "ТРАНСПОРТ"</v>
          </cell>
          <cell r="B298" t="str">
            <v>98201</v>
          </cell>
        </row>
        <row r="299">
          <cell r="A299" t="str">
            <v>ЕФРР - ОП "РЕГИОНАЛНО РАЗВИТИЕ"</v>
          </cell>
          <cell r="B299" t="str">
            <v>98202</v>
          </cell>
        </row>
        <row r="300">
          <cell r="A300" t="str">
            <v>ЕФРР - ОП "КОНКУРЕНТНОСПОСОБНОСТ"</v>
          </cell>
          <cell r="B300" t="str">
            <v>98204</v>
          </cell>
        </row>
        <row r="301">
          <cell r="A301" t="str">
            <v>ЕФРР - ОП "ОКОЛНА СРЕДА"</v>
          </cell>
          <cell r="B301" t="str">
            <v>98205</v>
          </cell>
        </row>
        <row r="302">
          <cell r="A302" t="str">
            <v>ЕФРР - ОП "ТЕХНИЧЕСКА ПОМОЩ"</v>
          </cell>
          <cell r="B302" t="str">
            <v>98210</v>
          </cell>
        </row>
        <row r="303">
          <cell r="A303" t="str">
            <v>ЕСФ - ОП "ЧОВЕШКИ РЕСУРСИ"</v>
          </cell>
          <cell r="B303" t="str">
            <v>98301</v>
          </cell>
        </row>
        <row r="304">
          <cell r="A304" t="str">
            <v>ЕСФ - ОП "АДМИНИСТРАТИВЕН КАПАЦИТЕТ"</v>
          </cell>
          <cell r="B304" t="str">
            <v>98302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</sheetData>
      <sheetData sheetId="3">
        <row r="1">
          <cell r="A1" t="str">
            <v>Изберете група</v>
          </cell>
        </row>
        <row r="2">
          <cell r="A2" t="str">
            <v>101 Изпълнителни и законодателни органи</v>
          </cell>
          <cell r="B2">
            <v>101</v>
          </cell>
        </row>
        <row r="3">
          <cell r="A3" t="str">
            <v>102 Общи служби</v>
          </cell>
          <cell r="B3">
            <v>102</v>
          </cell>
        </row>
        <row r="4">
          <cell r="A4" t="str">
            <v>103 Наука</v>
          </cell>
          <cell r="B4">
            <v>103</v>
          </cell>
        </row>
        <row r="5">
          <cell r="A5" t="str">
            <v>201 Отбрана</v>
          </cell>
          <cell r="B5">
            <v>201</v>
          </cell>
        </row>
        <row r="6">
          <cell r="A6" t="str">
            <v>202 Полиция, вътрешен ред и сигурност</v>
          </cell>
          <cell r="B6">
            <v>202</v>
          </cell>
        </row>
        <row r="7">
          <cell r="A7" t="str">
            <v>203 Съдебна власт</v>
          </cell>
          <cell r="B7">
            <v>203</v>
          </cell>
        </row>
        <row r="8">
          <cell r="A8" t="str">
            <v>204 Администрация на затворите</v>
          </cell>
          <cell r="B8">
            <v>204</v>
          </cell>
        </row>
        <row r="9">
          <cell r="A9" t="str">
            <v>205 Защита на населението, управление и дейности при стихийни бедствия и аварии</v>
          </cell>
          <cell r="B9">
            <v>205</v>
          </cell>
        </row>
        <row r="10">
          <cell r="A10" t="str">
            <v>301 Образование</v>
          </cell>
          <cell r="B10">
            <v>301</v>
          </cell>
        </row>
        <row r="11">
          <cell r="A11" t="str">
            <v>401 Здравеопазване</v>
          </cell>
          <cell r="B11">
            <v>401</v>
          </cell>
        </row>
        <row r="12">
          <cell r="A12" t="str">
            <v>501 Пенсии</v>
          </cell>
          <cell r="B12">
            <v>501</v>
          </cell>
        </row>
        <row r="13">
          <cell r="A13" t="str">
            <v>502 Социални помощи и обезщетения</v>
          </cell>
          <cell r="B13">
            <v>502</v>
          </cell>
        </row>
        <row r="14">
          <cell r="A14" t="str">
            <v>503 Програми, дейности и служби по социалното осигуряване, подпомагане и заетостта</v>
          </cell>
          <cell r="B14">
            <v>503</v>
          </cell>
        </row>
        <row r="15">
          <cell r="A15" t="str">
            <v>601 Жилищно строителство, благоустройство, комунално стопанство</v>
          </cell>
          <cell r="B15">
            <v>601</v>
          </cell>
        </row>
        <row r="16">
          <cell r="A16" t="str">
            <v>602 Опазване на околната среда</v>
          </cell>
          <cell r="B16">
            <v>602</v>
          </cell>
        </row>
        <row r="17">
          <cell r="A17" t="str">
            <v>701 Почивно дело</v>
          </cell>
          <cell r="B17">
            <v>701</v>
          </cell>
        </row>
        <row r="18">
          <cell r="A18" t="str">
            <v>702 Физическа култура и спорт</v>
          </cell>
          <cell r="B18">
            <v>702</v>
          </cell>
        </row>
        <row r="19">
          <cell r="A19" t="str">
            <v>703 Култура</v>
          </cell>
          <cell r="B19">
            <v>703</v>
          </cell>
        </row>
        <row r="20">
          <cell r="A20" t="str">
            <v>704 Религиозно дело</v>
          </cell>
          <cell r="B20">
            <v>704</v>
          </cell>
        </row>
        <row r="21">
          <cell r="A21" t="str">
            <v>801 Минно дело, горива и енергия</v>
          </cell>
          <cell r="B21">
            <v>801</v>
          </cell>
        </row>
        <row r="22">
          <cell r="A22" t="str">
            <v>802 Селско стопанство, горско стопанство, лов и риболов</v>
          </cell>
          <cell r="B22">
            <v>802</v>
          </cell>
        </row>
        <row r="23">
          <cell r="A23" t="str">
            <v>803 Транспорт и съобщения</v>
          </cell>
          <cell r="B23">
            <v>803</v>
          </cell>
        </row>
        <row r="24">
          <cell r="A24" t="str">
            <v>804 Промишленост и строителство</v>
          </cell>
          <cell r="B24">
            <v>804</v>
          </cell>
        </row>
        <row r="25">
          <cell r="A25" t="str">
            <v>805 Туризъм</v>
          </cell>
          <cell r="B25">
            <v>805</v>
          </cell>
        </row>
        <row r="26">
          <cell r="A26" t="str">
            <v>806 Други дейности по икономиката</v>
          </cell>
          <cell r="B26">
            <v>806</v>
          </cell>
        </row>
        <row r="27">
          <cell r="A27" t="str">
            <v>901 Разходи некласифицирани в другите функции</v>
          </cell>
          <cell r="B27">
            <v>901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УКАЗАНИЯ"/>
      <sheetName val="list"/>
      <sheetName val="Groups"/>
      <sheetName val="INF"/>
      <sheetName val="Лист1"/>
    </sheetNames>
    <sheetDataSet>
      <sheetData sheetId="0"/>
      <sheetData sheetId="1"/>
      <sheetData sheetId="2"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  <cell r="B283" t="str">
            <v>98111</v>
          </cell>
        </row>
        <row r="284">
          <cell r="A284" t="str">
            <v>КФ - ОП "Околна среда"</v>
          </cell>
          <cell r="B284" t="str">
            <v>98112</v>
          </cell>
        </row>
        <row r="285">
          <cell r="A285" t="str">
            <v>ЕФРР - ОП "Транспорт и транспортна инфраструктура"</v>
          </cell>
          <cell r="B285" t="str">
            <v>98211</v>
          </cell>
        </row>
        <row r="286">
          <cell r="A286" t="str">
            <v>ЕФРР - ОП "Региони в растеж"</v>
          </cell>
          <cell r="B286" t="str">
            <v>98212</v>
          </cell>
        </row>
        <row r="287">
          <cell r="A287" t="str">
            <v>ЕФРР - ОП "Наука и образование за интелигентен растеж"</v>
          </cell>
          <cell r="B287" t="str">
            <v>98213</v>
          </cell>
        </row>
        <row r="288">
          <cell r="A288" t="str">
            <v>ЕФРР - ОП "Иновации и конкурентоспособност "</v>
          </cell>
          <cell r="B288" t="str">
            <v>98214</v>
          </cell>
        </row>
        <row r="289">
          <cell r="A289" t="str">
            <v>ЕФРР - ОП "Околна среда"</v>
          </cell>
          <cell r="B289" t="str">
            <v>98215</v>
          </cell>
        </row>
        <row r="290">
          <cell r="A290" t="str">
            <v>ЕФРР - ОП "Инициатива за малки и средни предприятия"</v>
          </cell>
          <cell r="B290" t="str">
            <v>98224</v>
          </cell>
        </row>
        <row r="291">
          <cell r="A291" t="str">
            <v>ЕСФ - ОП "Развитие на човешките ресурси"</v>
          </cell>
          <cell r="B291" t="str">
            <v>98311</v>
          </cell>
        </row>
        <row r="292">
          <cell r="A292" t="str">
            <v>ЕСФ - ОП "Добро управление"</v>
          </cell>
          <cell r="B292" t="str">
            <v>98312</v>
          </cell>
        </row>
        <row r="293">
          <cell r="A293" t="str">
            <v>ЕСФ - ОП "Наука и образование за интелигентен растеж"</v>
          </cell>
          <cell r="B293" t="str">
            <v>98313</v>
          </cell>
        </row>
        <row r="294">
          <cell r="A294" t="str">
            <v xml:space="preserve">ОП "Фонд за европейско подпомагане на най-нуждаещите се лица" </v>
          </cell>
          <cell r="B294">
            <v>98315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  <cell r="B296" t="str">
            <v>98101</v>
          </cell>
        </row>
        <row r="297">
          <cell r="A297" t="str">
            <v>КФ - ОП "ОКОЛНА СРЕДА"</v>
          </cell>
          <cell r="B297" t="str">
            <v>98102</v>
          </cell>
        </row>
        <row r="298">
          <cell r="A298" t="str">
            <v>ЕФРР - ОП "ТРАНСПОРТ"</v>
          </cell>
          <cell r="B298" t="str">
            <v>98201</v>
          </cell>
        </row>
        <row r="299">
          <cell r="A299" t="str">
            <v>ЕФРР - ОП "РЕГИОНАЛНО РАЗВИТИЕ"</v>
          </cell>
          <cell r="B299" t="str">
            <v>98202</v>
          </cell>
        </row>
        <row r="300">
          <cell r="A300" t="str">
            <v>ЕФРР - ОП "КОНКУРЕНТНОСПОСОБНОСТ"</v>
          </cell>
          <cell r="B300" t="str">
            <v>98204</v>
          </cell>
        </row>
        <row r="301">
          <cell r="A301" t="str">
            <v>ЕФРР - ОП "ОКОЛНА СРЕДА"</v>
          </cell>
          <cell r="B301" t="str">
            <v>98205</v>
          </cell>
        </row>
        <row r="302">
          <cell r="A302" t="str">
            <v>ЕФРР - ОП "ТЕХНИЧЕСКА ПОМОЩ"</v>
          </cell>
          <cell r="B302" t="str">
            <v>98210</v>
          </cell>
        </row>
        <row r="303">
          <cell r="A303" t="str">
            <v>ЕСФ - ОП "ЧОВЕШКИ РЕСУРСИ"</v>
          </cell>
          <cell r="B303" t="str">
            <v>98301</v>
          </cell>
        </row>
        <row r="304">
          <cell r="A304" t="str">
            <v>ЕСФ - ОП "АДМИНИСТРАТИВЕН КАПАЦИТЕТ"</v>
          </cell>
          <cell r="B304" t="str">
            <v>98302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</sheetData>
      <sheetData sheetId="3">
        <row r="1">
          <cell r="A1" t="str">
            <v>Изберете група</v>
          </cell>
        </row>
        <row r="2">
          <cell r="A2" t="str">
            <v>101 Изпълнителни и законодателни органи</v>
          </cell>
          <cell r="B2">
            <v>101</v>
          </cell>
        </row>
        <row r="3">
          <cell r="A3" t="str">
            <v>102 Общи служби</v>
          </cell>
          <cell r="B3">
            <v>102</v>
          </cell>
        </row>
        <row r="4">
          <cell r="A4" t="str">
            <v>103 Наука</v>
          </cell>
          <cell r="B4">
            <v>103</v>
          </cell>
        </row>
        <row r="5">
          <cell r="A5" t="str">
            <v>201 Отбрана</v>
          </cell>
          <cell r="B5">
            <v>201</v>
          </cell>
        </row>
        <row r="6">
          <cell r="A6" t="str">
            <v>202 Полиция, вътрешен ред и сигурност</v>
          </cell>
          <cell r="B6">
            <v>202</v>
          </cell>
        </row>
        <row r="7">
          <cell r="A7" t="str">
            <v>203 Съдебна власт</v>
          </cell>
          <cell r="B7">
            <v>203</v>
          </cell>
        </row>
        <row r="8">
          <cell r="A8" t="str">
            <v>204 Администрация на затворите</v>
          </cell>
          <cell r="B8">
            <v>204</v>
          </cell>
        </row>
        <row r="9">
          <cell r="A9" t="str">
            <v>205 Защита на населението, управление и дейности при стихийни бедствия и аварии</v>
          </cell>
          <cell r="B9">
            <v>205</v>
          </cell>
        </row>
        <row r="10">
          <cell r="A10" t="str">
            <v>301 Образование</v>
          </cell>
          <cell r="B10">
            <v>301</v>
          </cell>
        </row>
        <row r="11">
          <cell r="A11" t="str">
            <v>401 Здравеопазване</v>
          </cell>
          <cell r="B11">
            <v>401</v>
          </cell>
        </row>
        <row r="12">
          <cell r="A12" t="str">
            <v>501 Пенсии</v>
          </cell>
          <cell r="B12">
            <v>501</v>
          </cell>
        </row>
        <row r="13">
          <cell r="A13" t="str">
            <v>502 Социални помощи и обезщетения</v>
          </cell>
          <cell r="B13">
            <v>502</v>
          </cell>
        </row>
        <row r="14">
          <cell r="A14" t="str">
            <v>503 Програми, дейности и служби по социалното осигуряване, подпомагане и заетостта</v>
          </cell>
          <cell r="B14">
            <v>503</v>
          </cell>
        </row>
        <row r="15">
          <cell r="A15" t="str">
            <v>601 Жилищно строителство, благоустройство, комунално стопанство</v>
          </cell>
          <cell r="B15">
            <v>601</v>
          </cell>
        </row>
        <row r="16">
          <cell r="A16" t="str">
            <v>602 Опазване на околната среда</v>
          </cell>
          <cell r="B16">
            <v>602</v>
          </cell>
        </row>
        <row r="17">
          <cell r="A17" t="str">
            <v>701 Почивно дело</v>
          </cell>
          <cell r="B17">
            <v>701</v>
          </cell>
        </row>
        <row r="18">
          <cell r="A18" t="str">
            <v>702 Физическа култура и спорт</v>
          </cell>
          <cell r="B18">
            <v>702</v>
          </cell>
        </row>
        <row r="19">
          <cell r="A19" t="str">
            <v>703 Култура</v>
          </cell>
          <cell r="B19">
            <v>703</v>
          </cell>
        </row>
        <row r="20">
          <cell r="A20" t="str">
            <v>704 Религиозно дело</v>
          </cell>
          <cell r="B20">
            <v>704</v>
          </cell>
        </row>
        <row r="21">
          <cell r="A21" t="str">
            <v>801 Минно дело, горива и енергия</v>
          </cell>
          <cell r="B21">
            <v>801</v>
          </cell>
        </row>
        <row r="22">
          <cell r="A22" t="str">
            <v>802 Селско стопанство, горско стопанство, лов и риболов</v>
          </cell>
          <cell r="B22">
            <v>802</v>
          </cell>
        </row>
        <row r="23">
          <cell r="A23" t="str">
            <v>803 Транспорт и съобщения</v>
          </cell>
          <cell r="B23">
            <v>803</v>
          </cell>
        </row>
        <row r="24">
          <cell r="A24" t="str">
            <v>804 Промишленост и строителство</v>
          </cell>
          <cell r="B24">
            <v>804</v>
          </cell>
        </row>
        <row r="25">
          <cell r="A25" t="str">
            <v>805 Туризъм</v>
          </cell>
          <cell r="B25">
            <v>805</v>
          </cell>
        </row>
        <row r="26">
          <cell r="A26" t="str">
            <v>806 Други дейности по икономиката</v>
          </cell>
          <cell r="B26">
            <v>806</v>
          </cell>
        </row>
        <row r="27">
          <cell r="A27" t="str">
            <v>901 Разходи некласифицирани в другите функции</v>
          </cell>
          <cell r="B27">
            <v>901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УКАЗАНИЯ"/>
      <sheetName val="list"/>
      <sheetName val="Groups"/>
      <sheetName val="INF"/>
      <sheetName val="Лист1"/>
    </sheetNames>
    <sheetDataSet>
      <sheetData sheetId="0"/>
      <sheetData sheetId="1"/>
      <sheetData sheetId="2"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  <cell r="B283" t="str">
            <v>98111</v>
          </cell>
        </row>
        <row r="284">
          <cell r="A284" t="str">
            <v>КФ - ОП "Околна среда"</v>
          </cell>
          <cell r="B284" t="str">
            <v>98112</v>
          </cell>
        </row>
        <row r="285">
          <cell r="A285" t="str">
            <v>ЕФРР - ОП "Транспорт и транспортна инфраструктура"</v>
          </cell>
          <cell r="B285" t="str">
            <v>98211</v>
          </cell>
        </row>
        <row r="286">
          <cell r="A286" t="str">
            <v>ЕФРР - ОП "Региони в растеж"</v>
          </cell>
          <cell r="B286" t="str">
            <v>98212</v>
          </cell>
        </row>
        <row r="287">
          <cell r="A287" t="str">
            <v>ЕФРР - ОП "Наука и образование за интелигентен растеж"</v>
          </cell>
          <cell r="B287" t="str">
            <v>98213</v>
          </cell>
        </row>
        <row r="288">
          <cell r="A288" t="str">
            <v>ЕФРР - ОП "Иновации и конкурентоспособност "</v>
          </cell>
          <cell r="B288" t="str">
            <v>98214</v>
          </cell>
        </row>
        <row r="289">
          <cell r="A289" t="str">
            <v>ЕФРР - ОП "Околна среда"</v>
          </cell>
          <cell r="B289" t="str">
            <v>98215</v>
          </cell>
        </row>
        <row r="290">
          <cell r="A290" t="str">
            <v>ЕФРР - ОП "Инициатива за малки и средни предприятия"</v>
          </cell>
          <cell r="B290" t="str">
            <v>98224</v>
          </cell>
        </row>
        <row r="291">
          <cell r="A291" t="str">
            <v>ЕСФ - ОП "Развитие на човешките ресурси"</v>
          </cell>
          <cell r="B291" t="str">
            <v>98311</v>
          </cell>
        </row>
        <row r="292">
          <cell r="A292" t="str">
            <v>ЕСФ - ОП "Добро управление"</v>
          </cell>
          <cell r="B292" t="str">
            <v>98312</v>
          </cell>
        </row>
        <row r="293">
          <cell r="A293" t="str">
            <v>ЕСФ - ОП "Наука и образование за интелигентен растеж"</v>
          </cell>
          <cell r="B293" t="str">
            <v>98313</v>
          </cell>
        </row>
        <row r="294">
          <cell r="A294" t="str">
            <v xml:space="preserve">ОП "Фонд за европейско подпомагане на най-нуждаещите се лица" </v>
          </cell>
          <cell r="B294">
            <v>98315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  <cell r="B296" t="str">
            <v>98101</v>
          </cell>
        </row>
        <row r="297">
          <cell r="A297" t="str">
            <v>КФ - ОП "ОКОЛНА СРЕДА"</v>
          </cell>
          <cell r="B297" t="str">
            <v>98102</v>
          </cell>
        </row>
        <row r="298">
          <cell r="A298" t="str">
            <v>ЕФРР - ОП "ТРАНСПОРТ"</v>
          </cell>
          <cell r="B298" t="str">
            <v>98201</v>
          </cell>
        </row>
        <row r="299">
          <cell r="A299" t="str">
            <v>ЕФРР - ОП "РЕГИОНАЛНО РАЗВИТИЕ"</v>
          </cell>
          <cell r="B299" t="str">
            <v>98202</v>
          </cell>
        </row>
        <row r="300">
          <cell r="A300" t="str">
            <v>ЕФРР - ОП "КОНКУРЕНТНОСПОСОБНОСТ"</v>
          </cell>
          <cell r="B300" t="str">
            <v>98204</v>
          </cell>
        </row>
        <row r="301">
          <cell r="A301" t="str">
            <v>ЕФРР - ОП "ОКОЛНА СРЕДА"</v>
          </cell>
          <cell r="B301" t="str">
            <v>98205</v>
          </cell>
        </row>
        <row r="302">
          <cell r="A302" t="str">
            <v>ЕФРР - ОП "ТЕХНИЧЕСКА ПОМОЩ"</v>
          </cell>
          <cell r="B302" t="str">
            <v>98210</v>
          </cell>
        </row>
        <row r="303">
          <cell r="A303" t="str">
            <v>ЕСФ - ОП "ЧОВЕШКИ РЕСУРСИ"</v>
          </cell>
          <cell r="B303" t="str">
            <v>98301</v>
          </cell>
        </row>
        <row r="304">
          <cell r="A304" t="str">
            <v>ЕСФ - ОП "АДМИНИСТРАТИВЕН КАПАЦИТЕТ"</v>
          </cell>
          <cell r="B304" t="str">
            <v>98302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</sheetData>
      <sheetData sheetId="3">
        <row r="1">
          <cell r="A1" t="str">
            <v>Изберете група</v>
          </cell>
        </row>
        <row r="2">
          <cell r="A2" t="str">
            <v>101 Изпълнителни и законодателни органи</v>
          </cell>
          <cell r="B2">
            <v>101</v>
          </cell>
        </row>
        <row r="3">
          <cell r="A3" t="str">
            <v>102 Общи служби</v>
          </cell>
          <cell r="B3">
            <v>102</v>
          </cell>
        </row>
        <row r="4">
          <cell r="A4" t="str">
            <v>103 Наука</v>
          </cell>
          <cell r="B4">
            <v>103</v>
          </cell>
        </row>
        <row r="5">
          <cell r="A5" t="str">
            <v>201 Отбрана</v>
          </cell>
          <cell r="B5">
            <v>201</v>
          </cell>
        </row>
        <row r="6">
          <cell r="A6" t="str">
            <v>202 Полиция, вътрешен ред и сигурност</v>
          </cell>
          <cell r="B6">
            <v>202</v>
          </cell>
        </row>
        <row r="7">
          <cell r="A7" t="str">
            <v>203 Съдебна власт</v>
          </cell>
          <cell r="B7">
            <v>203</v>
          </cell>
        </row>
        <row r="8">
          <cell r="A8" t="str">
            <v>204 Администрация на затворите</v>
          </cell>
          <cell r="B8">
            <v>204</v>
          </cell>
        </row>
        <row r="9">
          <cell r="A9" t="str">
            <v>205 Защита на населението, управление и дейности при стихийни бедствия и аварии</v>
          </cell>
          <cell r="B9">
            <v>205</v>
          </cell>
        </row>
        <row r="10">
          <cell r="A10" t="str">
            <v>301 Образование</v>
          </cell>
          <cell r="B10">
            <v>301</v>
          </cell>
        </row>
        <row r="11">
          <cell r="A11" t="str">
            <v>401 Здравеопазване</v>
          </cell>
          <cell r="B11">
            <v>401</v>
          </cell>
        </row>
        <row r="12">
          <cell r="A12" t="str">
            <v>501 Пенсии</v>
          </cell>
          <cell r="B12">
            <v>501</v>
          </cell>
        </row>
        <row r="13">
          <cell r="A13" t="str">
            <v>502 Социални помощи и обезщетения</v>
          </cell>
          <cell r="B13">
            <v>502</v>
          </cell>
        </row>
        <row r="14">
          <cell r="A14" t="str">
            <v>503 Програми, дейности и служби по социалното осигуряване, подпомагане и заетостта</v>
          </cell>
          <cell r="B14">
            <v>503</v>
          </cell>
        </row>
        <row r="15">
          <cell r="A15" t="str">
            <v>601 Жилищно строителство, благоустройство, комунално стопанство</v>
          </cell>
          <cell r="B15">
            <v>601</v>
          </cell>
        </row>
        <row r="16">
          <cell r="A16" t="str">
            <v>602 Опазване на околната среда</v>
          </cell>
          <cell r="B16">
            <v>602</v>
          </cell>
        </row>
        <row r="17">
          <cell r="A17" t="str">
            <v>701 Почивно дело</v>
          </cell>
          <cell r="B17">
            <v>701</v>
          </cell>
        </row>
        <row r="18">
          <cell r="A18" t="str">
            <v>702 Физическа култура и спорт</v>
          </cell>
          <cell r="B18">
            <v>702</v>
          </cell>
        </row>
        <row r="19">
          <cell r="A19" t="str">
            <v>703 Култура</v>
          </cell>
          <cell r="B19">
            <v>703</v>
          </cell>
        </row>
        <row r="20">
          <cell r="A20" t="str">
            <v>704 Религиозно дело</v>
          </cell>
          <cell r="B20">
            <v>704</v>
          </cell>
        </row>
        <row r="21">
          <cell r="A21" t="str">
            <v>801 Минно дело, горива и енергия</v>
          </cell>
          <cell r="B21">
            <v>801</v>
          </cell>
        </row>
        <row r="22">
          <cell r="A22" t="str">
            <v>802 Селско стопанство, горско стопанство, лов и риболов</v>
          </cell>
          <cell r="B22">
            <v>802</v>
          </cell>
        </row>
        <row r="23">
          <cell r="A23" t="str">
            <v>803 Транспорт и съобщения</v>
          </cell>
          <cell r="B23">
            <v>803</v>
          </cell>
        </row>
        <row r="24">
          <cell r="A24" t="str">
            <v>804 Промишленост и строителство</v>
          </cell>
          <cell r="B24">
            <v>804</v>
          </cell>
        </row>
        <row r="25">
          <cell r="A25" t="str">
            <v>805 Туризъм</v>
          </cell>
          <cell r="B25">
            <v>805</v>
          </cell>
        </row>
        <row r="26">
          <cell r="A26" t="str">
            <v>806 Други дейности по икономиката</v>
          </cell>
          <cell r="B26">
            <v>806</v>
          </cell>
        </row>
        <row r="27">
          <cell r="A27" t="str">
            <v>901 Разходи некласифицирани в другите функции</v>
          </cell>
          <cell r="B27">
            <v>901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УКАЗАНИЯ"/>
      <sheetName val="list"/>
      <sheetName val="Groups"/>
      <sheetName val="INF"/>
      <sheetName val="Лист1"/>
    </sheetNames>
    <sheetDataSet>
      <sheetData sheetId="0"/>
      <sheetData sheetId="1"/>
      <sheetData sheetId="2"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  <cell r="B283" t="str">
            <v>98111</v>
          </cell>
        </row>
        <row r="284">
          <cell r="A284" t="str">
            <v>КФ - ОП "Околна среда"</v>
          </cell>
          <cell r="B284" t="str">
            <v>98112</v>
          </cell>
        </row>
        <row r="285">
          <cell r="A285" t="str">
            <v>ЕФРР - ОП "Транспорт и транспортна инфраструктура"</v>
          </cell>
          <cell r="B285" t="str">
            <v>98211</v>
          </cell>
        </row>
        <row r="286">
          <cell r="A286" t="str">
            <v>ЕФРР - ОП "Региони в растеж"</v>
          </cell>
          <cell r="B286" t="str">
            <v>98212</v>
          </cell>
        </row>
        <row r="287">
          <cell r="A287" t="str">
            <v>ЕФРР - ОП "Наука и образование за интелигентен растеж"</v>
          </cell>
          <cell r="B287" t="str">
            <v>98213</v>
          </cell>
        </row>
        <row r="288">
          <cell r="A288" t="str">
            <v>ЕФРР - ОП "Иновации и конкурентоспособност "</v>
          </cell>
          <cell r="B288" t="str">
            <v>98214</v>
          </cell>
        </row>
        <row r="289">
          <cell r="A289" t="str">
            <v>ЕФРР - ОП "Околна среда"</v>
          </cell>
          <cell r="B289" t="str">
            <v>98215</v>
          </cell>
        </row>
        <row r="290">
          <cell r="A290" t="str">
            <v>ЕФРР - ОП "Инициатива за малки и средни предприятия"</v>
          </cell>
          <cell r="B290" t="str">
            <v>98224</v>
          </cell>
        </row>
        <row r="291">
          <cell r="A291" t="str">
            <v>ЕСФ - ОП "Развитие на човешките ресурси"</v>
          </cell>
          <cell r="B291" t="str">
            <v>98311</v>
          </cell>
        </row>
        <row r="292">
          <cell r="A292" t="str">
            <v>ЕСФ - ОП "Добро управление"</v>
          </cell>
          <cell r="B292" t="str">
            <v>98312</v>
          </cell>
        </row>
        <row r="293">
          <cell r="A293" t="str">
            <v>ЕСФ - ОП "Наука и образование за интелигентен растеж"</v>
          </cell>
          <cell r="B293" t="str">
            <v>98313</v>
          </cell>
        </row>
        <row r="294">
          <cell r="A294" t="str">
            <v xml:space="preserve">ОП "Фонд за европейско подпомагане на най-нуждаещите се лица" </v>
          </cell>
          <cell r="B294">
            <v>98315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  <cell r="B296" t="str">
            <v>98101</v>
          </cell>
        </row>
        <row r="297">
          <cell r="A297" t="str">
            <v>КФ - ОП "ОКОЛНА СРЕДА"</v>
          </cell>
          <cell r="B297" t="str">
            <v>98102</v>
          </cell>
        </row>
        <row r="298">
          <cell r="A298" t="str">
            <v>ЕФРР - ОП "ТРАНСПОРТ"</v>
          </cell>
          <cell r="B298" t="str">
            <v>98201</v>
          </cell>
        </row>
        <row r="299">
          <cell r="A299" t="str">
            <v>ЕФРР - ОП "РЕГИОНАЛНО РАЗВИТИЕ"</v>
          </cell>
          <cell r="B299" t="str">
            <v>98202</v>
          </cell>
        </row>
        <row r="300">
          <cell r="A300" t="str">
            <v>ЕФРР - ОП "КОНКУРЕНТНОСПОСОБНОСТ"</v>
          </cell>
          <cell r="B300" t="str">
            <v>98204</v>
          </cell>
        </row>
        <row r="301">
          <cell r="A301" t="str">
            <v>ЕФРР - ОП "ОКОЛНА СРЕДА"</v>
          </cell>
          <cell r="B301" t="str">
            <v>98205</v>
          </cell>
        </row>
        <row r="302">
          <cell r="A302" t="str">
            <v>ЕФРР - ОП "ТЕХНИЧЕСКА ПОМОЩ"</v>
          </cell>
          <cell r="B302" t="str">
            <v>98210</v>
          </cell>
        </row>
        <row r="303">
          <cell r="A303" t="str">
            <v>ЕСФ - ОП "ЧОВЕШКИ РЕСУРСИ"</v>
          </cell>
          <cell r="B303" t="str">
            <v>98301</v>
          </cell>
        </row>
        <row r="304">
          <cell r="A304" t="str">
            <v>ЕСФ - ОП "АДМИНИСТРАТИВЕН КАПАЦИТЕТ"</v>
          </cell>
          <cell r="B304" t="str">
            <v>98302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</sheetData>
      <sheetData sheetId="3">
        <row r="1">
          <cell r="A1" t="str">
            <v>Изберете група</v>
          </cell>
        </row>
        <row r="2">
          <cell r="A2" t="str">
            <v>101 Изпълнителни и законодателни органи</v>
          </cell>
          <cell r="B2">
            <v>101</v>
          </cell>
        </row>
        <row r="3">
          <cell r="A3" t="str">
            <v>102 Общи служби</v>
          </cell>
          <cell r="B3">
            <v>102</v>
          </cell>
        </row>
        <row r="4">
          <cell r="A4" t="str">
            <v>103 Наука</v>
          </cell>
          <cell r="B4">
            <v>103</v>
          </cell>
        </row>
        <row r="5">
          <cell r="A5" t="str">
            <v>201 Отбрана</v>
          </cell>
          <cell r="B5">
            <v>201</v>
          </cell>
        </row>
        <row r="6">
          <cell r="A6" t="str">
            <v>202 Полиция, вътрешен ред и сигурност</v>
          </cell>
          <cell r="B6">
            <v>202</v>
          </cell>
        </row>
        <row r="7">
          <cell r="A7" t="str">
            <v>203 Съдебна власт</v>
          </cell>
          <cell r="B7">
            <v>203</v>
          </cell>
        </row>
        <row r="8">
          <cell r="A8" t="str">
            <v>204 Администрация на затворите</v>
          </cell>
          <cell r="B8">
            <v>204</v>
          </cell>
        </row>
        <row r="9">
          <cell r="A9" t="str">
            <v>205 Защита на населението, управление и дейности при стихийни бедствия и аварии</v>
          </cell>
          <cell r="B9">
            <v>205</v>
          </cell>
        </row>
        <row r="10">
          <cell r="A10" t="str">
            <v>301 Образование</v>
          </cell>
          <cell r="B10">
            <v>301</v>
          </cell>
        </row>
        <row r="11">
          <cell r="A11" t="str">
            <v>401 Здравеопазване</v>
          </cell>
          <cell r="B11">
            <v>401</v>
          </cell>
        </row>
        <row r="12">
          <cell r="A12" t="str">
            <v>501 Пенсии</v>
          </cell>
          <cell r="B12">
            <v>501</v>
          </cell>
        </row>
        <row r="13">
          <cell r="A13" t="str">
            <v>502 Социални помощи и обезщетения</v>
          </cell>
          <cell r="B13">
            <v>502</v>
          </cell>
        </row>
        <row r="14">
          <cell r="A14" t="str">
            <v>503 Програми, дейности и служби по социалното осигуряване, подпомагане и заетостта</v>
          </cell>
          <cell r="B14">
            <v>503</v>
          </cell>
        </row>
        <row r="15">
          <cell r="A15" t="str">
            <v>601 Жилищно строителство, благоустройство, комунално стопанство</v>
          </cell>
          <cell r="B15">
            <v>601</v>
          </cell>
        </row>
        <row r="16">
          <cell r="A16" t="str">
            <v>602 Опазване на околната среда</v>
          </cell>
          <cell r="B16">
            <v>602</v>
          </cell>
        </row>
        <row r="17">
          <cell r="A17" t="str">
            <v>701 Почивно дело</v>
          </cell>
          <cell r="B17">
            <v>701</v>
          </cell>
        </row>
        <row r="18">
          <cell r="A18" t="str">
            <v>702 Физическа култура и спорт</v>
          </cell>
          <cell r="B18">
            <v>702</v>
          </cell>
        </row>
        <row r="19">
          <cell r="A19" t="str">
            <v>703 Култура</v>
          </cell>
          <cell r="B19">
            <v>703</v>
          </cell>
        </row>
        <row r="20">
          <cell r="A20" t="str">
            <v>704 Религиозно дело</v>
          </cell>
          <cell r="B20">
            <v>704</v>
          </cell>
        </row>
        <row r="21">
          <cell r="A21" t="str">
            <v>801 Минно дело, горива и енергия</v>
          </cell>
          <cell r="B21">
            <v>801</v>
          </cell>
        </row>
        <row r="22">
          <cell r="A22" t="str">
            <v>802 Селско стопанство, горско стопанство, лов и риболов</v>
          </cell>
          <cell r="B22">
            <v>802</v>
          </cell>
        </row>
        <row r="23">
          <cell r="A23" t="str">
            <v>803 Транспорт и съобщения</v>
          </cell>
          <cell r="B23">
            <v>803</v>
          </cell>
        </row>
        <row r="24">
          <cell r="A24" t="str">
            <v>804 Промишленост и строителство</v>
          </cell>
          <cell r="B24">
            <v>804</v>
          </cell>
        </row>
        <row r="25">
          <cell r="A25" t="str">
            <v>805 Туризъм</v>
          </cell>
          <cell r="B25">
            <v>805</v>
          </cell>
        </row>
        <row r="26">
          <cell r="A26" t="str">
            <v>806 Други дейности по икономиката</v>
          </cell>
          <cell r="B26">
            <v>806</v>
          </cell>
        </row>
        <row r="27">
          <cell r="A27" t="str">
            <v>901 Разходи некласифицирани в другите функции</v>
          </cell>
          <cell r="B27">
            <v>901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УКАЗАНИЯ"/>
      <sheetName val="list"/>
      <sheetName val="Groups"/>
      <sheetName val="INF"/>
      <sheetName val="Лист1"/>
    </sheetNames>
    <sheetDataSet>
      <sheetData sheetId="0"/>
      <sheetData sheetId="1"/>
      <sheetData sheetId="2"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</row>
        <row r="284">
          <cell r="A284" t="str">
            <v>КФ - ОП "Околна среда"</v>
          </cell>
        </row>
        <row r="285">
          <cell r="A285" t="str">
            <v>ЕФРР - ОП "Транспорт и транспортна инфраструктура"</v>
          </cell>
        </row>
        <row r="286">
          <cell r="A286" t="str">
            <v>ЕФРР - ОП "Региони в растеж"</v>
          </cell>
        </row>
        <row r="287">
          <cell r="A287" t="str">
            <v>ЕФРР - ОП "Наука и образование за интелигентен растеж"</v>
          </cell>
        </row>
        <row r="288">
          <cell r="A288" t="str">
            <v>ЕФРР - ОП "Иновации и конкурентоспособност "</v>
          </cell>
        </row>
        <row r="289">
          <cell r="A289" t="str">
            <v>ЕФРР - ОП "Околна среда"</v>
          </cell>
        </row>
        <row r="290">
          <cell r="A290" t="str">
            <v>ЕФРР - ОП "Инициатива за малки и средни предприятия"</v>
          </cell>
        </row>
        <row r="291">
          <cell r="A291" t="str">
            <v>ЕСФ - ОП "Развитие на човешките ресурси"</v>
          </cell>
        </row>
        <row r="292">
          <cell r="A292" t="str">
            <v>ЕСФ - ОП "Добро управление"</v>
          </cell>
        </row>
        <row r="293">
          <cell r="A293" t="str">
            <v>ЕСФ - ОП "Наука и образование за интелигентен растеж"</v>
          </cell>
        </row>
        <row r="294">
          <cell r="A294" t="str">
            <v xml:space="preserve">ОП "Фонд за европейско подпомагане на най-нуждаещите се лица" 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</row>
        <row r="297">
          <cell r="A297" t="str">
            <v>КФ - ОП "ОКОЛНА СРЕДА"</v>
          </cell>
        </row>
        <row r="298">
          <cell r="A298" t="str">
            <v>ЕФРР - ОП "ТРАНСПОРТ"</v>
          </cell>
        </row>
        <row r="299">
          <cell r="A299" t="str">
            <v>ЕФРР - ОП "РЕГИОНАЛНО РАЗВИТИЕ"</v>
          </cell>
        </row>
        <row r="300">
          <cell r="A300" t="str">
            <v>ЕФРР - ОП "КОНКУРЕНТНОСПОСОБНОСТ"</v>
          </cell>
        </row>
        <row r="301">
          <cell r="A301" t="str">
            <v>ЕФРР - ОП "ОКОЛНА СРЕДА"</v>
          </cell>
        </row>
        <row r="302">
          <cell r="A302" t="str">
            <v>ЕФРР - ОП "ТЕХНИЧЕСКА ПОМОЩ"</v>
          </cell>
        </row>
        <row r="303">
          <cell r="A303" t="str">
            <v>ЕСФ - ОП "ЧОВЕШКИ РЕСУРСИ"</v>
          </cell>
        </row>
        <row r="304">
          <cell r="A304" t="str">
            <v>ЕСФ - ОП "АДМИНИСТРАТИВЕН КАПАЦИТЕТ"</v>
          </cell>
        </row>
      </sheetData>
      <sheetData sheetId="3">
        <row r="1">
          <cell r="A1" t="str">
            <v>Изберете група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УКАЗАНИЯ"/>
      <sheetName val="list"/>
      <sheetName val="Groups"/>
      <sheetName val="INF"/>
      <sheetName val="Лист1"/>
    </sheetNames>
    <sheetDataSet>
      <sheetData sheetId="0"/>
      <sheetData sheetId="1"/>
      <sheetData sheetId="2"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</row>
        <row r="284">
          <cell r="A284" t="str">
            <v>КФ - ОП "Околна среда"</v>
          </cell>
        </row>
        <row r="285">
          <cell r="A285" t="str">
            <v>ЕФРР - ОП "Транспорт и транспортна инфраструктура"</v>
          </cell>
        </row>
        <row r="286">
          <cell r="A286" t="str">
            <v>ЕФРР - ОП "Региони в растеж"</v>
          </cell>
        </row>
        <row r="287">
          <cell r="A287" t="str">
            <v>ЕФРР - ОП "Наука и образование за интелигентен растеж"</v>
          </cell>
        </row>
        <row r="288">
          <cell r="A288" t="str">
            <v>ЕФРР - ОП "Иновации и конкурентоспособност "</v>
          </cell>
        </row>
        <row r="289">
          <cell r="A289" t="str">
            <v>ЕФРР - ОП "Околна среда"</v>
          </cell>
        </row>
        <row r="290">
          <cell r="A290" t="str">
            <v>ЕФРР - ОП "Инициатива за малки и средни предприятия"</v>
          </cell>
        </row>
        <row r="291">
          <cell r="A291" t="str">
            <v>ЕСФ - ОП "Развитие на човешките ресурси"</v>
          </cell>
        </row>
        <row r="292">
          <cell r="A292" t="str">
            <v>ЕСФ - ОП "Добро управление"</v>
          </cell>
        </row>
        <row r="293">
          <cell r="A293" t="str">
            <v>ЕСФ - ОП "Наука и образование за интелигентен растеж"</v>
          </cell>
        </row>
        <row r="294">
          <cell r="A294" t="str">
            <v xml:space="preserve">ОП "Фонд за европейско подпомагане на най-нуждаещите се лица" 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</row>
        <row r="297">
          <cell r="A297" t="str">
            <v>КФ - ОП "ОКОЛНА СРЕДА"</v>
          </cell>
        </row>
        <row r="298">
          <cell r="A298" t="str">
            <v>ЕФРР - ОП "ТРАНСПОРТ"</v>
          </cell>
        </row>
        <row r="299">
          <cell r="A299" t="str">
            <v>ЕФРР - ОП "РЕГИОНАЛНО РАЗВИТИЕ"</v>
          </cell>
        </row>
        <row r="300">
          <cell r="A300" t="str">
            <v>ЕФРР - ОП "КОНКУРЕНТНОСПОСОБНОСТ"</v>
          </cell>
        </row>
        <row r="301">
          <cell r="A301" t="str">
            <v>ЕФРР - ОП "ОКОЛНА СРЕДА"</v>
          </cell>
        </row>
        <row r="302">
          <cell r="A302" t="str">
            <v>ЕФРР - ОП "ТЕХНИЧЕСКА ПОМОЩ"</v>
          </cell>
        </row>
        <row r="303">
          <cell r="A303" t="str">
            <v>ЕСФ - ОП "ЧОВЕШКИ РЕСУРСИ"</v>
          </cell>
        </row>
        <row r="304">
          <cell r="A304" t="str">
            <v>ЕСФ - ОП "АДМИНИСТРАТИВЕН КАПАЦИТЕТ"</v>
          </cell>
        </row>
      </sheetData>
      <sheetData sheetId="3">
        <row r="1">
          <cell r="A1" t="str">
            <v>Изберете група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3:C140"/>
  <sheetViews>
    <sheetView showGridLines="0" view="pageBreakPreview" zoomScale="91" zoomScaleNormal="100" zoomScaleSheetLayoutView="91" workbookViewId="0">
      <selection activeCell="A6" sqref="A6"/>
    </sheetView>
  </sheetViews>
  <sheetFormatPr defaultRowHeight="15.75"/>
  <cols>
    <col min="1" max="1" width="76" style="542" customWidth="1"/>
    <col min="2" max="2" width="12.7109375" style="540" customWidth="1"/>
    <col min="3" max="3" width="18.140625" style="541" customWidth="1"/>
    <col min="4" max="16384" width="9.140625" style="540"/>
  </cols>
  <sheetData>
    <row r="3" spans="1:3">
      <c r="A3" s="191"/>
      <c r="B3" s="197"/>
      <c r="C3" s="199" t="s">
        <v>1494</v>
      </c>
    </row>
    <row r="4" spans="1:3">
      <c r="A4" s="191"/>
      <c r="B4" s="196"/>
      <c r="C4" s="196"/>
    </row>
    <row r="5" spans="1:3">
      <c r="A5" s="191"/>
      <c r="B5" s="196"/>
      <c r="C5" s="196"/>
    </row>
    <row r="6" spans="1:3">
      <c r="A6" s="195" t="s">
        <v>1593</v>
      </c>
      <c r="B6" s="198"/>
      <c r="C6" s="194"/>
    </row>
    <row r="7" spans="1:3">
      <c r="A7" s="195" t="s">
        <v>1493</v>
      </c>
      <c r="B7" s="198"/>
      <c r="C7" s="194"/>
    </row>
    <row r="8" spans="1:3">
      <c r="A8" s="195"/>
      <c r="B8" s="198"/>
      <c r="C8" s="194"/>
    </row>
    <row r="9" spans="1:3">
      <c r="A9" s="195"/>
      <c r="B9" s="198"/>
      <c r="C9" s="194"/>
    </row>
    <row r="10" spans="1:3" s="547" customFormat="1" ht="31.5">
      <c r="A10" s="569" t="s">
        <v>1492</v>
      </c>
      <c r="B10" s="569" t="s">
        <v>1210</v>
      </c>
      <c r="C10" s="568" t="s">
        <v>1592</v>
      </c>
    </row>
    <row r="11" spans="1:3">
      <c r="A11" s="567"/>
      <c r="B11" s="567"/>
      <c r="C11" s="566"/>
    </row>
    <row r="12" spans="1:3" s="547" customFormat="1">
      <c r="A12" s="569" t="s">
        <v>1491</v>
      </c>
      <c r="B12" s="569"/>
      <c r="C12" s="568"/>
    </row>
    <row r="13" spans="1:3">
      <c r="A13" s="567"/>
      <c r="B13" s="567"/>
      <c r="C13" s="566"/>
    </row>
    <row r="14" spans="1:3">
      <c r="A14" s="553" t="s">
        <v>627</v>
      </c>
      <c r="B14" s="555" t="s">
        <v>840</v>
      </c>
      <c r="C14" s="551">
        <v>23977</v>
      </c>
    </row>
    <row r="15" spans="1:3">
      <c r="A15" s="553" t="s">
        <v>839</v>
      </c>
      <c r="B15" s="555" t="s">
        <v>838</v>
      </c>
      <c r="C15" s="551">
        <v>0</v>
      </c>
    </row>
    <row r="16" spans="1:3">
      <c r="A16" s="553" t="s">
        <v>835</v>
      </c>
      <c r="B16" s="555" t="s">
        <v>834</v>
      </c>
      <c r="C16" s="551">
        <v>23975</v>
      </c>
    </row>
    <row r="17" spans="1:3">
      <c r="A17" s="553" t="s">
        <v>831</v>
      </c>
      <c r="B17" s="555" t="s">
        <v>830</v>
      </c>
      <c r="C17" s="551">
        <v>2</v>
      </c>
    </row>
    <row r="18" spans="1:3">
      <c r="A18" s="553" t="s">
        <v>311</v>
      </c>
      <c r="B18" s="555" t="s">
        <v>827</v>
      </c>
      <c r="C18" s="551">
        <v>25000</v>
      </c>
    </row>
    <row r="19" spans="1:3">
      <c r="A19" s="553" t="s">
        <v>818</v>
      </c>
      <c r="B19" s="555" t="s">
        <v>817</v>
      </c>
      <c r="C19" s="551">
        <v>25000</v>
      </c>
    </row>
    <row r="20" spans="1:3">
      <c r="A20" s="553" t="s">
        <v>630</v>
      </c>
      <c r="B20" s="555" t="s">
        <v>802</v>
      </c>
      <c r="C20" s="551">
        <v>300</v>
      </c>
    </row>
    <row r="21" spans="1:3">
      <c r="A21" s="553" t="s">
        <v>859</v>
      </c>
      <c r="B21" s="555" t="s">
        <v>858</v>
      </c>
      <c r="C21" s="551">
        <v>300</v>
      </c>
    </row>
    <row r="22" spans="1:3">
      <c r="A22" s="553" t="s">
        <v>634</v>
      </c>
      <c r="B22" s="555" t="s">
        <v>857</v>
      </c>
      <c r="C22" s="551">
        <v>10803</v>
      </c>
    </row>
    <row r="23" spans="1:3">
      <c r="A23" s="553" t="s">
        <v>856</v>
      </c>
      <c r="B23" s="555" t="s">
        <v>855</v>
      </c>
      <c r="C23" s="551">
        <v>10803</v>
      </c>
    </row>
    <row r="24" spans="1:3" s="547" customFormat="1">
      <c r="A24" s="554"/>
      <c r="B24" s="549" t="s">
        <v>1479</v>
      </c>
      <c r="C24" s="548">
        <f>SUM(C14,C18,C20,C22)</f>
        <v>60080</v>
      </c>
    </row>
    <row r="25" spans="1:3">
      <c r="A25" s="553" t="s">
        <v>650</v>
      </c>
      <c r="B25" s="555" t="s">
        <v>787</v>
      </c>
      <c r="C25" s="551">
        <v>68600939</v>
      </c>
    </row>
    <row r="26" spans="1:3" ht="31.5">
      <c r="A26" s="553" t="s">
        <v>651</v>
      </c>
      <c r="B26" s="555" t="s">
        <v>854</v>
      </c>
      <c r="C26" s="551">
        <v>68600939</v>
      </c>
    </row>
    <row r="27" spans="1:3">
      <c r="A27" s="553" t="s">
        <v>654</v>
      </c>
      <c r="B27" s="555" t="s">
        <v>784</v>
      </c>
      <c r="C27" s="551">
        <v>-303196</v>
      </c>
    </row>
    <row r="28" spans="1:3">
      <c r="A28" s="553" t="s">
        <v>655</v>
      </c>
      <c r="B28" s="555" t="s">
        <v>783</v>
      </c>
      <c r="C28" s="551">
        <v>-303196</v>
      </c>
    </row>
    <row r="29" spans="1:3" ht="31.5">
      <c r="A29" s="553" t="s">
        <v>319</v>
      </c>
      <c r="B29" s="555" t="s">
        <v>782</v>
      </c>
      <c r="C29" s="551">
        <v>-187013</v>
      </c>
    </row>
    <row r="30" spans="1:3">
      <c r="A30" s="553" t="s">
        <v>781</v>
      </c>
      <c r="B30" s="555" t="s">
        <v>780</v>
      </c>
      <c r="C30" s="551">
        <v>-187013</v>
      </c>
    </row>
    <row r="31" spans="1:3" s="547" customFormat="1">
      <c r="A31" s="554"/>
      <c r="B31" s="549" t="s">
        <v>1479</v>
      </c>
      <c r="C31" s="548">
        <f>SUM(C25,C27,C29)</f>
        <v>68110730</v>
      </c>
    </row>
    <row r="32" spans="1:3" ht="31.5">
      <c r="A32" s="553" t="s">
        <v>330</v>
      </c>
      <c r="B32" s="555" t="s">
        <v>779</v>
      </c>
      <c r="C32" s="551">
        <v>76880</v>
      </c>
    </row>
    <row r="33" spans="1:3" s="547" customFormat="1">
      <c r="A33" s="554"/>
      <c r="B33" s="549" t="s">
        <v>1479</v>
      </c>
      <c r="C33" s="548">
        <f>SUM(C32)</f>
        <v>76880</v>
      </c>
    </row>
    <row r="34" spans="1:3" ht="31.5">
      <c r="A34" s="553" t="s">
        <v>1</v>
      </c>
      <c r="B34" s="555" t="s">
        <v>853</v>
      </c>
      <c r="C34" s="551">
        <v>-724790</v>
      </c>
    </row>
    <row r="35" spans="1:3" ht="31.5">
      <c r="A35" s="553" t="s">
        <v>2</v>
      </c>
      <c r="B35" s="555" t="s">
        <v>852</v>
      </c>
      <c r="C35" s="551">
        <v>-724790</v>
      </c>
    </row>
    <row r="36" spans="1:3" ht="31.5">
      <c r="A36" s="553" t="s">
        <v>337</v>
      </c>
      <c r="B36" s="555" t="s">
        <v>771</v>
      </c>
      <c r="C36" s="551">
        <v>9497981</v>
      </c>
    </row>
    <row r="37" spans="1:3">
      <c r="A37" s="553" t="s">
        <v>770</v>
      </c>
      <c r="B37" s="555" t="s">
        <v>769</v>
      </c>
      <c r="C37" s="551">
        <v>9127996</v>
      </c>
    </row>
    <row r="38" spans="1:3" ht="31.5">
      <c r="A38" s="553" t="s">
        <v>768</v>
      </c>
      <c r="B38" s="555" t="s">
        <v>767</v>
      </c>
      <c r="C38" s="551">
        <v>398017</v>
      </c>
    </row>
    <row r="39" spans="1:3" ht="31.5">
      <c r="A39" s="553" t="s">
        <v>1490</v>
      </c>
      <c r="B39" s="555" t="s">
        <v>1489</v>
      </c>
      <c r="C39" s="551">
        <v>-28032</v>
      </c>
    </row>
    <row r="40" spans="1:3" s="547" customFormat="1">
      <c r="A40" s="554"/>
      <c r="B40" s="549" t="s">
        <v>1479</v>
      </c>
      <c r="C40" s="548">
        <f>SUM(C34,C36)</f>
        <v>8773191</v>
      </c>
    </row>
    <row r="41" spans="1:3">
      <c r="A41" s="553"/>
      <c r="B41" s="552"/>
      <c r="C41" s="551"/>
    </row>
    <row r="42" spans="1:3" s="547" customFormat="1">
      <c r="A42" s="550" t="s">
        <v>1488</v>
      </c>
      <c r="B42" s="549"/>
      <c r="C42" s="548">
        <f>SUM(C24,C31,C33,C40)</f>
        <v>77020881</v>
      </c>
    </row>
    <row r="43" spans="1:3" s="547" customFormat="1">
      <c r="A43" s="550"/>
      <c r="B43" s="549"/>
      <c r="C43" s="548"/>
    </row>
    <row r="44" spans="1:3" s="547" customFormat="1">
      <c r="A44" s="565" t="s">
        <v>1205</v>
      </c>
      <c r="B44" s="564"/>
      <c r="C44" s="563"/>
    </row>
    <row r="45" spans="1:3">
      <c r="A45" s="562"/>
      <c r="B45" s="561"/>
      <c r="C45" s="560"/>
    </row>
    <row r="46" spans="1:3">
      <c r="A46" s="559" t="s">
        <v>851</v>
      </c>
      <c r="B46" s="558"/>
      <c r="C46" s="557"/>
    </row>
    <row r="47" spans="1:3">
      <c r="A47" s="559"/>
      <c r="B47" s="558"/>
      <c r="C47" s="557"/>
    </row>
    <row r="48" spans="1:3">
      <c r="A48" s="553" t="s">
        <v>850</v>
      </c>
      <c r="B48" s="555" t="s">
        <v>3</v>
      </c>
      <c r="C48" s="551">
        <v>180000</v>
      </c>
    </row>
    <row r="49" spans="1:3">
      <c r="A49" s="553" t="s">
        <v>1211</v>
      </c>
      <c r="B49" s="555" t="s">
        <v>4</v>
      </c>
      <c r="C49" s="551">
        <v>180000</v>
      </c>
    </row>
    <row r="50" spans="1:3">
      <c r="A50" s="553" t="s">
        <v>1068</v>
      </c>
      <c r="B50" s="555" t="s">
        <v>1069</v>
      </c>
      <c r="C50" s="551">
        <v>80000</v>
      </c>
    </row>
    <row r="51" spans="1:3">
      <c r="A51" s="553" t="s">
        <v>849</v>
      </c>
      <c r="B51" s="555" t="s">
        <v>848</v>
      </c>
      <c r="C51" s="551">
        <v>14950000</v>
      </c>
    </row>
    <row r="52" spans="1:3">
      <c r="A52" s="553" t="s">
        <v>847</v>
      </c>
      <c r="B52" s="555" t="s">
        <v>846</v>
      </c>
      <c r="C52" s="551">
        <v>6100000</v>
      </c>
    </row>
    <row r="53" spans="1:3">
      <c r="A53" s="553" t="s">
        <v>845</v>
      </c>
      <c r="B53" s="555" t="s">
        <v>844</v>
      </c>
      <c r="C53" s="551">
        <v>4500000</v>
      </c>
    </row>
    <row r="54" spans="1:3">
      <c r="A54" s="553" t="s">
        <v>843</v>
      </c>
      <c r="B54" s="555" t="s">
        <v>842</v>
      </c>
      <c r="C54" s="551">
        <v>4200000</v>
      </c>
    </row>
    <row r="55" spans="1:3">
      <c r="A55" s="553" t="s">
        <v>626</v>
      </c>
      <c r="B55" s="555" t="s">
        <v>841</v>
      </c>
      <c r="C55" s="551">
        <v>150000</v>
      </c>
    </row>
    <row r="56" spans="1:3" s="547" customFormat="1">
      <c r="A56" s="554"/>
      <c r="B56" s="549" t="s">
        <v>1479</v>
      </c>
      <c r="C56" s="548">
        <f>SUM(C48,C51)</f>
        <v>15130000</v>
      </c>
    </row>
    <row r="57" spans="1:3">
      <c r="A57" s="553" t="s">
        <v>627</v>
      </c>
      <c r="B57" s="555" t="s">
        <v>840</v>
      </c>
      <c r="C57" s="551">
        <v>4866125</v>
      </c>
    </row>
    <row r="58" spans="1:3">
      <c r="A58" s="553" t="s">
        <v>839</v>
      </c>
      <c r="B58" s="555" t="s">
        <v>838</v>
      </c>
      <c r="C58" s="551">
        <v>2615775</v>
      </c>
    </row>
    <row r="59" spans="1:3">
      <c r="A59" s="553" t="s">
        <v>837</v>
      </c>
      <c r="B59" s="555" t="s">
        <v>836</v>
      </c>
      <c r="C59" s="551">
        <v>1730000</v>
      </c>
    </row>
    <row r="60" spans="1:3">
      <c r="A60" s="553" t="s">
        <v>835</v>
      </c>
      <c r="B60" s="555" t="s">
        <v>834</v>
      </c>
      <c r="C60" s="551">
        <v>500000</v>
      </c>
    </row>
    <row r="61" spans="1:3">
      <c r="A61" s="553" t="s">
        <v>833</v>
      </c>
      <c r="B61" s="555" t="s">
        <v>832</v>
      </c>
      <c r="C61" s="551">
        <v>20000</v>
      </c>
    </row>
    <row r="62" spans="1:3">
      <c r="A62" s="553" t="s">
        <v>831</v>
      </c>
      <c r="B62" s="555" t="s">
        <v>830</v>
      </c>
      <c r="C62" s="551">
        <v>250</v>
      </c>
    </row>
    <row r="63" spans="1:3">
      <c r="A63" s="553" t="s">
        <v>829</v>
      </c>
      <c r="B63" s="555" t="s">
        <v>828</v>
      </c>
      <c r="C63" s="551">
        <v>100</v>
      </c>
    </row>
    <row r="64" spans="1:3">
      <c r="A64" s="553" t="s">
        <v>311</v>
      </c>
      <c r="B64" s="555" t="s">
        <v>827</v>
      </c>
      <c r="C64" s="551">
        <v>8474500</v>
      </c>
    </row>
    <row r="65" spans="1:3">
      <c r="A65" s="553" t="s">
        <v>826</v>
      </c>
      <c r="B65" s="555" t="s">
        <v>825</v>
      </c>
      <c r="C65" s="551">
        <v>64000</v>
      </c>
    </row>
    <row r="66" spans="1:3">
      <c r="A66" s="553" t="s">
        <v>824</v>
      </c>
      <c r="B66" s="555" t="s">
        <v>823</v>
      </c>
      <c r="C66" s="551">
        <v>117000</v>
      </c>
    </row>
    <row r="67" spans="1:3" ht="31.5">
      <c r="A67" s="553" t="s">
        <v>822</v>
      </c>
      <c r="B67" s="555" t="s">
        <v>821</v>
      </c>
      <c r="C67" s="551">
        <v>384000</v>
      </c>
    </row>
    <row r="68" spans="1:3">
      <c r="A68" s="553" t="s">
        <v>820</v>
      </c>
      <c r="B68" s="555" t="s">
        <v>819</v>
      </c>
      <c r="C68" s="551">
        <v>7130000</v>
      </c>
    </row>
    <row r="69" spans="1:3">
      <c r="A69" s="553" t="s">
        <v>818</v>
      </c>
      <c r="B69" s="555" t="s">
        <v>817</v>
      </c>
      <c r="C69" s="551">
        <v>12000</v>
      </c>
    </row>
    <row r="70" spans="1:3">
      <c r="A70" s="553" t="s">
        <v>816</v>
      </c>
      <c r="B70" s="555" t="s">
        <v>815</v>
      </c>
      <c r="C70" s="551">
        <v>420000</v>
      </c>
    </row>
    <row r="71" spans="1:3">
      <c r="A71" s="553" t="s">
        <v>814</v>
      </c>
      <c r="B71" s="555" t="s">
        <v>813</v>
      </c>
      <c r="C71" s="551">
        <v>270000</v>
      </c>
    </row>
    <row r="72" spans="1:3">
      <c r="A72" s="553" t="s">
        <v>812</v>
      </c>
      <c r="B72" s="555" t="s">
        <v>811</v>
      </c>
      <c r="C72" s="551">
        <v>20000</v>
      </c>
    </row>
    <row r="73" spans="1:3">
      <c r="A73" s="553" t="s">
        <v>810</v>
      </c>
      <c r="B73" s="555" t="s">
        <v>809</v>
      </c>
      <c r="C73" s="551">
        <v>7500</v>
      </c>
    </row>
    <row r="74" spans="1:3">
      <c r="A74" s="553" t="s">
        <v>808</v>
      </c>
      <c r="B74" s="555" t="s">
        <v>807</v>
      </c>
      <c r="C74" s="551">
        <v>50000</v>
      </c>
    </row>
    <row r="75" spans="1:3">
      <c r="A75" s="553" t="s">
        <v>628</v>
      </c>
      <c r="B75" s="555" t="s">
        <v>806</v>
      </c>
      <c r="C75" s="551">
        <v>811000</v>
      </c>
    </row>
    <row r="76" spans="1:3">
      <c r="A76" s="553" t="s">
        <v>805</v>
      </c>
      <c r="B76" s="555" t="s">
        <v>804</v>
      </c>
      <c r="C76" s="551">
        <v>56000</v>
      </c>
    </row>
    <row r="77" spans="1:3">
      <c r="A77" s="553" t="s">
        <v>629</v>
      </c>
      <c r="B77" s="555" t="s">
        <v>803</v>
      </c>
      <c r="C77" s="551">
        <v>755000</v>
      </c>
    </row>
    <row r="78" spans="1:3">
      <c r="A78" s="553" t="s">
        <v>630</v>
      </c>
      <c r="B78" s="555" t="s">
        <v>802</v>
      </c>
      <c r="C78" s="551">
        <v>104662</v>
      </c>
    </row>
    <row r="79" spans="1:3">
      <c r="A79" s="553" t="s">
        <v>859</v>
      </c>
      <c r="B79" s="555" t="s">
        <v>858</v>
      </c>
      <c r="C79" s="551">
        <v>44662</v>
      </c>
    </row>
    <row r="80" spans="1:3">
      <c r="A80" s="553" t="s">
        <v>801</v>
      </c>
      <c r="B80" s="555" t="s">
        <v>800</v>
      </c>
      <c r="C80" s="551">
        <v>60000</v>
      </c>
    </row>
    <row r="81" spans="1:3">
      <c r="A81" s="553" t="s">
        <v>799</v>
      </c>
      <c r="B81" s="555" t="s">
        <v>798</v>
      </c>
      <c r="C81" s="551">
        <v>-408500</v>
      </c>
    </row>
    <row r="82" spans="1:3">
      <c r="A82" s="553" t="s">
        <v>797</v>
      </c>
      <c r="B82" s="555" t="s">
        <v>796</v>
      </c>
      <c r="C82" s="551">
        <v>-270000</v>
      </c>
    </row>
    <row r="83" spans="1:3" ht="31.5">
      <c r="A83" s="553" t="s">
        <v>795</v>
      </c>
      <c r="B83" s="555" t="s">
        <v>794</v>
      </c>
      <c r="C83" s="551">
        <v>-138500</v>
      </c>
    </row>
    <row r="84" spans="1:3">
      <c r="A84" s="553" t="s">
        <v>793</v>
      </c>
      <c r="B84" s="555" t="s">
        <v>699</v>
      </c>
      <c r="C84" s="551">
        <v>829670</v>
      </c>
    </row>
    <row r="85" spans="1:3">
      <c r="A85" s="553" t="s">
        <v>792</v>
      </c>
      <c r="B85" s="555" t="s">
        <v>791</v>
      </c>
      <c r="C85" s="551">
        <v>450000</v>
      </c>
    </row>
    <row r="86" spans="1:3">
      <c r="A86" s="553" t="s">
        <v>631</v>
      </c>
      <c r="B86" s="555" t="s">
        <v>790</v>
      </c>
      <c r="C86" s="551">
        <v>50000</v>
      </c>
    </row>
    <row r="87" spans="1:3">
      <c r="A87" s="553" t="s">
        <v>632</v>
      </c>
      <c r="B87" s="555" t="s">
        <v>789</v>
      </c>
      <c r="C87" s="551">
        <v>329670</v>
      </c>
    </row>
    <row r="88" spans="1:3">
      <c r="A88" s="553" t="s">
        <v>633</v>
      </c>
      <c r="B88" s="555" t="s">
        <v>788</v>
      </c>
      <c r="C88" s="551">
        <v>145000</v>
      </c>
    </row>
    <row r="89" spans="1:3" s="547" customFormat="1">
      <c r="A89" s="554"/>
      <c r="B89" s="549" t="s">
        <v>1479</v>
      </c>
      <c r="C89" s="548">
        <f>SUM(C57,C64,C75,C78,C81,C84,C88)</f>
        <v>14822457</v>
      </c>
    </row>
    <row r="90" spans="1:3">
      <c r="A90" s="553" t="s">
        <v>650</v>
      </c>
      <c r="B90" s="555" t="s">
        <v>787</v>
      </c>
      <c r="C90" s="551">
        <v>6105900</v>
      </c>
    </row>
    <row r="91" spans="1:3" ht="31.5">
      <c r="A91" s="553" t="s">
        <v>652</v>
      </c>
      <c r="B91" s="555" t="s">
        <v>786</v>
      </c>
      <c r="C91" s="551">
        <v>3127000</v>
      </c>
    </row>
    <row r="92" spans="1:3">
      <c r="A92" s="553" t="s">
        <v>653</v>
      </c>
      <c r="B92" s="555" t="s">
        <v>785</v>
      </c>
      <c r="C92" s="551">
        <v>2978900</v>
      </c>
    </row>
    <row r="93" spans="1:3">
      <c r="A93" s="553" t="s">
        <v>654</v>
      </c>
      <c r="B93" s="555" t="s">
        <v>784</v>
      </c>
      <c r="C93" s="551">
        <v>-86400</v>
      </c>
    </row>
    <row r="94" spans="1:3">
      <c r="A94" s="553" t="s">
        <v>655</v>
      </c>
      <c r="B94" s="555" t="s">
        <v>783</v>
      </c>
      <c r="C94" s="551">
        <v>-86400</v>
      </c>
    </row>
    <row r="95" spans="1:3" ht="31.5">
      <c r="A95" s="553" t="s">
        <v>319</v>
      </c>
      <c r="B95" s="555" t="s">
        <v>782</v>
      </c>
      <c r="C95" s="551">
        <v>-9455159</v>
      </c>
    </row>
    <row r="96" spans="1:3">
      <c r="A96" s="553" t="s">
        <v>781</v>
      </c>
      <c r="B96" s="555" t="s">
        <v>780</v>
      </c>
      <c r="C96" s="551">
        <v>-9455159</v>
      </c>
    </row>
    <row r="97" spans="1:3" s="547" customFormat="1">
      <c r="A97" s="554"/>
      <c r="B97" s="549" t="s">
        <v>1479</v>
      </c>
      <c r="C97" s="548">
        <f>SUM(C90,C93,C95)</f>
        <v>-3435659</v>
      </c>
    </row>
    <row r="98" spans="1:3" ht="31.5">
      <c r="A98" s="553" t="s">
        <v>330</v>
      </c>
      <c r="B98" s="555" t="s">
        <v>779</v>
      </c>
      <c r="C98" s="551">
        <v>1506185</v>
      </c>
    </row>
    <row r="99" spans="1:3" s="556" customFormat="1">
      <c r="A99" s="554"/>
      <c r="B99" s="549" t="s">
        <v>1479</v>
      </c>
      <c r="C99" s="548">
        <f>SUM(C98)</f>
        <v>1506185</v>
      </c>
    </row>
    <row r="100" spans="1:3">
      <c r="A100" s="553" t="s">
        <v>778</v>
      </c>
      <c r="B100" s="555" t="s">
        <v>777</v>
      </c>
      <c r="C100" s="551">
        <f>SUM(C101,C102,C103,C106)</f>
        <v>13932095</v>
      </c>
    </row>
    <row r="101" spans="1:3">
      <c r="A101" s="553" t="s">
        <v>776</v>
      </c>
      <c r="B101" s="555" t="s">
        <v>775</v>
      </c>
      <c r="C101" s="551">
        <v>4646157</v>
      </c>
    </row>
    <row r="102" spans="1:3">
      <c r="A102" s="553" t="s">
        <v>774</v>
      </c>
      <c r="B102" s="555" t="s">
        <v>773</v>
      </c>
      <c r="C102" s="551">
        <v>-3000000</v>
      </c>
    </row>
    <row r="103" spans="1:3">
      <c r="A103" s="553" t="s">
        <v>656</v>
      </c>
      <c r="B103" s="555" t="s">
        <v>1212</v>
      </c>
      <c r="C103" s="551">
        <v>12471693</v>
      </c>
    </row>
    <row r="104" spans="1:3" ht="31.5">
      <c r="A104" s="553" t="s">
        <v>1487</v>
      </c>
      <c r="B104" s="555" t="s">
        <v>1486</v>
      </c>
      <c r="C104" s="551">
        <v>1139737</v>
      </c>
    </row>
    <row r="105" spans="1:3" ht="47.25">
      <c r="A105" s="553" t="s">
        <v>1485</v>
      </c>
      <c r="B105" s="555" t="s">
        <v>1484</v>
      </c>
      <c r="C105" s="551">
        <v>11331956</v>
      </c>
    </row>
    <row r="106" spans="1:3">
      <c r="A106" s="553" t="s">
        <v>657</v>
      </c>
      <c r="B106" s="555" t="s">
        <v>772</v>
      </c>
      <c r="C106" s="551">
        <v>-185755</v>
      </c>
    </row>
    <row r="107" spans="1:3" ht="31.5">
      <c r="A107" s="553" t="s">
        <v>1483</v>
      </c>
      <c r="B107" s="555" t="s">
        <v>1482</v>
      </c>
      <c r="C107" s="551">
        <v>-11755</v>
      </c>
    </row>
    <row r="108" spans="1:3" ht="47.25">
      <c r="A108" s="553" t="s">
        <v>1481</v>
      </c>
      <c r="B108" s="555" t="s">
        <v>1480</v>
      </c>
      <c r="C108" s="551">
        <v>-174000</v>
      </c>
    </row>
    <row r="109" spans="1:3" ht="31.5">
      <c r="A109" s="553" t="s">
        <v>1</v>
      </c>
      <c r="B109" s="555" t="s">
        <v>853</v>
      </c>
      <c r="C109" s="551">
        <v>-899014</v>
      </c>
    </row>
    <row r="110" spans="1:3" ht="31.5">
      <c r="A110" s="553" t="s">
        <v>2</v>
      </c>
      <c r="B110" s="555" t="s">
        <v>852</v>
      </c>
      <c r="C110" s="551">
        <v>-899014</v>
      </c>
    </row>
    <row r="111" spans="1:3" ht="31.5">
      <c r="A111" s="553" t="s">
        <v>337</v>
      </c>
      <c r="B111" s="555" t="s">
        <v>771</v>
      </c>
      <c r="C111" s="551">
        <v>11434176</v>
      </c>
    </row>
    <row r="112" spans="1:3">
      <c r="A112" s="553" t="s">
        <v>770</v>
      </c>
      <c r="B112" s="555" t="s">
        <v>769</v>
      </c>
      <c r="C112" s="551">
        <v>11361429</v>
      </c>
    </row>
    <row r="113" spans="1:3" ht="31.5">
      <c r="A113" s="553" t="s">
        <v>768</v>
      </c>
      <c r="B113" s="555" t="s">
        <v>767</v>
      </c>
      <c r="C113" s="551">
        <v>76142</v>
      </c>
    </row>
    <row r="114" spans="1:3">
      <c r="A114" s="553" t="s">
        <v>766</v>
      </c>
      <c r="B114" s="555" t="s">
        <v>765</v>
      </c>
      <c r="C114" s="551">
        <v>807826</v>
      </c>
    </row>
    <row r="115" spans="1:3">
      <c r="A115" s="553" t="s">
        <v>764</v>
      </c>
      <c r="B115" s="555" t="s">
        <v>763</v>
      </c>
      <c r="C115" s="551">
        <v>2705</v>
      </c>
    </row>
    <row r="116" spans="1:3">
      <c r="A116" s="553" t="s">
        <v>1066</v>
      </c>
      <c r="B116" s="555" t="s">
        <v>1067</v>
      </c>
      <c r="C116" s="551">
        <v>0</v>
      </c>
    </row>
    <row r="117" spans="1:3">
      <c r="A117" s="553" t="s">
        <v>762</v>
      </c>
      <c r="B117" s="555" t="s">
        <v>761</v>
      </c>
      <c r="C117" s="551">
        <v>-813926</v>
      </c>
    </row>
    <row r="118" spans="1:3" s="547" customFormat="1">
      <c r="A118" s="554"/>
      <c r="B118" s="549" t="s">
        <v>1479</v>
      </c>
      <c r="C118" s="548">
        <f>SUM(C100,C109,C111)</f>
        <v>24467257</v>
      </c>
    </row>
    <row r="119" spans="1:3">
      <c r="A119" s="553"/>
      <c r="B119" s="552"/>
      <c r="C119" s="551"/>
    </row>
    <row r="120" spans="1:3" s="547" customFormat="1">
      <c r="A120" s="550" t="s">
        <v>1478</v>
      </c>
      <c r="B120" s="549"/>
      <c r="C120" s="548">
        <f>SUM(C56,C89,C97,C99,C118)</f>
        <v>52490240</v>
      </c>
    </row>
    <row r="121" spans="1:3" s="547" customFormat="1">
      <c r="A121" s="550"/>
      <c r="B121" s="549"/>
      <c r="C121" s="548"/>
    </row>
    <row r="122" spans="1:3" s="543" customFormat="1" ht="24" customHeight="1">
      <c r="A122" s="546" t="s">
        <v>1477</v>
      </c>
      <c r="B122" s="545"/>
      <c r="C122" s="544">
        <f>SUM(C42,C120)</f>
        <v>129511121</v>
      </c>
    </row>
    <row r="125" spans="1:3">
      <c r="A125" s="155"/>
    </row>
    <row r="126" spans="1:3">
      <c r="A126" s="156"/>
    </row>
    <row r="127" spans="1:3">
      <c r="A127" s="155"/>
    </row>
    <row r="128" spans="1:3">
      <c r="A128" s="157"/>
    </row>
    <row r="129" spans="1:1">
      <c r="A129" s="155"/>
    </row>
    <row r="130" spans="1:1">
      <c r="A130" s="157" t="s">
        <v>1589</v>
      </c>
    </row>
    <row r="131" spans="1:1">
      <c r="A131" s="157" t="s">
        <v>1590</v>
      </c>
    </row>
    <row r="132" spans="1:1">
      <c r="A132" s="157" t="s">
        <v>1591</v>
      </c>
    </row>
    <row r="133" spans="1:1">
      <c r="A133" s="156"/>
    </row>
    <row r="134" spans="1:1">
      <c r="A134" s="155"/>
    </row>
    <row r="135" spans="1:1">
      <c r="A135" s="155"/>
    </row>
    <row r="136" spans="1:1">
      <c r="A136" s="156"/>
    </row>
    <row r="137" spans="1:1">
      <c r="A137" s="156"/>
    </row>
    <row r="138" spans="1:1">
      <c r="A138" s="193"/>
    </row>
    <row r="139" spans="1:1">
      <c r="A139" s="192"/>
    </row>
    <row r="140" spans="1:1">
      <c r="A140" s="192"/>
    </row>
  </sheetData>
  <sheetProtection selectLockedCells="1" selectUnlockedCells="1"/>
  <pageMargins left="0.70866141732283472" right="0.70866141732283472" top="0.74803149606299213" bottom="0.74803149606299213" header="0.51181102362204722" footer="0.51181102362204722"/>
  <pageSetup paperSize="9" scale="81" firstPageNumber="0" fitToHeight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F71"/>
  <sheetViews>
    <sheetView topLeftCell="A46" workbookViewId="0">
      <selection activeCell="B61" sqref="B61"/>
    </sheetView>
  </sheetViews>
  <sheetFormatPr defaultRowHeight="12.75"/>
  <cols>
    <col min="1" max="1" width="4.5703125" style="301" customWidth="1"/>
    <col min="2" max="2" width="56.42578125" style="301" customWidth="1"/>
    <col min="3" max="4" width="13.85546875" style="301" customWidth="1"/>
    <col min="5" max="5" width="12" style="301" customWidth="1"/>
    <col min="6" max="6" width="13.85546875" style="301" customWidth="1"/>
    <col min="7" max="252" width="9.140625" style="301"/>
    <col min="253" max="253" width="4.5703125" style="301" customWidth="1"/>
    <col min="254" max="254" width="50.28515625" style="301" customWidth="1"/>
    <col min="255" max="258" width="15.7109375" style="301" customWidth="1"/>
    <col min="259" max="508" width="9.140625" style="301"/>
    <col min="509" max="509" width="4.5703125" style="301" customWidth="1"/>
    <col min="510" max="510" width="50.28515625" style="301" customWidth="1"/>
    <col min="511" max="514" width="15.7109375" style="301" customWidth="1"/>
    <col min="515" max="764" width="9.140625" style="301"/>
    <col min="765" max="765" width="4.5703125" style="301" customWidth="1"/>
    <col min="766" max="766" width="50.28515625" style="301" customWidth="1"/>
    <col min="767" max="770" width="15.7109375" style="301" customWidth="1"/>
    <col min="771" max="1020" width="9.140625" style="301"/>
    <col min="1021" max="1021" width="4.5703125" style="301" customWidth="1"/>
    <col min="1022" max="1022" width="50.28515625" style="301" customWidth="1"/>
    <col min="1023" max="1026" width="15.7109375" style="301" customWidth="1"/>
    <col min="1027" max="1276" width="9.140625" style="301"/>
    <col min="1277" max="1277" width="4.5703125" style="301" customWidth="1"/>
    <col min="1278" max="1278" width="50.28515625" style="301" customWidth="1"/>
    <col min="1279" max="1282" width="15.7109375" style="301" customWidth="1"/>
    <col min="1283" max="1532" width="9.140625" style="301"/>
    <col min="1533" max="1533" width="4.5703125" style="301" customWidth="1"/>
    <col min="1534" max="1534" width="50.28515625" style="301" customWidth="1"/>
    <col min="1535" max="1538" width="15.7109375" style="301" customWidth="1"/>
    <col min="1539" max="1788" width="9.140625" style="301"/>
    <col min="1789" max="1789" width="4.5703125" style="301" customWidth="1"/>
    <col min="1790" max="1790" width="50.28515625" style="301" customWidth="1"/>
    <col min="1791" max="1794" width="15.7109375" style="301" customWidth="1"/>
    <col min="1795" max="2044" width="9.140625" style="301"/>
    <col min="2045" max="2045" width="4.5703125" style="301" customWidth="1"/>
    <col min="2046" max="2046" width="50.28515625" style="301" customWidth="1"/>
    <col min="2047" max="2050" width="15.7109375" style="301" customWidth="1"/>
    <col min="2051" max="2300" width="9.140625" style="301"/>
    <col min="2301" max="2301" width="4.5703125" style="301" customWidth="1"/>
    <col min="2302" max="2302" width="50.28515625" style="301" customWidth="1"/>
    <col min="2303" max="2306" width="15.7109375" style="301" customWidth="1"/>
    <col min="2307" max="2556" width="9.140625" style="301"/>
    <col min="2557" max="2557" width="4.5703125" style="301" customWidth="1"/>
    <col min="2558" max="2558" width="50.28515625" style="301" customWidth="1"/>
    <col min="2559" max="2562" width="15.7109375" style="301" customWidth="1"/>
    <col min="2563" max="2812" width="9.140625" style="301"/>
    <col min="2813" max="2813" width="4.5703125" style="301" customWidth="1"/>
    <col min="2814" max="2814" width="50.28515625" style="301" customWidth="1"/>
    <col min="2815" max="2818" width="15.7109375" style="301" customWidth="1"/>
    <col min="2819" max="3068" width="9.140625" style="301"/>
    <col min="3069" max="3069" width="4.5703125" style="301" customWidth="1"/>
    <col min="3070" max="3070" width="50.28515625" style="301" customWidth="1"/>
    <col min="3071" max="3074" width="15.7109375" style="301" customWidth="1"/>
    <col min="3075" max="3324" width="9.140625" style="301"/>
    <col min="3325" max="3325" width="4.5703125" style="301" customWidth="1"/>
    <col min="3326" max="3326" width="50.28515625" style="301" customWidth="1"/>
    <col min="3327" max="3330" width="15.7109375" style="301" customWidth="1"/>
    <col min="3331" max="3580" width="9.140625" style="301"/>
    <col min="3581" max="3581" width="4.5703125" style="301" customWidth="1"/>
    <col min="3582" max="3582" width="50.28515625" style="301" customWidth="1"/>
    <col min="3583" max="3586" width="15.7109375" style="301" customWidth="1"/>
    <col min="3587" max="3836" width="9.140625" style="301"/>
    <col min="3837" max="3837" width="4.5703125" style="301" customWidth="1"/>
    <col min="3838" max="3838" width="50.28515625" style="301" customWidth="1"/>
    <col min="3839" max="3842" width="15.7109375" style="301" customWidth="1"/>
    <col min="3843" max="4092" width="9.140625" style="301"/>
    <col min="4093" max="4093" width="4.5703125" style="301" customWidth="1"/>
    <col min="4094" max="4094" width="50.28515625" style="301" customWidth="1"/>
    <col min="4095" max="4098" width="15.7109375" style="301" customWidth="1"/>
    <col min="4099" max="4348" width="9.140625" style="301"/>
    <col min="4349" max="4349" width="4.5703125" style="301" customWidth="1"/>
    <col min="4350" max="4350" width="50.28515625" style="301" customWidth="1"/>
    <col min="4351" max="4354" width="15.7109375" style="301" customWidth="1"/>
    <col min="4355" max="4604" width="9.140625" style="301"/>
    <col min="4605" max="4605" width="4.5703125" style="301" customWidth="1"/>
    <col min="4606" max="4606" width="50.28515625" style="301" customWidth="1"/>
    <col min="4607" max="4610" width="15.7109375" style="301" customWidth="1"/>
    <col min="4611" max="4860" width="9.140625" style="301"/>
    <col min="4861" max="4861" width="4.5703125" style="301" customWidth="1"/>
    <col min="4862" max="4862" width="50.28515625" style="301" customWidth="1"/>
    <col min="4863" max="4866" width="15.7109375" style="301" customWidth="1"/>
    <col min="4867" max="5116" width="9.140625" style="301"/>
    <col min="5117" max="5117" width="4.5703125" style="301" customWidth="1"/>
    <col min="5118" max="5118" width="50.28515625" style="301" customWidth="1"/>
    <col min="5119" max="5122" width="15.7109375" style="301" customWidth="1"/>
    <col min="5123" max="5372" width="9.140625" style="301"/>
    <col min="5373" max="5373" width="4.5703125" style="301" customWidth="1"/>
    <col min="5374" max="5374" width="50.28515625" style="301" customWidth="1"/>
    <col min="5375" max="5378" width="15.7109375" style="301" customWidth="1"/>
    <col min="5379" max="5628" width="9.140625" style="301"/>
    <col min="5629" max="5629" width="4.5703125" style="301" customWidth="1"/>
    <col min="5630" max="5630" width="50.28515625" style="301" customWidth="1"/>
    <col min="5631" max="5634" width="15.7109375" style="301" customWidth="1"/>
    <col min="5635" max="5884" width="9.140625" style="301"/>
    <col min="5885" max="5885" width="4.5703125" style="301" customWidth="1"/>
    <col min="5886" max="5886" width="50.28515625" style="301" customWidth="1"/>
    <col min="5887" max="5890" width="15.7109375" style="301" customWidth="1"/>
    <col min="5891" max="6140" width="9.140625" style="301"/>
    <col min="6141" max="6141" width="4.5703125" style="301" customWidth="1"/>
    <col min="6142" max="6142" width="50.28515625" style="301" customWidth="1"/>
    <col min="6143" max="6146" width="15.7109375" style="301" customWidth="1"/>
    <col min="6147" max="6396" width="9.140625" style="301"/>
    <col min="6397" max="6397" width="4.5703125" style="301" customWidth="1"/>
    <col min="6398" max="6398" width="50.28515625" style="301" customWidth="1"/>
    <col min="6399" max="6402" width="15.7109375" style="301" customWidth="1"/>
    <col min="6403" max="6652" width="9.140625" style="301"/>
    <col min="6653" max="6653" width="4.5703125" style="301" customWidth="1"/>
    <col min="6654" max="6654" width="50.28515625" style="301" customWidth="1"/>
    <col min="6655" max="6658" width="15.7109375" style="301" customWidth="1"/>
    <col min="6659" max="6908" width="9.140625" style="301"/>
    <col min="6909" max="6909" width="4.5703125" style="301" customWidth="1"/>
    <col min="6910" max="6910" width="50.28515625" style="301" customWidth="1"/>
    <col min="6911" max="6914" width="15.7109375" style="301" customWidth="1"/>
    <col min="6915" max="7164" width="9.140625" style="301"/>
    <col min="7165" max="7165" width="4.5703125" style="301" customWidth="1"/>
    <col min="7166" max="7166" width="50.28515625" style="301" customWidth="1"/>
    <col min="7167" max="7170" width="15.7109375" style="301" customWidth="1"/>
    <col min="7171" max="7420" width="9.140625" style="301"/>
    <col min="7421" max="7421" width="4.5703125" style="301" customWidth="1"/>
    <col min="7422" max="7422" width="50.28515625" style="301" customWidth="1"/>
    <col min="7423" max="7426" width="15.7109375" style="301" customWidth="1"/>
    <col min="7427" max="7676" width="9.140625" style="301"/>
    <col min="7677" max="7677" width="4.5703125" style="301" customWidth="1"/>
    <col min="7678" max="7678" width="50.28515625" style="301" customWidth="1"/>
    <col min="7679" max="7682" width="15.7109375" style="301" customWidth="1"/>
    <col min="7683" max="7932" width="9.140625" style="301"/>
    <col min="7933" max="7933" width="4.5703125" style="301" customWidth="1"/>
    <col min="7934" max="7934" width="50.28515625" style="301" customWidth="1"/>
    <col min="7935" max="7938" width="15.7109375" style="301" customWidth="1"/>
    <col min="7939" max="8188" width="9.140625" style="301"/>
    <col min="8189" max="8189" width="4.5703125" style="301" customWidth="1"/>
    <col min="8190" max="8190" width="50.28515625" style="301" customWidth="1"/>
    <col min="8191" max="8194" width="15.7109375" style="301" customWidth="1"/>
    <col min="8195" max="8444" width="9.140625" style="301"/>
    <col min="8445" max="8445" width="4.5703125" style="301" customWidth="1"/>
    <col min="8446" max="8446" width="50.28515625" style="301" customWidth="1"/>
    <col min="8447" max="8450" width="15.7109375" style="301" customWidth="1"/>
    <col min="8451" max="8700" width="9.140625" style="301"/>
    <col min="8701" max="8701" width="4.5703125" style="301" customWidth="1"/>
    <col min="8702" max="8702" width="50.28515625" style="301" customWidth="1"/>
    <col min="8703" max="8706" width="15.7109375" style="301" customWidth="1"/>
    <col min="8707" max="8956" width="9.140625" style="301"/>
    <col min="8957" max="8957" width="4.5703125" style="301" customWidth="1"/>
    <col min="8958" max="8958" width="50.28515625" style="301" customWidth="1"/>
    <col min="8959" max="8962" width="15.7109375" style="301" customWidth="1"/>
    <col min="8963" max="9212" width="9.140625" style="301"/>
    <col min="9213" max="9213" width="4.5703125" style="301" customWidth="1"/>
    <col min="9214" max="9214" width="50.28515625" style="301" customWidth="1"/>
    <col min="9215" max="9218" width="15.7109375" style="301" customWidth="1"/>
    <col min="9219" max="9468" width="9.140625" style="301"/>
    <col min="9469" max="9469" width="4.5703125" style="301" customWidth="1"/>
    <col min="9470" max="9470" width="50.28515625" style="301" customWidth="1"/>
    <col min="9471" max="9474" width="15.7109375" style="301" customWidth="1"/>
    <col min="9475" max="9724" width="9.140625" style="301"/>
    <col min="9725" max="9725" width="4.5703125" style="301" customWidth="1"/>
    <col min="9726" max="9726" width="50.28515625" style="301" customWidth="1"/>
    <col min="9727" max="9730" width="15.7109375" style="301" customWidth="1"/>
    <col min="9731" max="9980" width="9.140625" style="301"/>
    <col min="9981" max="9981" width="4.5703125" style="301" customWidth="1"/>
    <col min="9982" max="9982" width="50.28515625" style="301" customWidth="1"/>
    <col min="9983" max="9986" width="15.7109375" style="301" customWidth="1"/>
    <col min="9987" max="10236" width="9.140625" style="301"/>
    <col min="10237" max="10237" width="4.5703125" style="301" customWidth="1"/>
    <col min="10238" max="10238" width="50.28515625" style="301" customWidth="1"/>
    <col min="10239" max="10242" width="15.7109375" style="301" customWidth="1"/>
    <col min="10243" max="10492" width="9.140625" style="301"/>
    <col min="10493" max="10493" width="4.5703125" style="301" customWidth="1"/>
    <col min="10494" max="10494" width="50.28515625" style="301" customWidth="1"/>
    <col min="10495" max="10498" width="15.7109375" style="301" customWidth="1"/>
    <col min="10499" max="10748" width="9.140625" style="301"/>
    <col min="10749" max="10749" width="4.5703125" style="301" customWidth="1"/>
    <col min="10750" max="10750" width="50.28515625" style="301" customWidth="1"/>
    <col min="10751" max="10754" width="15.7109375" style="301" customWidth="1"/>
    <col min="10755" max="11004" width="9.140625" style="301"/>
    <col min="11005" max="11005" width="4.5703125" style="301" customWidth="1"/>
    <col min="11006" max="11006" width="50.28515625" style="301" customWidth="1"/>
    <col min="11007" max="11010" width="15.7109375" style="301" customWidth="1"/>
    <col min="11011" max="11260" width="9.140625" style="301"/>
    <col min="11261" max="11261" width="4.5703125" style="301" customWidth="1"/>
    <col min="11262" max="11262" width="50.28515625" style="301" customWidth="1"/>
    <col min="11263" max="11266" width="15.7109375" style="301" customWidth="1"/>
    <col min="11267" max="11516" width="9.140625" style="301"/>
    <col min="11517" max="11517" width="4.5703125" style="301" customWidth="1"/>
    <col min="11518" max="11518" width="50.28515625" style="301" customWidth="1"/>
    <col min="11519" max="11522" width="15.7109375" style="301" customWidth="1"/>
    <col min="11523" max="11772" width="9.140625" style="301"/>
    <col min="11773" max="11773" width="4.5703125" style="301" customWidth="1"/>
    <col min="11774" max="11774" width="50.28515625" style="301" customWidth="1"/>
    <col min="11775" max="11778" width="15.7109375" style="301" customWidth="1"/>
    <col min="11779" max="12028" width="9.140625" style="301"/>
    <col min="12029" max="12029" width="4.5703125" style="301" customWidth="1"/>
    <col min="12030" max="12030" width="50.28515625" style="301" customWidth="1"/>
    <col min="12031" max="12034" width="15.7109375" style="301" customWidth="1"/>
    <col min="12035" max="12284" width="9.140625" style="301"/>
    <col min="12285" max="12285" width="4.5703125" style="301" customWidth="1"/>
    <col min="12286" max="12286" width="50.28515625" style="301" customWidth="1"/>
    <col min="12287" max="12290" width="15.7109375" style="301" customWidth="1"/>
    <col min="12291" max="12540" width="9.140625" style="301"/>
    <col min="12541" max="12541" width="4.5703125" style="301" customWidth="1"/>
    <col min="12542" max="12542" width="50.28515625" style="301" customWidth="1"/>
    <col min="12543" max="12546" width="15.7109375" style="301" customWidth="1"/>
    <col min="12547" max="12796" width="9.140625" style="301"/>
    <col min="12797" max="12797" width="4.5703125" style="301" customWidth="1"/>
    <col min="12798" max="12798" width="50.28515625" style="301" customWidth="1"/>
    <col min="12799" max="12802" width="15.7109375" style="301" customWidth="1"/>
    <col min="12803" max="13052" width="9.140625" style="301"/>
    <col min="13053" max="13053" width="4.5703125" style="301" customWidth="1"/>
    <col min="13054" max="13054" width="50.28515625" style="301" customWidth="1"/>
    <col min="13055" max="13058" width="15.7109375" style="301" customWidth="1"/>
    <col min="13059" max="13308" width="9.140625" style="301"/>
    <col min="13309" max="13309" width="4.5703125" style="301" customWidth="1"/>
    <col min="13310" max="13310" width="50.28515625" style="301" customWidth="1"/>
    <col min="13311" max="13314" width="15.7109375" style="301" customWidth="1"/>
    <col min="13315" max="13564" width="9.140625" style="301"/>
    <col min="13565" max="13565" width="4.5703125" style="301" customWidth="1"/>
    <col min="13566" max="13566" width="50.28515625" style="301" customWidth="1"/>
    <col min="13567" max="13570" width="15.7109375" style="301" customWidth="1"/>
    <col min="13571" max="13820" width="9.140625" style="301"/>
    <col min="13821" max="13821" width="4.5703125" style="301" customWidth="1"/>
    <col min="13822" max="13822" width="50.28515625" style="301" customWidth="1"/>
    <col min="13823" max="13826" width="15.7109375" style="301" customWidth="1"/>
    <col min="13827" max="14076" width="9.140625" style="301"/>
    <col min="14077" max="14077" width="4.5703125" style="301" customWidth="1"/>
    <col min="14078" max="14078" width="50.28515625" style="301" customWidth="1"/>
    <col min="14079" max="14082" width="15.7109375" style="301" customWidth="1"/>
    <col min="14083" max="14332" width="9.140625" style="301"/>
    <col min="14333" max="14333" width="4.5703125" style="301" customWidth="1"/>
    <col min="14334" max="14334" width="50.28515625" style="301" customWidth="1"/>
    <col min="14335" max="14338" width="15.7109375" style="301" customWidth="1"/>
    <col min="14339" max="14588" width="9.140625" style="301"/>
    <col min="14589" max="14589" width="4.5703125" style="301" customWidth="1"/>
    <col min="14590" max="14590" width="50.28515625" style="301" customWidth="1"/>
    <col min="14591" max="14594" width="15.7109375" style="301" customWidth="1"/>
    <col min="14595" max="14844" width="9.140625" style="301"/>
    <col min="14845" max="14845" width="4.5703125" style="301" customWidth="1"/>
    <col min="14846" max="14846" width="50.28515625" style="301" customWidth="1"/>
    <col min="14847" max="14850" width="15.7109375" style="301" customWidth="1"/>
    <col min="14851" max="15100" width="9.140625" style="301"/>
    <col min="15101" max="15101" width="4.5703125" style="301" customWidth="1"/>
    <col min="15102" max="15102" width="50.28515625" style="301" customWidth="1"/>
    <col min="15103" max="15106" width="15.7109375" style="301" customWidth="1"/>
    <col min="15107" max="15356" width="9.140625" style="301"/>
    <col min="15357" max="15357" width="4.5703125" style="301" customWidth="1"/>
    <col min="15358" max="15358" width="50.28515625" style="301" customWidth="1"/>
    <col min="15359" max="15362" width="15.7109375" style="301" customWidth="1"/>
    <col min="15363" max="15612" width="9.140625" style="301"/>
    <col min="15613" max="15613" width="4.5703125" style="301" customWidth="1"/>
    <col min="15614" max="15614" width="50.28515625" style="301" customWidth="1"/>
    <col min="15615" max="15618" width="15.7109375" style="301" customWidth="1"/>
    <col min="15619" max="15868" width="9.140625" style="301"/>
    <col min="15869" max="15869" width="4.5703125" style="301" customWidth="1"/>
    <col min="15870" max="15870" width="50.28515625" style="301" customWidth="1"/>
    <col min="15871" max="15874" width="15.7109375" style="301" customWidth="1"/>
    <col min="15875" max="16124" width="9.140625" style="301"/>
    <col min="16125" max="16125" width="4.5703125" style="301" customWidth="1"/>
    <col min="16126" max="16126" width="50.28515625" style="301" customWidth="1"/>
    <col min="16127" max="16130" width="15.7109375" style="301" customWidth="1"/>
    <col min="16131" max="16384" width="9.140625" style="301"/>
  </cols>
  <sheetData>
    <row r="1" spans="1:6" ht="15.75">
      <c r="D1" s="109"/>
      <c r="F1" s="345" t="s">
        <v>1286</v>
      </c>
    </row>
    <row r="2" spans="1:6" ht="15.75">
      <c r="B2" s="302"/>
      <c r="C2" s="303"/>
      <c r="D2" s="109"/>
      <c r="E2" s="109"/>
    </row>
    <row r="3" spans="1:6" ht="18.75">
      <c r="A3" s="761" t="s">
        <v>423</v>
      </c>
      <c r="B3" s="761"/>
      <c r="C3" s="761"/>
      <c r="D3" s="761"/>
      <c r="E3" s="761"/>
      <c r="F3" s="761"/>
    </row>
    <row r="4" spans="1:6" ht="18.75">
      <c r="A4" s="761" t="s">
        <v>1304</v>
      </c>
      <c r="B4" s="761"/>
      <c r="C4" s="761"/>
      <c r="D4" s="761"/>
      <c r="E4" s="761"/>
      <c r="F4" s="761"/>
    </row>
    <row r="5" spans="1:6" ht="18.75">
      <c r="A5" s="761" t="s">
        <v>1305</v>
      </c>
      <c r="B5" s="761"/>
      <c r="C5" s="761"/>
      <c r="D5" s="761"/>
      <c r="E5" s="761"/>
      <c r="F5" s="761"/>
    </row>
    <row r="6" spans="1:6" ht="20.25" customHeight="1"/>
    <row r="7" spans="1:6" ht="15.75">
      <c r="A7" s="762" t="s">
        <v>424</v>
      </c>
      <c r="B7" s="764" t="s">
        <v>1157</v>
      </c>
      <c r="C7" s="764" t="s">
        <v>120</v>
      </c>
      <c r="D7" s="766" t="s">
        <v>1158</v>
      </c>
      <c r="E7" s="767"/>
      <c r="F7" s="768"/>
    </row>
    <row r="8" spans="1:6" ht="31.5">
      <c r="A8" s="763"/>
      <c r="B8" s="765"/>
      <c r="C8" s="765"/>
      <c r="D8" s="304" t="s">
        <v>425</v>
      </c>
      <c r="E8" s="305" t="s">
        <v>426</v>
      </c>
      <c r="F8" s="305" t="s">
        <v>1290</v>
      </c>
    </row>
    <row r="9" spans="1:6">
      <c r="A9" s="306">
        <v>1</v>
      </c>
      <c r="B9" s="306">
        <v>2</v>
      </c>
      <c r="C9" s="306">
        <v>3</v>
      </c>
      <c r="D9" s="307">
        <v>4</v>
      </c>
      <c r="E9" s="306">
        <v>5</v>
      </c>
      <c r="F9" s="306">
        <v>6</v>
      </c>
    </row>
    <row r="10" spans="1:6" ht="15.75">
      <c r="A10" s="308">
        <v>1</v>
      </c>
      <c r="B10" s="309" t="s">
        <v>427</v>
      </c>
      <c r="C10" s="310">
        <f>+C11+C12</f>
        <v>3196524</v>
      </c>
      <c r="D10" s="310">
        <f>+D11+D12</f>
        <v>2690134</v>
      </c>
      <c r="E10" s="310">
        <f>+E11+E12</f>
        <v>506390</v>
      </c>
      <c r="F10" s="310">
        <f>+F11+F12</f>
        <v>0</v>
      </c>
    </row>
    <row r="11" spans="1:6" ht="15.75">
      <c r="A11" s="311"/>
      <c r="B11" s="312" t="s">
        <v>428</v>
      </c>
      <c r="C11" s="313">
        <f>+D11+E11+F11</f>
        <v>3193452</v>
      </c>
      <c r="D11" s="314">
        <v>2690134</v>
      </c>
      <c r="E11" s="314">
        <f>506390-3072</f>
        <v>503318</v>
      </c>
      <c r="F11" s="314"/>
    </row>
    <row r="12" spans="1:6" ht="15.75">
      <c r="A12" s="311"/>
      <c r="B12" s="312" t="s">
        <v>429</v>
      </c>
      <c r="C12" s="313">
        <f>+D12+E12+F12</f>
        <v>3072</v>
      </c>
      <c r="D12" s="314">
        <v>0</v>
      </c>
      <c r="E12" s="314">
        <v>3072</v>
      </c>
      <c r="F12" s="314"/>
    </row>
    <row r="13" spans="1:6">
      <c r="A13" s="315"/>
      <c r="B13" s="315"/>
      <c r="C13" s="315"/>
      <c r="D13" s="315"/>
      <c r="E13" s="315"/>
      <c r="F13" s="315"/>
    </row>
    <row r="14" spans="1:6" ht="15.75">
      <c r="A14" s="308">
        <v>2</v>
      </c>
      <c r="B14" s="309" t="s">
        <v>430</v>
      </c>
      <c r="C14" s="310">
        <f>+C15+C16</f>
        <v>795580</v>
      </c>
      <c r="D14" s="310">
        <f>+D15+D16</f>
        <v>689464</v>
      </c>
      <c r="E14" s="310">
        <f>+E15+E16</f>
        <v>100056</v>
      </c>
      <c r="F14" s="310">
        <f>+F15+F16</f>
        <v>6060</v>
      </c>
    </row>
    <row r="15" spans="1:6" ht="15.75">
      <c r="A15" s="311"/>
      <c r="B15" s="312" t="s">
        <v>428</v>
      </c>
      <c r="C15" s="313">
        <f>+D15+E15+F15</f>
        <v>339856</v>
      </c>
      <c r="D15" s="314">
        <f>800524-96000-15060-399664</f>
        <v>289800</v>
      </c>
      <c r="E15" s="314">
        <f>106116-50000-6060</f>
        <v>50056</v>
      </c>
      <c r="F15" s="314"/>
    </row>
    <row r="16" spans="1:6" ht="15.75">
      <c r="A16" s="311"/>
      <c r="B16" s="312" t="s">
        <v>429</v>
      </c>
      <c r="C16" s="313">
        <f>+D16+E16+F16</f>
        <v>455724</v>
      </c>
      <c r="D16" s="314">
        <v>399664</v>
      </c>
      <c r="E16" s="314">
        <f>50000</f>
        <v>50000</v>
      </c>
      <c r="F16" s="314">
        <v>6060</v>
      </c>
    </row>
    <row r="17" spans="1:6">
      <c r="A17" s="315"/>
      <c r="B17" s="315"/>
      <c r="C17" s="315"/>
      <c r="D17" s="315"/>
      <c r="E17" s="315"/>
      <c r="F17" s="315"/>
    </row>
    <row r="18" spans="1:6" ht="15.75">
      <c r="A18" s="308">
        <v>3</v>
      </c>
      <c r="B18" s="309" t="s">
        <v>431</v>
      </c>
      <c r="C18" s="310">
        <f>+C19+C20</f>
        <v>3726262</v>
      </c>
      <c r="D18" s="310">
        <f>+D19+D20</f>
        <v>3239501</v>
      </c>
      <c r="E18" s="310">
        <f>+E19+E20</f>
        <v>446480</v>
      </c>
      <c r="F18" s="310">
        <f>+F19+F20</f>
        <v>40281</v>
      </c>
    </row>
    <row r="19" spans="1:6" ht="15.75">
      <c r="A19" s="311"/>
      <c r="B19" s="312" t="s">
        <v>428</v>
      </c>
      <c r="C19" s="313">
        <f>+D19+E19+F19</f>
        <v>3130793</v>
      </c>
      <c r="D19" s="314">
        <f>3239501-577700</f>
        <v>2661801</v>
      </c>
      <c r="E19" s="314">
        <f>486761-17769-22512</f>
        <v>446480</v>
      </c>
      <c r="F19" s="314">
        <v>22512</v>
      </c>
    </row>
    <row r="20" spans="1:6" ht="15.75">
      <c r="A20" s="311"/>
      <c r="B20" s="312" t="s">
        <v>429</v>
      </c>
      <c r="C20" s="313">
        <f>+D20+E20+F20</f>
        <v>595469</v>
      </c>
      <c r="D20" s="314">
        <v>577700</v>
      </c>
      <c r="E20" s="314"/>
      <c r="F20" s="314">
        <v>17769</v>
      </c>
    </row>
    <row r="21" spans="1:6">
      <c r="A21" s="315"/>
      <c r="B21" s="315"/>
      <c r="C21" s="315"/>
      <c r="D21" s="315"/>
      <c r="E21" s="315"/>
      <c r="F21" s="315"/>
    </row>
    <row r="22" spans="1:6" ht="15.75">
      <c r="A22" s="308">
        <v>4</v>
      </c>
      <c r="B22" s="309" t="s">
        <v>432</v>
      </c>
      <c r="C22" s="310">
        <f>+C23+C24</f>
        <v>1027513</v>
      </c>
      <c r="D22" s="310">
        <f>+D23+D24</f>
        <v>892708</v>
      </c>
      <c r="E22" s="310">
        <f>+E23+E24</f>
        <v>134805</v>
      </c>
      <c r="F22" s="310">
        <f>+F23+F24</f>
        <v>0</v>
      </c>
    </row>
    <row r="23" spans="1:6" ht="15.75">
      <c r="A23" s="311"/>
      <c r="B23" s="312" t="s">
        <v>428</v>
      </c>
      <c r="C23" s="313">
        <f>+D23+E23+F23</f>
        <v>497958</v>
      </c>
      <c r="D23" s="314">
        <f>2162708-1270000-529555</f>
        <v>363153</v>
      </c>
      <c r="E23" s="314">
        <v>134805</v>
      </c>
      <c r="F23" s="314"/>
    </row>
    <row r="24" spans="1:6" ht="15.75">
      <c r="A24" s="311"/>
      <c r="B24" s="312" t="s">
        <v>429</v>
      </c>
      <c r="C24" s="313">
        <f>+D24+E24+F24</f>
        <v>529555</v>
      </c>
      <c r="D24" s="314">
        <v>529555</v>
      </c>
      <c r="E24" s="314"/>
      <c r="F24" s="314"/>
    </row>
    <row r="25" spans="1:6">
      <c r="A25" s="315"/>
      <c r="B25" s="315"/>
      <c r="C25" s="315"/>
      <c r="D25" s="315"/>
      <c r="E25" s="315"/>
      <c r="F25" s="315"/>
    </row>
    <row r="26" spans="1:6" ht="31.5">
      <c r="A26" s="308">
        <v>5</v>
      </c>
      <c r="B26" s="309" t="s">
        <v>433</v>
      </c>
      <c r="C26" s="310">
        <f>+C27+C28</f>
        <v>1001671</v>
      </c>
      <c r="D26" s="310">
        <f>+D27+D28</f>
        <v>865486</v>
      </c>
      <c r="E26" s="310">
        <f>+E27+E28</f>
        <v>111835</v>
      </c>
      <c r="F26" s="310">
        <f>+F27+F28</f>
        <v>24350</v>
      </c>
    </row>
    <row r="27" spans="1:6" ht="15.75">
      <c r="A27" s="311"/>
      <c r="B27" s="312" t="s">
        <v>428</v>
      </c>
      <c r="C27" s="313">
        <f>+D27+E27+F27</f>
        <v>643318</v>
      </c>
      <c r="D27" s="314">
        <f>2285620-1420134-355414</f>
        <v>510072</v>
      </c>
      <c r="E27" s="314">
        <f>136185-24350-2939</f>
        <v>108896</v>
      </c>
      <c r="F27" s="314">
        <v>24350</v>
      </c>
    </row>
    <row r="28" spans="1:6" ht="15.75">
      <c r="A28" s="311"/>
      <c r="B28" s="312" t="s">
        <v>429</v>
      </c>
      <c r="C28" s="313">
        <f>+D28+E28+F28</f>
        <v>358353</v>
      </c>
      <c r="D28" s="314">
        <v>355414</v>
      </c>
      <c r="E28" s="314">
        <v>2939</v>
      </c>
      <c r="F28" s="314"/>
    </row>
    <row r="29" spans="1:6">
      <c r="A29" s="315"/>
      <c r="B29" s="315"/>
      <c r="C29" s="315"/>
      <c r="D29" s="315"/>
      <c r="E29" s="315"/>
      <c r="F29" s="315"/>
    </row>
    <row r="30" spans="1:6" ht="31.5">
      <c r="A30" s="308">
        <v>6</v>
      </c>
      <c r="B30" s="309" t="s">
        <v>1159</v>
      </c>
      <c r="C30" s="310">
        <f>+C31+C32</f>
        <v>7963490</v>
      </c>
      <c r="D30" s="310">
        <f>+D31+D32</f>
        <v>0</v>
      </c>
      <c r="E30" s="310">
        <f>+E31+E32</f>
        <v>7963490</v>
      </c>
      <c r="F30" s="310">
        <f>+F31+F32</f>
        <v>0</v>
      </c>
    </row>
    <row r="31" spans="1:6" ht="15.75">
      <c r="A31" s="311"/>
      <c r="B31" s="312" t="s">
        <v>428</v>
      </c>
      <c r="C31" s="313">
        <f>+D31+E31+F31</f>
        <v>774756</v>
      </c>
      <c r="D31" s="314">
        <v>0</v>
      </c>
      <c r="E31" s="314">
        <f>7963490-7370511+181777</f>
        <v>774756</v>
      </c>
      <c r="F31" s="314"/>
    </row>
    <row r="32" spans="1:6" ht="15.75">
      <c r="A32" s="311"/>
      <c r="B32" s="312" t="s">
        <v>429</v>
      </c>
      <c r="C32" s="313">
        <f>+D32+E32+F32</f>
        <v>7188734</v>
      </c>
      <c r="D32" s="314">
        <v>0</v>
      </c>
      <c r="E32" s="314">
        <f>7370511-181777</f>
        <v>7188734</v>
      </c>
      <c r="F32" s="314"/>
    </row>
    <row r="33" spans="1:6">
      <c r="A33" s="315"/>
      <c r="B33" s="315"/>
      <c r="C33" s="315"/>
      <c r="D33" s="315"/>
      <c r="E33" s="315"/>
      <c r="F33" s="315"/>
    </row>
    <row r="34" spans="1:6" ht="31.5">
      <c r="A34" s="308">
        <v>7</v>
      </c>
      <c r="B34" s="309" t="s">
        <v>1160</v>
      </c>
      <c r="C34" s="310">
        <f>+C35+C36</f>
        <v>778453</v>
      </c>
      <c r="D34" s="310">
        <f>+D35+D36</f>
        <v>360359</v>
      </c>
      <c r="E34" s="310">
        <f>+E35+E36</f>
        <v>382362</v>
      </c>
      <c r="F34" s="310">
        <f>+F35+F36</f>
        <v>35732</v>
      </c>
    </row>
    <row r="35" spans="1:6" ht="15.75">
      <c r="A35" s="311"/>
      <c r="B35" s="312" t="s">
        <v>428</v>
      </c>
      <c r="C35" s="313">
        <f>+D35+E35+F35</f>
        <v>320061</v>
      </c>
      <c r="D35" s="314">
        <f>249299+15060+96000-126030</f>
        <v>234329</v>
      </c>
      <c r="E35" s="314">
        <f>418094-332362-35732</f>
        <v>50000</v>
      </c>
      <c r="F35" s="314">
        <v>35732</v>
      </c>
    </row>
    <row r="36" spans="1:6" ht="15.75">
      <c r="A36" s="311"/>
      <c r="B36" s="312" t="s">
        <v>429</v>
      </c>
      <c r="C36" s="313">
        <f>+D36+E36+F36</f>
        <v>458392</v>
      </c>
      <c r="D36" s="314">
        <v>126030</v>
      </c>
      <c r="E36" s="314">
        <v>332362</v>
      </c>
      <c r="F36" s="314"/>
    </row>
    <row r="37" spans="1:6">
      <c r="A37" s="315"/>
      <c r="B37" s="315"/>
      <c r="C37" s="315"/>
      <c r="D37" s="315"/>
      <c r="E37" s="315"/>
      <c r="F37" s="315"/>
    </row>
    <row r="38" spans="1:6" ht="15.75">
      <c r="A38" s="308">
        <v>8</v>
      </c>
      <c r="B38" s="309" t="s">
        <v>434</v>
      </c>
      <c r="C38" s="310">
        <f>+C39+C40</f>
        <v>1709666</v>
      </c>
      <c r="D38" s="310">
        <f>+D39+D40</f>
        <v>112419</v>
      </c>
      <c r="E38" s="310">
        <f>+E39+E40</f>
        <v>1597247</v>
      </c>
      <c r="F38" s="310">
        <f>+F39+F40</f>
        <v>0</v>
      </c>
    </row>
    <row r="39" spans="1:6" ht="15.75">
      <c r="A39" s="311"/>
      <c r="B39" s="312" t="s">
        <v>428</v>
      </c>
      <c r="C39" s="313">
        <f>+D39+E39+F39</f>
        <v>1709666</v>
      </c>
      <c r="D39" s="314">
        <v>112419</v>
      </c>
      <c r="E39" s="314">
        <f>1597247</f>
        <v>1597247</v>
      </c>
      <c r="F39" s="314"/>
    </row>
    <row r="40" spans="1:6" ht="15.75">
      <c r="A40" s="311"/>
      <c r="B40" s="312" t="s">
        <v>429</v>
      </c>
      <c r="C40" s="313">
        <f>+D40+E40+F40</f>
        <v>0</v>
      </c>
      <c r="D40" s="314"/>
      <c r="E40" s="314"/>
      <c r="F40" s="314"/>
    </row>
    <row r="41" spans="1:6">
      <c r="A41" s="315"/>
      <c r="B41" s="315"/>
      <c r="C41" s="315"/>
      <c r="D41" s="315"/>
      <c r="E41" s="315"/>
      <c r="F41" s="315"/>
    </row>
    <row r="42" spans="1:6" ht="31.5">
      <c r="A42" s="308">
        <v>9</v>
      </c>
      <c r="B42" s="309" t="s">
        <v>435</v>
      </c>
      <c r="C42" s="310">
        <f>+C43+C44</f>
        <v>0</v>
      </c>
      <c r="D42" s="310">
        <f>+D43+D44</f>
        <v>0</v>
      </c>
      <c r="E42" s="310">
        <f>+E43+E44</f>
        <v>0</v>
      </c>
      <c r="F42" s="310">
        <f>+F43+F44</f>
        <v>0</v>
      </c>
    </row>
    <row r="43" spans="1:6" ht="15.75">
      <c r="A43" s="311"/>
      <c r="B43" s="312" t="s">
        <v>428</v>
      </c>
      <c r="C43" s="313">
        <f>+D43+E43+F43</f>
        <v>0</v>
      </c>
      <c r="D43" s="314">
        <v>0</v>
      </c>
      <c r="E43" s="314"/>
      <c r="F43" s="314"/>
    </row>
    <row r="44" spans="1:6" ht="15.75">
      <c r="A44" s="311"/>
      <c r="B44" s="312" t="s">
        <v>429</v>
      </c>
      <c r="C44" s="313">
        <f>+D44+E44+F44</f>
        <v>0</v>
      </c>
      <c r="D44" s="314">
        <v>0</v>
      </c>
      <c r="E44" s="314"/>
      <c r="F44" s="314"/>
    </row>
    <row r="45" spans="1:6" ht="15.75">
      <c r="A45" s="315"/>
      <c r="B45" s="316"/>
      <c r="C45" s="317"/>
      <c r="D45" s="315"/>
      <c r="E45" s="315"/>
      <c r="F45" s="315"/>
    </row>
    <row r="46" spans="1:6" ht="15.75">
      <c r="A46" s="315"/>
      <c r="B46" s="316"/>
      <c r="C46" s="317"/>
      <c r="D46" s="315"/>
      <c r="E46" s="315"/>
      <c r="F46" s="315"/>
    </row>
    <row r="47" spans="1:6" ht="15.75">
      <c r="A47" s="311"/>
      <c r="B47" s="318" t="s">
        <v>1471</v>
      </c>
      <c r="C47" s="310">
        <f>+C48+C49</f>
        <v>20199159</v>
      </c>
      <c r="D47" s="310">
        <f>+D48+D49</f>
        <v>8850071</v>
      </c>
      <c r="E47" s="310">
        <f>+E48+E49</f>
        <v>11242665</v>
      </c>
      <c r="F47" s="310">
        <f>+F48+F49</f>
        <v>106423</v>
      </c>
    </row>
    <row r="48" spans="1:6" ht="15.75">
      <c r="A48" s="311"/>
      <c r="B48" s="319" t="s">
        <v>428</v>
      </c>
      <c r="C48" s="313">
        <f>+D48+E48+F48</f>
        <v>10609860</v>
      </c>
      <c r="D48" s="313">
        <f t="shared" ref="D48:F49" si="0">+D11+D15+D19+D23+D27+D31+D35+D39+D43</f>
        <v>6861708</v>
      </c>
      <c r="E48" s="313">
        <f t="shared" si="0"/>
        <v>3665558</v>
      </c>
      <c r="F48" s="313">
        <f t="shared" si="0"/>
        <v>82594</v>
      </c>
    </row>
    <row r="49" spans="1:6" ht="15.75">
      <c r="A49" s="311"/>
      <c r="B49" s="319" t="s">
        <v>429</v>
      </c>
      <c r="C49" s="313">
        <f>+D49+E49+F49</f>
        <v>9589299</v>
      </c>
      <c r="D49" s="313">
        <f t="shared" si="0"/>
        <v>1988363</v>
      </c>
      <c r="E49" s="313">
        <f t="shared" si="0"/>
        <v>7577107</v>
      </c>
      <c r="F49" s="313">
        <f t="shared" si="0"/>
        <v>23829</v>
      </c>
    </row>
    <row r="50" spans="1:6" ht="31.5">
      <c r="A50" s="311">
        <v>10</v>
      </c>
      <c r="B50" s="309" t="s">
        <v>436</v>
      </c>
      <c r="C50" s="313">
        <f>+D50+E50+F50</f>
        <v>1651836</v>
      </c>
      <c r="D50" s="314">
        <f>752822</f>
        <v>752822</v>
      </c>
      <c r="E50" s="314">
        <f>899014</f>
        <v>899014</v>
      </c>
      <c r="F50" s="314"/>
    </row>
    <row r="51" spans="1:6" ht="31.5">
      <c r="A51" s="311">
        <v>11</v>
      </c>
      <c r="B51" s="309" t="s">
        <v>1161</v>
      </c>
      <c r="C51" s="313">
        <f>+D51+E51+F51</f>
        <v>-76880</v>
      </c>
      <c r="D51" s="314">
        <v>-76880</v>
      </c>
      <c r="E51" s="314"/>
      <c r="F51" s="314"/>
    </row>
    <row r="52" spans="1:6" ht="15.75">
      <c r="A52" s="311">
        <v>12</v>
      </c>
      <c r="B52" s="309" t="s">
        <v>437</v>
      </c>
      <c r="C52" s="313">
        <f>+D52+E52+F52</f>
        <v>21774115</v>
      </c>
      <c r="D52" s="313">
        <f>+D51+D50+D47</f>
        <v>9526013</v>
      </c>
      <c r="E52" s="313">
        <f>+E51+E50+E47</f>
        <v>12141679</v>
      </c>
      <c r="F52" s="313">
        <f>+F51+F50+F47</f>
        <v>106423</v>
      </c>
    </row>
    <row r="53" spans="1:6" ht="15.75">
      <c r="A53" s="320"/>
      <c r="B53" s="321"/>
      <c r="C53" s="322"/>
      <c r="D53" s="320"/>
      <c r="E53" s="320"/>
      <c r="F53" s="320"/>
    </row>
    <row r="54" spans="1:6" s="5" customFormat="1" ht="15.75">
      <c r="B54" s="155"/>
      <c r="D54" s="2"/>
      <c r="E54" s="2"/>
      <c r="F54" s="17"/>
    </row>
    <row r="55" spans="1:6" s="5" customFormat="1" ht="15.75">
      <c r="B55" s="156"/>
      <c r="D55" s="2"/>
      <c r="E55" s="2"/>
      <c r="F55" s="17"/>
    </row>
    <row r="56" spans="1:6" s="5" customFormat="1" ht="15.75">
      <c r="B56" s="155"/>
      <c r="D56" s="2"/>
      <c r="E56" s="2"/>
      <c r="F56" s="17"/>
    </row>
    <row r="57" spans="1:6" s="5" customFormat="1" ht="15.75">
      <c r="B57" s="157"/>
      <c r="D57" s="2"/>
      <c r="E57" s="2"/>
      <c r="F57" s="17"/>
    </row>
    <row r="58" spans="1:6" s="105" customFormat="1" ht="15.75">
      <c r="B58" s="155"/>
      <c r="F58" s="539"/>
    </row>
    <row r="59" spans="1:6" s="158" customFormat="1" ht="15.75">
      <c r="B59" s="157" t="s">
        <v>1589</v>
      </c>
      <c r="F59" s="501"/>
    </row>
    <row r="60" spans="1:6" s="9" customFormat="1" ht="15.75">
      <c r="B60" s="157" t="s">
        <v>1590</v>
      </c>
      <c r="D60" s="8"/>
      <c r="E60" s="8"/>
      <c r="F60" s="159"/>
    </row>
    <row r="61" spans="1:6" s="11" customFormat="1" ht="15.75">
      <c r="B61" s="157" t="s">
        <v>1591</v>
      </c>
      <c r="D61" s="10"/>
      <c r="E61" s="10"/>
      <c r="F61" s="160"/>
    </row>
    <row r="62" spans="1:6" s="13" customFormat="1" ht="15.75">
      <c r="B62" s="156"/>
      <c r="D62" s="12"/>
      <c r="E62" s="12"/>
      <c r="F62" s="162"/>
    </row>
    <row r="63" spans="1:6" s="15" customFormat="1" ht="15.75">
      <c r="B63" s="155"/>
      <c r="D63" s="14"/>
      <c r="E63" s="14"/>
      <c r="F63" s="164"/>
    </row>
    <row r="64" spans="1:6" s="11" customFormat="1" ht="15.75">
      <c r="B64" s="155"/>
      <c r="D64" s="10"/>
      <c r="E64" s="161"/>
      <c r="F64" s="160"/>
    </row>
    <row r="65" spans="2:6" s="13" customFormat="1" ht="15.75">
      <c r="B65" s="156"/>
      <c r="D65" s="12"/>
      <c r="E65" s="163"/>
      <c r="F65" s="162"/>
    </row>
    <row r="66" spans="2:6" s="15" customFormat="1" ht="15.75">
      <c r="B66" s="156"/>
      <c r="D66" s="14"/>
      <c r="E66" s="14"/>
      <c r="F66" s="164"/>
    </row>
    <row r="67" spans="2:6" s="13" customFormat="1" ht="15.75">
      <c r="B67" s="59"/>
      <c r="D67" s="16"/>
      <c r="E67" s="16"/>
      <c r="F67" s="165"/>
    </row>
    <row r="68" spans="2:6" s="1" customFormat="1" ht="15.75">
      <c r="B68" s="60"/>
      <c r="F68" s="24"/>
    </row>
    <row r="69" spans="2:6" s="1" customFormat="1" ht="15.75">
      <c r="B69" s="60"/>
      <c r="F69" s="24"/>
    </row>
    <row r="70" spans="2:6" s="1" customFormat="1" ht="15.75">
      <c r="F70" s="24"/>
    </row>
    <row r="71" spans="2:6" s="1" customFormat="1" ht="15.75">
      <c r="F71" s="24"/>
    </row>
  </sheetData>
  <mergeCells count="7">
    <mergeCell ref="A3:F3"/>
    <mergeCell ref="A4:F4"/>
    <mergeCell ref="A5:F5"/>
    <mergeCell ref="A7:A8"/>
    <mergeCell ref="B7:B8"/>
    <mergeCell ref="C7:C8"/>
    <mergeCell ref="D7:F7"/>
  </mergeCells>
  <printOptions horizontalCentered="1"/>
  <pageMargins left="0.75" right="0.75" top="0.11811023622047245" bottom="0.11811023622047245" header="0.51181102362204722" footer="0.51181102362204722"/>
  <pageSetup paperSize="9"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E226"/>
  <sheetViews>
    <sheetView zoomScaleNormal="100" workbookViewId="0">
      <selection activeCell="I36" sqref="I36"/>
    </sheetView>
  </sheetViews>
  <sheetFormatPr defaultRowHeight="15"/>
  <sheetData>
    <row r="1" spans="1:1">
      <c r="A1" t="s">
        <v>1193</v>
      </c>
    </row>
    <row r="154" spans="3:3" ht="15.75">
      <c r="C154" s="109"/>
    </row>
    <row r="226" spans="5:5">
      <c r="E226" s="33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B2:I35"/>
  <sheetViews>
    <sheetView topLeftCell="A16" zoomScale="90" workbookViewId="0">
      <selection activeCell="C20" sqref="C20"/>
    </sheetView>
  </sheetViews>
  <sheetFormatPr defaultRowHeight="15.75"/>
  <cols>
    <col min="1" max="1" width="9.140625" style="57"/>
    <col min="2" max="2" width="5.7109375" style="61" customWidth="1"/>
    <col min="3" max="3" width="60.28515625" style="62" customWidth="1"/>
    <col min="4" max="4" width="21.140625" style="62" customWidth="1"/>
    <col min="5" max="5" width="32.140625" style="61" customWidth="1"/>
    <col min="6" max="257" width="9.140625" style="57"/>
    <col min="258" max="258" width="5.7109375" style="57" customWidth="1"/>
    <col min="259" max="259" width="60.28515625" style="57" customWidth="1"/>
    <col min="260" max="260" width="25" style="57" customWidth="1"/>
    <col min="261" max="261" width="32.140625" style="57" customWidth="1"/>
    <col min="262" max="513" width="9.140625" style="57"/>
    <col min="514" max="514" width="5.7109375" style="57" customWidth="1"/>
    <col min="515" max="515" width="60.28515625" style="57" customWidth="1"/>
    <col min="516" max="516" width="25" style="57" customWidth="1"/>
    <col min="517" max="517" width="32.140625" style="57" customWidth="1"/>
    <col min="518" max="769" width="9.140625" style="57"/>
    <col min="770" max="770" width="5.7109375" style="57" customWidth="1"/>
    <col min="771" max="771" width="60.28515625" style="57" customWidth="1"/>
    <col min="772" max="772" width="25" style="57" customWidth="1"/>
    <col min="773" max="773" width="32.140625" style="57" customWidth="1"/>
    <col min="774" max="1025" width="9.140625" style="57"/>
    <col min="1026" max="1026" width="5.7109375" style="57" customWidth="1"/>
    <col min="1027" max="1027" width="60.28515625" style="57" customWidth="1"/>
    <col min="1028" max="1028" width="25" style="57" customWidth="1"/>
    <col min="1029" max="1029" width="32.140625" style="57" customWidth="1"/>
    <col min="1030" max="1281" width="9.140625" style="57"/>
    <col min="1282" max="1282" width="5.7109375" style="57" customWidth="1"/>
    <col min="1283" max="1283" width="60.28515625" style="57" customWidth="1"/>
    <col min="1284" max="1284" width="25" style="57" customWidth="1"/>
    <col min="1285" max="1285" width="32.140625" style="57" customWidth="1"/>
    <col min="1286" max="1537" width="9.140625" style="57"/>
    <col min="1538" max="1538" width="5.7109375" style="57" customWidth="1"/>
    <col min="1539" max="1539" width="60.28515625" style="57" customWidth="1"/>
    <col min="1540" max="1540" width="25" style="57" customWidth="1"/>
    <col min="1541" max="1541" width="32.140625" style="57" customWidth="1"/>
    <col min="1542" max="1793" width="9.140625" style="57"/>
    <col min="1794" max="1794" width="5.7109375" style="57" customWidth="1"/>
    <col min="1795" max="1795" width="60.28515625" style="57" customWidth="1"/>
    <col min="1796" max="1796" width="25" style="57" customWidth="1"/>
    <col min="1797" max="1797" width="32.140625" style="57" customWidth="1"/>
    <col min="1798" max="2049" width="9.140625" style="57"/>
    <col min="2050" max="2050" width="5.7109375" style="57" customWidth="1"/>
    <col min="2051" max="2051" width="60.28515625" style="57" customWidth="1"/>
    <col min="2052" max="2052" width="25" style="57" customWidth="1"/>
    <col min="2053" max="2053" width="32.140625" style="57" customWidth="1"/>
    <col min="2054" max="2305" width="9.140625" style="57"/>
    <col min="2306" max="2306" width="5.7109375" style="57" customWidth="1"/>
    <col min="2307" max="2307" width="60.28515625" style="57" customWidth="1"/>
    <col min="2308" max="2308" width="25" style="57" customWidth="1"/>
    <col min="2309" max="2309" width="32.140625" style="57" customWidth="1"/>
    <col min="2310" max="2561" width="9.140625" style="57"/>
    <col min="2562" max="2562" width="5.7109375" style="57" customWidth="1"/>
    <col min="2563" max="2563" width="60.28515625" style="57" customWidth="1"/>
    <col min="2564" max="2564" width="25" style="57" customWidth="1"/>
    <col min="2565" max="2565" width="32.140625" style="57" customWidth="1"/>
    <col min="2566" max="2817" width="9.140625" style="57"/>
    <col min="2818" max="2818" width="5.7109375" style="57" customWidth="1"/>
    <col min="2819" max="2819" width="60.28515625" style="57" customWidth="1"/>
    <col min="2820" max="2820" width="25" style="57" customWidth="1"/>
    <col min="2821" max="2821" width="32.140625" style="57" customWidth="1"/>
    <col min="2822" max="3073" width="9.140625" style="57"/>
    <col min="3074" max="3074" width="5.7109375" style="57" customWidth="1"/>
    <col min="3075" max="3075" width="60.28515625" style="57" customWidth="1"/>
    <col min="3076" max="3076" width="25" style="57" customWidth="1"/>
    <col min="3077" max="3077" width="32.140625" style="57" customWidth="1"/>
    <col min="3078" max="3329" width="9.140625" style="57"/>
    <col min="3330" max="3330" width="5.7109375" style="57" customWidth="1"/>
    <col min="3331" max="3331" width="60.28515625" style="57" customWidth="1"/>
    <col min="3332" max="3332" width="25" style="57" customWidth="1"/>
    <col min="3333" max="3333" width="32.140625" style="57" customWidth="1"/>
    <col min="3334" max="3585" width="9.140625" style="57"/>
    <col min="3586" max="3586" width="5.7109375" style="57" customWidth="1"/>
    <col min="3587" max="3587" width="60.28515625" style="57" customWidth="1"/>
    <col min="3588" max="3588" width="25" style="57" customWidth="1"/>
    <col min="3589" max="3589" width="32.140625" style="57" customWidth="1"/>
    <col min="3590" max="3841" width="9.140625" style="57"/>
    <col min="3842" max="3842" width="5.7109375" style="57" customWidth="1"/>
    <col min="3843" max="3843" width="60.28515625" style="57" customWidth="1"/>
    <col min="3844" max="3844" width="25" style="57" customWidth="1"/>
    <col min="3845" max="3845" width="32.140625" style="57" customWidth="1"/>
    <col min="3846" max="4097" width="9.140625" style="57"/>
    <col min="4098" max="4098" width="5.7109375" style="57" customWidth="1"/>
    <col min="4099" max="4099" width="60.28515625" style="57" customWidth="1"/>
    <col min="4100" max="4100" width="25" style="57" customWidth="1"/>
    <col min="4101" max="4101" width="32.140625" style="57" customWidth="1"/>
    <col min="4102" max="4353" width="9.140625" style="57"/>
    <col min="4354" max="4354" width="5.7109375" style="57" customWidth="1"/>
    <col min="4355" max="4355" width="60.28515625" style="57" customWidth="1"/>
    <col min="4356" max="4356" width="25" style="57" customWidth="1"/>
    <col min="4357" max="4357" width="32.140625" style="57" customWidth="1"/>
    <col min="4358" max="4609" width="9.140625" style="57"/>
    <col min="4610" max="4610" width="5.7109375" style="57" customWidth="1"/>
    <col min="4611" max="4611" width="60.28515625" style="57" customWidth="1"/>
    <col min="4612" max="4612" width="25" style="57" customWidth="1"/>
    <col min="4613" max="4613" width="32.140625" style="57" customWidth="1"/>
    <col min="4614" max="4865" width="9.140625" style="57"/>
    <col min="4866" max="4866" width="5.7109375" style="57" customWidth="1"/>
    <col min="4867" max="4867" width="60.28515625" style="57" customWidth="1"/>
    <col min="4868" max="4868" width="25" style="57" customWidth="1"/>
    <col min="4869" max="4869" width="32.140625" style="57" customWidth="1"/>
    <col min="4870" max="5121" width="9.140625" style="57"/>
    <col min="5122" max="5122" width="5.7109375" style="57" customWidth="1"/>
    <col min="5123" max="5123" width="60.28515625" style="57" customWidth="1"/>
    <col min="5124" max="5124" width="25" style="57" customWidth="1"/>
    <col min="5125" max="5125" width="32.140625" style="57" customWidth="1"/>
    <col min="5126" max="5377" width="9.140625" style="57"/>
    <col min="5378" max="5378" width="5.7109375" style="57" customWidth="1"/>
    <col min="5379" max="5379" width="60.28515625" style="57" customWidth="1"/>
    <col min="5380" max="5380" width="25" style="57" customWidth="1"/>
    <col min="5381" max="5381" width="32.140625" style="57" customWidth="1"/>
    <col min="5382" max="5633" width="9.140625" style="57"/>
    <col min="5634" max="5634" width="5.7109375" style="57" customWidth="1"/>
    <col min="5635" max="5635" width="60.28515625" style="57" customWidth="1"/>
    <col min="5636" max="5636" width="25" style="57" customWidth="1"/>
    <col min="5637" max="5637" width="32.140625" style="57" customWidth="1"/>
    <col min="5638" max="5889" width="9.140625" style="57"/>
    <col min="5890" max="5890" width="5.7109375" style="57" customWidth="1"/>
    <col min="5891" max="5891" width="60.28515625" style="57" customWidth="1"/>
    <col min="5892" max="5892" width="25" style="57" customWidth="1"/>
    <col min="5893" max="5893" width="32.140625" style="57" customWidth="1"/>
    <col min="5894" max="6145" width="9.140625" style="57"/>
    <col min="6146" max="6146" width="5.7109375" style="57" customWidth="1"/>
    <col min="6147" max="6147" width="60.28515625" style="57" customWidth="1"/>
    <col min="6148" max="6148" width="25" style="57" customWidth="1"/>
    <col min="6149" max="6149" width="32.140625" style="57" customWidth="1"/>
    <col min="6150" max="6401" width="9.140625" style="57"/>
    <col min="6402" max="6402" width="5.7109375" style="57" customWidth="1"/>
    <col min="6403" max="6403" width="60.28515625" style="57" customWidth="1"/>
    <col min="6404" max="6404" width="25" style="57" customWidth="1"/>
    <col min="6405" max="6405" width="32.140625" style="57" customWidth="1"/>
    <col min="6406" max="6657" width="9.140625" style="57"/>
    <col min="6658" max="6658" width="5.7109375" style="57" customWidth="1"/>
    <col min="6659" max="6659" width="60.28515625" style="57" customWidth="1"/>
    <col min="6660" max="6660" width="25" style="57" customWidth="1"/>
    <col min="6661" max="6661" width="32.140625" style="57" customWidth="1"/>
    <col min="6662" max="6913" width="9.140625" style="57"/>
    <col min="6914" max="6914" width="5.7109375" style="57" customWidth="1"/>
    <col min="6915" max="6915" width="60.28515625" style="57" customWidth="1"/>
    <col min="6916" max="6916" width="25" style="57" customWidth="1"/>
    <col min="6917" max="6917" width="32.140625" style="57" customWidth="1"/>
    <col min="6918" max="7169" width="9.140625" style="57"/>
    <col min="7170" max="7170" width="5.7109375" style="57" customWidth="1"/>
    <col min="7171" max="7171" width="60.28515625" style="57" customWidth="1"/>
    <col min="7172" max="7172" width="25" style="57" customWidth="1"/>
    <col min="7173" max="7173" width="32.140625" style="57" customWidth="1"/>
    <col min="7174" max="7425" width="9.140625" style="57"/>
    <col min="7426" max="7426" width="5.7109375" style="57" customWidth="1"/>
    <col min="7427" max="7427" width="60.28515625" style="57" customWidth="1"/>
    <col min="7428" max="7428" width="25" style="57" customWidth="1"/>
    <col min="7429" max="7429" width="32.140625" style="57" customWidth="1"/>
    <col min="7430" max="7681" width="9.140625" style="57"/>
    <col min="7682" max="7682" width="5.7109375" style="57" customWidth="1"/>
    <col min="7683" max="7683" width="60.28515625" style="57" customWidth="1"/>
    <col min="7684" max="7684" width="25" style="57" customWidth="1"/>
    <col min="7685" max="7685" width="32.140625" style="57" customWidth="1"/>
    <col min="7686" max="7937" width="9.140625" style="57"/>
    <col min="7938" max="7938" width="5.7109375" style="57" customWidth="1"/>
    <col min="7939" max="7939" width="60.28515625" style="57" customWidth="1"/>
    <col min="7940" max="7940" width="25" style="57" customWidth="1"/>
    <col min="7941" max="7941" width="32.140625" style="57" customWidth="1"/>
    <col min="7942" max="8193" width="9.140625" style="57"/>
    <col min="8194" max="8194" width="5.7109375" style="57" customWidth="1"/>
    <col min="8195" max="8195" width="60.28515625" style="57" customWidth="1"/>
    <col min="8196" max="8196" width="25" style="57" customWidth="1"/>
    <col min="8197" max="8197" width="32.140625" style="57" customWidth="1"/>
    <col min="8198" max="8449" width="9.140625" style="57"/>
    <col min="8450" max="8450" width="5.7109375" style="57" customWidth="1"/>
    <col min="8451" max="8451" width="60.28515625" style="57" customWidth="1"/>
    <col min="8452" max="8452" width="25" style="57" customWidth="1"/>
    <col min="8453" max="8453" width="32.140625" style="57" customWidth="1"/>
    <col min="8454" max="8705" width="9.140625" style="57"/>
    <col min="8706" max="8706" width="5.7109375" style="57" customWidth="1"/>
    <col min="8707" max="8707" width="60.28515625" style="57" customWidth="1"/>
    <col min="8708" max="8708" width="25" style="57" customWidth="1"/>
    <col min="8709" max="8709" width="32.140625" style="57" customWidth="1"/>
    <col min="8710" max="8961" width="9.140625" style="57"/>
    <col min="8962" max="8962" width="5.7109375" style="57" customWidth="1"/>
    <col min="8963" max="8963" width="60.28515625" style="57" customWidth="1"/>
    <col min="8964" max="8964" width="25" style="57" customWidth="1"/>
    <col min="8965" max="8965" width="32.140625" style="57" customWidth="1"/>
    <col min="8966" max="9217" width="9.140625" style="57"/>
    <col min="9218" max="9218" width="5.7109375" style="57" customWidth="1"/>
    <col min="9219" max="9219" width="60.28515625" style="57" customWidth="1"/>
    <col min="9220" max="9220" width="25" style="57" customWidth="1"/>
    <col min="9221" max="9221" width="32.140625" style="57" customWidth="1"/>
    <col min="9222" max="9473" width="9.140625" style="57"/>
    <col min="9474" max="9474" width="5.7109375" style="57" customWidth="1"/>
    <col min="9475" max="9475" width="60.28515625" style="57" customWidth="1"/>
    <col min="9476" max="9476" width="25" style="57" customWidth="1"/>
    <col min="9477" max="9477" width="32.140625" style="57" customWidth="1"/>
    <col min="9478" max="9729" width="9.140625" style="57"/>
    <col min="9730" max="9730" width="5.7109375" style="57" customWidth="1"/>
    <col min="9731" max="9731" width="60.28515625" style="57" customWidth="1"/>
    <col min="9732" max="9732" width="25" style="57" customWidth="1"/>
    <col min="9733" max="9733" width="32.140625" style="57" customWidth="1"/>
    <col min="9734" max="9985" width="9.140625" style="57"/>
    <col min="9986" max="9986" width="5.7109375" style="57" customWidth="1"/>
    <col min="9987" max="9987" width="60.28515625" style="57" customWidth="1"/>
    <col min="9988" max="9988" width="25" style="57" customWidth="1"/>
    <col min="9989" max="9989" width="32.140625" style="57" customWidth="1"/>
    <col min="9990" max="10241" width="9.140625" style="57"/>
    <col min="10242" max="10242" width="5.7109375" style="57" customWidth="1"/>
    <col min="10243" max="10243" width="60.28515625" style="57" customWidth="1"/>
    <col min="10244" max="10244" width="25" style="57" customWidth="1"/>
    <col min="10245" max="10245" width="32.140625" style="57" customWidth="1"/>
    <col min="10246" max="10497" width="9.140625" style="57"/>
    <col min="10498" max="10498" width="5.7109375" style="57" customWidth="1"/>
    <col min="10499" max="10499" width="60.28515625" style="57" customWidth="1"/>
    <col min="10500" max="10500" width="25" style="57" customWidth="1"/>
    <col min="10501" max="10501" width="32.140625" style="57" customWidth="1"/>
    <col min="10502" max="10753" width="9.140625" style="57"/>
    <col min="10754" max="10754" width="5.7109375" style="57" customWidth="1"/>
    <col min="10755" max="10755" width="60.28515625" style="57" customWidth="1"/>
    <col min="10756" max="10756" width="25" style="57" customWidth="1"/>
    <col min="10757" max="10757" width="32.140625" style="57" customWidth="1"/>
    <col min="10758" max="11009" width="9.140625" style="57"/>
    <col min="11010" max="11010" width="5.7109375" style="57" customWidth="1"/>
    <col min="11011" max="11011" width="60.28515625" style="57" customWidth="1"/>
    <col min="11012" max="11012" width="25" style="57" customWidth="1"/>
    <col min="11013" max="11013" width="32.140625" style="57" customWidth="1"/>
    <col min="11014" max="11265" width="9.140625" style="57"/>
    <col min="11266" max="11266" width="5.7109375" style="57" customWidth="1"/>
    <col min="11267" max="11267" width="60.28515625" style="57" customWidth="1"/>
    <col min="11268" max="11268" width="25" style="57" customWidth="1"/>
    <col min="11269" max="11269" width="32.140625" style="57" customWidth="1"/>
    <col min="11270" max="11521" width="9.140625" style="57"/>
    <col min="11522" max="11522" width="5.7109375" style="57" customWidth="1"/>
    <col min="11523" max="11523" width="60.28515625" style="57" customWidth="1"/>
    <col min="11524" max="11524" width="25" style="57" customWidth="1"/>
    <col min="11525" max="11525" width="32.140625" style="57" customWidth="1"/>
    <col min="11526" max="11777" width="9.140625" style="57"/>
    <col min="11778" max="11778" width="5.7109375" style="57" customWidth="1"/>
    <col min="11779" max="11779" width="60.28515625" style="57" customWidth="1"/>
    <col min="11780" max="11780" width="25" style="57" customWidth="1"/>
    <col min="11781" max="11781" width="32.140625" style="57" customWidth="1"/>
    <col min="11782" max="12033" width="9.140625" style="57"/>
    <col min="12034" max="12034" width="5.7109375" style="57" customWidth="1"/>
    <col min="12035" max="12035" width="60.28515625" style="57" customWidth="1"/>
    <col min="12036" max="12036" width="25" style="57" customWidth="1"/>
    <col min="12037" max="12037" width="32.140625" style="57" customWidth="1"/>
    <col min="12038" max="12289" width="9.140625" style="57"/>
    <col min="12290" max="12290" width="5.7109375" style="57" customWidth="1"/>
    <col min="12291" max="12291" width="60.28515625" style="57" customWidth="1"/>
    <col min="12292" max="12292" width="25" style="57" customWidth="1"/>
    <col min="12293" max="12293" width="32.140625" style="57" customWidth="1"/>
    <col min="12294" max="12545" width="9.140625" style="57"/>
    <col min="12546" max="12546" width="5.7109375" style="57" customWidth="1"/>
    <col min="12547" max="12547" width="60.28515625" style="57" customWidth="1"/>
    <col min="12548" max="12548" width="25" style="57" customWidth="1"/>
    <col min="12549" max="12549" width="32.140625" style="57" customWidth="1"/>
    <col min="12550" max="12801" width="9.140625" style="57"/>
    <col min="12802" max="12802" width="5.7109375" style="57" customWidth="1"/>
    <col min="12803" max="12803" width="60.28515625" style="57" customWidth="1"/>
    <col min="12804" max="12804" width="25" style="57" customWidth="1"/>
    <col min="12805" max="12805" width="32.140625" style="57" customWidth="1"/>
    <col min="12806" max="13057" width="9.140625" style="57"/>
    <col min="13058" max="13058" width="5.7109375" style="57" customWidth="1"/>
    <col min="13059" max="13059" width="60.28515625" style="57" customWidth="1"/>
    <col min="13060" max="13060" width="25" style="57" customWidth="1"/>
    <col min="13061" max="13061" width="32.140625" style="57" customWidth="1"/>
    <col min="13062" max="13313" width="9.140625" style="57"/>
    <col min="13314" max="13314" width="5.7109375" style="57" customWidth="1"/>
    <col min="13315" max="13315" width="60.28515625" style="57" customWidth="1"/>
    <col min="13316" max="13316" width="25" style="57" customWidth="1"/>
    <col min="13317" max="13317" width="32.140625" style="57" customWidth="1"/>
    <col min="13318" max="13569" width="9.140625" style="57"/>
    <col min="13570" max="13570" width="5.7109375" style="57" customWidth="1"/>
    <col min="13571" max="13571" width="60.28515625" style="57" customWidth="1"/>
    <col min="13572" max="13572" width="25" style="57" customWidth="1"/>
    <col min="13573" max="13573" width="32.140625" style="57" customWidth="1"/>
    <col min="13574" max="13825" width="9.140625" style="57"/>
    <col min="13826" max="13826" width="5.7109375" style="57" customWidth="1"/>
    <col min="13827" max="13827" width="60.28515625" style="57" customWidth="1"/>
    <col min="13828" max="13828" width="25" style="57" customWidth="1"/>
    <col min="13829" max="13829" width="32.140625" style="57" customWidth="1"/>
    <col min="13830" max="14081" width="9.140625" style="57"/>
    <col min="14082" max="14082" width="5.7109375" style="57" customWidth="1"/>
    <col min="14083" max="14083" width="60.28515625" style="57" customWidth="1"/>
    <col min="14084" max="14084" width="25" style="57" customWidth="1"/>
    <col min="14085" max="14085" width="32.140625" style="57" customWidth="1"/>
    <col min="14086" max="14337" width="9.140625" style="57"/>
    <col min="14338" max="14338" width="5.7109375" style="57" customWidth="1"/>
    <col min="14339" max="14339" width="60.28515625" style="57" customWidth="1"/>
    <col min="14340" max="14340" width="25" style="57" customWidth="1"/>
    <col min="14341" max="14341" width="32.140625" style="57" customWidth="1"/>
    <col min="14342" max="14593" width="9.140625" style="57"/>
    <col min="14594" max="14594" width="5.7109375" style="57" customWidth="1"/>
    <col min="14595" max="14595" width="60.28515625" style="57" customWidth="1"/>
    <col min="14596" max="14596" width="25" style="57" customWidth="1"/>
    <col min="14597" max="14597" width="32.140625" style="57" customWidth="1"/>
    <col min="14598" max="14849" width="9.140625" style="57"/>
    <col min="14850" max="14850" width="5.7109375" style="57" customWidth="1"/>
    <col min="14851" max="14851" width="60.28515625" style="57" customWidth="1"/>
    <col min="14852" max="14852" width="25" style="57" customWidth="1"/>
    <col min="14853" max="14853" width="32.140625" style="57" customWidth="1"/>
    <col min="14854" max="15105" width="9.140625" style="57"/>
    <col min="15106" max="15106" width="5.7109375" style="57" customWidth="1"/>
    <col min="15107" max="15107" width="60.28515625" style="57" customWidth="1"/>
    <col min="15108" max="15108" width="25" style="57" customWidth="1"/>
    <col min="15109" max="15109" width="32.140625" style="57" customWidth="1"/>
    <col min="15110" max="15361" width="9.140625" style="57"/>
    <col min="15362" max="15362" width="5.7109375" style="57" customWidth="1"/>
    <col min="15363" max="15363" width="60.28515625" style="57" customWidth="1"/>
    <col min="15364" max="15364" width="25" style="57" customWidth="1"/>
    <col min="15365" max="15365" width="32.140625" style="57" customWidth="1"/>
    <col min="15366" max="15617" width="9.140625" style="57"/>
    <col min="15618" max="15618" width="5.7109375" style="57" customWidth="1"/>
    <col min="15619" max="15619" width="60.28515625" style="57" customWidth="1"/>
    <col min="15620" max="15620" width="25" style="57" customWidth="1"/>
    <col min="15621" max="15621" width="32.140625" style="57" customWidth="1"/>
    <col min="15622" max="15873" width="9.140625" style="57"/>
    <col min="15874" max="15874" width="5.7109375" style="57" customWidth="1"/>
    <col min="15875" max="15875" width="60.28515625" style="57" customWidth="1"/>
    <col min="15876" max="15876" width="25" style="57" customWidth="1"/>
    <col min="15877" max="15877" width="32.140625" style="57" customWidth="1"/>
    <col min="15878" max="16129" width="9.140625" style="57"/>
    <col min="16130" max="16130" width="5.7109375" style="57" customWidth="1"/>
    <col min="16131" max="16131" width="60.28515625" style="57" customWidth="1"/>
    <col min="16132" max="16132" width="25" style="57" customWidth="1"/>
    <col min="16133" max="16133" width="32.140625" style="57" customWidth="1"/>
    <col min="16134" max="16384" width="9.140625" style="57"/>
  </cols>
  <sheetData>
    <row r="2" spans="2:5">
      <c r="B2" s="63"/>
      <c r="E2" s="64" t="s">
        <v>5</v>
      </c>
    </row>
    <row r="3" spans="2:5">
      <c r="B3" s="63"/>
    </row>
    <row r="4" spans="2:5">
      <c r="B4" s="65"/>
      <c r="D4" s="772"/>
      <c r="E4" s="772"/>
    </row>
    <row r="5" spans="2:5" ht="33.75" customHeight="1">
      <c r="B5" s="773" t="s">
        <v>252</v>
      </c>
      <c r="C5" s="774"/>
      <c r="D5" s="774"/>
      <c r="E5" s="775"/>
    </row>
    <row r="6" spans="2:5">
      <c r="B6" s="66"/>
      <c r="C6" s="67"/>
      <c r="D6" s="67"/>
      <c r="E6" s="68" t="s">
        <v>253</v>
      </c>
    </row>
    <row r="7" spans="2:5" ht="12.75" customHeight="1">
      <c r="B7" s="776" t="s">
        <v>254</v>
      </c>
      <c r="C7" s="776" t="s">
        <v>255</v>
      </c>
      <c r="D7" s="777" t="s">
        <v>256</v>
      </c>
      <c r="E7" s="169" t="s">
        <v>257</v>
      </c>
    </row>
    <row r="8" spans="2:5" ht="87.75" customHeight="1">
      <c r="B8" s="776"/>
      <c r="C8" s="776"/>
      <c r="D8" s="778"/>
      <c r="E8" s="69" t="s">
        <v>258</v>
      </c>
    </row>
    <row r="9" spans="2:5">
      <c r="B9" s="69">
        <v>1</v>
      </c>
      <c r="C9" s="69">
        <v>2</v>
      </c>
      <c r="D9" s="69">
        <v>3</v>
      </c>
      <c r="E9" s="69">
        <v>4</v>
      </c>
    </row>
    <row r="10" spans="2:5" s="42" customFormat="1" ht="39" customHeight="1">
      <c r="B10" s="770" t="s">
        <v>1472</v>
      </c>
      <c r="C10" s="771"/>
      <c r="D10" s="70">
        <v>500000</v>
      </c>
      <c r="E10" s="70">
        <v>500000</v>
      </c>
    </row>
    <row r="11" spans="2:5" s="42" customFormat="1" ht="53.25" hidden="1" customHeight="1">
      <c r="B11" s="770" t="s">
        <v>1473</v>
      </c>
      <c r="C11" s="771"/>
      <c r="D11" s="71">
        <v>0</v>
      </c>
      <c r="E11" s="72">
        <v>0</v>
      </c>
    </row>
    <row r="12" spans="2:5" s="42" customFormat="1" ht="50.25" hidden="1" customHeight="1">
      <c r="B12" s="770" t="s">
        <v>1474</v>
      </c>
      <c r="C12" s="771"/>
      <c r="D12" s="71">
        <v>0</v>
      </c>
      <c r="E12" s="71">
        <v>0</v>
      </c>
    </row>
    <row r="13" spans="2:5">
      <c r="B13" s="73"/>
      <c r="C13" s="73"/>
      <c r="D13" s="74"/>
      <c r="E13" s="74"/>
    </row>
    <row r="14" spans="2:5" s="42" customFormat="1" ht="39.75" customHeight="1">
      <c r="B14" s="769" t="s">
        <v>1196</v>
      </c>
      <c r="C14" s="769"/>
      <c r="D14" s="71">
        <f>+SUM(D15:D15)</f>
        <v>9642172</v>
      </c>
      <c r="E14" s="72">
        <f>SUM(E15)</f>
        <v>326000</v>
      </c>
    </row>
    <row r="15" spans="2:5" ht="47.25">
      <c r="B15" s="73">
        <v>1</v>
      </c>
      <c r="C15" s="73" t="s">
        <v>1195</v>
      </c>
      <c r="D15" s="74">
        <v>9642172</v>
      </c>
      <c r="E15" s="74">
        <v>326000</v>
      </c>
    </row>
    <row r="16" spans="2:5" s="42" customFormat="1" ht="39.75" customHeight="1">
      <c r="B16" s="769" t="s">
        <v>259</v>
      </c>
      <c r="C16" s="769"/>
      <c r="D16" s="71">
        <f>+SUM(D17:D17)</f>
        <v>174000</v>
      </c>
      <c r="E16" s="72">
        <f>SUM(E17)</f>
        <v>174000</v>
      </c>
    </row>
    <row r="17" spans="2:9" ht="94.5">
      <c r="B17" s="73">
        <v>1</v>
      </c>
      <c r="C17" s="73" t="s">
        <v>1194</v>
      </c>
      <c r="D17" s="74">
        <v>174000</v>
      </c>
      <c r="E17" s="74">
        <v>174000</v>
      </c>
    </row>
    <row r="20" spans="2:9" s="11" customFormat="1">
      <c r="B20" s="52"/>
      <c r="C20" s="17"/>
      <c r="D20" s="17"/>
      <c r="E20" s="17"/>
      <c r="F20" s="17"/>
      <c r="G20" s="17"/>
      <c r="H20" s="53"/>
      <c r="I20" s="53"/>
    </row>
    <row r="21" spans="2:9" s="11" customFormat="1">
      <c r="B21" s="54"/>
      <c r="C21" s="17"/>
      <c r="D21" s="17"/>
      <c r="E21" s="17"/>
      <c r="F21" s="17"/>
      <c r="G21" s="17"/>
      <c r="H21" s="53"/>
      <c r="I21" s="53"/>
    </row>
    <row r="22" spans="2:9" s="11" customFormat="1">
      <c r="B22" s="52"/>
      <c r="C22" s="17"/>
      <c r="D22" s="17"/>
      <c r="E22" s="17"/>
      <c r="F22" s="17"/>
      <c r="G22" s="17"/>
      <c r="H22" s="53"/>
      <c r="I22" s="53"/>
    </row>
    <row r="23" spans="2:9" s="11" customFormat="1">
      <c r="B23" s="55"/>
      <c r="C23" s="17"/>
      <c r="D23" s="17"/>
      <c r="E23" s="17"/>
      <c r="F23" s="17"/>
      <c r="G23" s="17"/>
      <c r="H23" s="56"/>
      <c r="I23" s="56"/>
    </row>
    <row r="24" spans="2:9">
      <c r="B24" s="52"/>
      <c r="C24" s="57"/>
      <c r="D24" s="57"/>
      <c r="E24" s="57"/>
    </row>
    <row r="25" spans="2:9" s="18" customFormat="1">
      <c r="B25" s="55" t="s">
        <v>1589</v>
      </c>
    </row>
    <row r="26" spans="2:9" s="9" customFormat="1">
      <c r="B26" s="55" t="s">
        <v>1590</v>
      </c>
      <c r="C26" s="8"/>
      <c r="D26" s="8"/>
      <c r="E26" s="8"/>
      <c r="F26" s="19"/>
      <c r="G26" s="58"/>
      <c r="H26" s="58"/>
      <c r="I26" s="58"/>
    </row>
    <row r="27" spans="2:9" s="11" customFormat="1">
      <c r="B27" s="55" t="s">
        <v>1591</v>
      </c>
      <c r="C27" s="10"/>
      <c r="D27" s="10"/>
      <c r="E27" s="10"/>
      <c r="F27" s="20"/>
      <c r="G27" s="20"/>
      <c r="H27" s="20"/>
      <c r="I27" s="20"/>
    </row>
    <row r="28" spans="2:9" s="13" customFormat="1">
      <c r="B28" s="54"/>
      <c r="C28" s="12"/>
      <c r="D28" s="12"/>
      <c r="E28" s="12"/>
      <c r="F28" s="21"/>
      <c r="G28" s="21"/>
      <c r="H28" s="21"/>
      <c r="I28" s="21"/>
    </row>
    <row r="29" spans="2:9" s="15" customFormat="1">
      <c r="B29" s="52"/>
      <c r="C29" s="14"/>
      <c r="D29" s="14"/>
      <c r="E29" s="14"/>
      <c r="F29" s="22"/>
      <c r="G29" s="22"/>
      <c r="H29" s="22"/>
      <c r="I29" s="22"/>
    </row>
    <row r="30" spans="2:9" s="11" customFormat="1">
      <c r="B30" s="52"/>
      <c r="C30" s="10"/>
      <c r="D30" s="10"/>
      <c r="E30" s="20"/>
      <c r="F30" s="20"/>
      <c r="G30" s="20"/>
      <c r="H30" s="20"/>
    </row>
    <row r="31" spans="2:9" s="13" customFormat="1">
      <c r="B31" s="54"/>
      <c r="C31" s="12"/>
      <c r="D31" s="12"/>
      <c r="E31" s="21"/>
      <c r="F31" s="21"/>
      <c r="G31" s="21"/>
      <c r="H31" s="21"/>
    </row>
    <row r="32" spans="2:9" s="13" customFormat="1">
      <c r="B32" s="54"/>
      <c r="C32" s="12"/>
      <c r="D32" s="12"/>
      <c r="E32" s="21"/>
      <c r="F32" s="21"/>
      <c r="G32" s="21"/>
      <c r="H32" s="21"/>
    </row>
    <row r="33" spans="2:9" s="13" customFormat="1">
      <c r="B33" s="59"/>
      <c r="C33" s="16"/>
      <c r="D33" s="16"/>
      <c r="E33" s="16"/>
      <c r="F33" s="23"/>
      <c r="G33" s="23"/>
      <c r="H33" s="23"/>
      <c r="I33" s="23"/>
    </row>
    <row r="34" spans="2:9" s="55" customFormat="1">
      <c r="B34" s="60"/>
      <c r="H34" s="52"/>
      <c r="I34" s="52"/>
    </row>
    <row r="35" spans="2:9">
      <c r="B35" s="60"/>
    </row>
  </sheetData>
  <mergeCells count="10">
    <mergeCell ref="B16:C16"/>
    <mergeCell ref="B10:C10"/>
    <mergeCell ref="B11:C11"/>
    <mergeCell ref="B12:C12"/>
    <mergeCell ref="D4:E4"/>
    <mergeCell ref="B5:E5"/>
    <mergeCell ref="B7:B8"/>
    <mergeCell ref="C7:C8"/>
    <mergeCell ref="D7:D8"/>
    <mergeCell ref="B14:C14"/>
  </mergeCells>
  <printOptions horizontalCentered="1"/>
  <pageMargins left="0.51181102362204722" right="0.51181102362204722" top="1.2598425196850394" bottom="0.19685039370078741" header="0.15748031496062992" footer="0.15748031496062992"/>
  <pageSetup paperSize="9" scale="70" fitToHeight="1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69"/>
  <sheetViews>
    <sheetView topLeftCell="A12" workbookViewId="0">
      <selection activeCell="D56" sqref="D56"/>
    </sheetView>
  </sheetViews>
  <sheetFormatPr defaultRowHeight="15.75"/>
  <cols>
    <col min="1" max="1" width="9.140625" style="75"/>
    <col min="2" max="2" width="6.140625" style="75" customWidth="1"/>
    <col min="3" max="10" width="9.7109375" style="75" customWidth="1"/>
    <col min="11" max="16384" width="9.140625" style="75"/>
  </cols>
  <sheetData>
    <row r="1" spans="1:14">
      <c r="M1" s="103" t="s">
        <v>1285</v>
      </c>
    </row>
    <row r="3" spans="1:14">
      <c r="A3" s="346" t="s">
        <v>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4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</row>
    <row r="5" spans="1:14">
      <c r="A5" s="346" t="s">
        <v>1291</v>
      </c>
      <c r="B5" s="346"/>
      <c r="C5" s="346"/>
      <c r="D5" s="346"/>
      <c r="E5" s="124"/>
      <c r="F5" s="346"/>
      <c r="G5" s="346"/>
      <c r="H5" s="346"/>
      <c r="I5" s="124"/>
      <c r="J5" s="124"/>
      <c r="K5" s="124"/>
      <c r="L5" s="124"/>
      <c r="M5" s="124"/>
    </row>
    <row r="6" spans="1:14" s="104" customFormat="1">
      <c r="A6" s="346" t="s">
        <v>1532</v>
      </c>
      <c r="B6" s="347"/>
      <c r="C6" s="348"/>
      <c r="D6" s="347"/>
      <c r="E6" s="348"/>
      <c r="F6" s="347"/>
      <c r="G6" s="347"/>
      <c r="H6" s="347"/>
      <c r="I6" s="348"/>
      <c r="J6" s="348"/>
      <c r="K6" s="348"/>
      <c r="L6" s="348"/>
      <c r="M6" s="348"/>
    </row>
    <row r="7" spans="1:14">
      <c r="B7" s="76"/>
      <c r="C7" s="76"/>
      <c r="D7" s="76"/>
      <c r="E7" s="78"/>
      <c r="F7" s="76"/>
      <c r="G7" s="76"/>
      <c r="H7" s="76"/>
    </row>
    <row r="8" spans="1:14" s="298" customFormat="1">
      <c r="B8" s="299">
        <v>1</v>
      </c>
      <c r="C8" s="298" t="s">
        <v>1600</v>
      </c>
    </row>
    <row r="9" spans="1:14" s="298" customFormat="1">
      <c r="B9" s="299">
        <v>2</v>
      </c>
      <c r="C9" s="298" t="s">
        <v>52</v>
      </c>
    </row>
    <row r="10" spans="1:14">
      <c r="B10" s="299">
        <v>3</v>
      </c>
      <c r="C10" s="75" t="s">
        <v>7</v>
      </c>
      <c r="N10" s="298"/>
    </row>
    <row r="11" spans="1:14">
      <c r="B11" s="299">
        <v>4</v>
      </c>
      <c r="C11" s="75" t="s">
        <v>8</v>
      </c>
      <c r="N11" s="298"/>
    </row>
    <row r="12" spans="1:14">
      <c r="B12" s="299">
        <v>5</v>
      </c>
      <c r="C12" s="75" t="s">
        <v>9</v>
      </c>
      <c r="N12" s="298"/>
    </row>
    <row r="13" spans="1:14">
      <c r="B13" s="299">
        <v>6</v>
      </c>
      <c r="C13" s="79" t="s">
        <v>10</v>
      </c>
      <c r="N13" s="299"/>
    </row>
    <row r="14" spans="1:14">
      <c r="B14" s="299">
        <v>7</v>
      </c>
      <c r="C14" s="75" t="s">
        <v>11</v>
      </c>
      <c r="N14" s="298"/>
    </row>
    <row r="15" spans="1:14">
      <c r="B15" s="299">
        <v>8</v>
      </c>
      <c r="C15" s="79" t="s">
        <v>12</v>
      </c>
      <c r="N15" s="299"/>
    </row>
    <row r="16" spans="1:14">
      <c r="B16" s="299">
        <v>9</v>
      </c>
      <c r="C16" s="75" t="s">
        <v>13</v>
      </c>
      <c r="N16" s="298"/>
    </row>
    <row r="17" spans="2:14">
      <c r="B17" s="299">
        <v>10</v>
      </c>
      <c r="C17" s="75" t="s">
        <v>14</v>
      </c>
      <c r="N17" s="298"/>
    </row>
    <row r="18" spans="2:14">
      <c r="B18" s="299">
        <v>11</v>
      </c>
      <c r="C18" s="75" t="s">
        <v>15</v>
      </c>
      <c r="N18" s="298"/>
    </row>
    <row r="19" spans="2:14">
      <c r="B19" s="299">
        <v>12</v>
      </c>
      <c r="C19" s="75" t="s">
        <v>16</v>
      </c>
      <c r="N19" s="298"/>
    </row>
    <row r="20" spans="2:14">
      <c r="B20" s="299">
        <v>13</v>
      </c>
      <c r="C20" s="75" t="s">
        <v>17</v>
      </c>
      <c r="N20" s="298"/>
    </row>
    <row r="21" spans="2:14">
      <c r="B21" s="299">
        <v>14</v>
      </c>
      <c r="C21" s="75" t="s">
        <v>18</v>
      </c>
      <c r="N21" s="298"/>
    </row>
    <row r="22" spans="2:14">
      <c r="B22" s="299">
        <v>15</v>
      </c>
      <c r="C22" s="75" t="s">
        <v>662</v>
      </c>
      <c r="N22" s="298"/>
    </row>
    <row r="23" spans="2:14">
      <c r="B23" s="299">
        <v>16</v>
      </c>
      <c r="C23" s="75" t="s">
        <v>19</v>
      </c>
      <c r="N23" s="298"/>
    </row>
    <row r="24" spans="2:14">
      <c r="B24" s="299">
        <v>17</v>
      </c>
      <c r="C24" s="75" t="s">
        <v>20</v>
      </c>
      <c r="N24" s="298"/>
    </row>
    <row r="25" spans="2:14">
      <c r="B25" s="299">
        <v>18</v>
      </c>
      <c r="C25" s="75" t="s">
        <v>21</v>
      </c>
      <c r="N25" s="298"/>
    </row>
    <row r="26" spans="2:14">
      <c r="B26" s="299">
        <v>19</v>
      </c>
      <c r="C26" s="75" t="s">
        <v>22</v>
      </c>
      <c r="N26" s="298"/>
    </row>
    <row r="27" spans="2:14">
      <c r="B27" s="299">
        <v>20</v>
      </c>
      <c r="C27" s="75" t="s">
        <v>663</v>
      </c>
      <c r="N27" s="298"/>
    </row>
    <row r="28" spans="2:14">
      <c r="B28" s="299">
        <v>21</v>
      </c>
      <c r="C28" s="75" t="s">
        <v>23</v>
      </c>
      <c r="N28" s="298"/>
    </row>
    <row r="29" spans="2:14">
      <c r="B29" s="299">
        <v>22</v>
      </c>
      <c r="C29" s="75" t="s">
        <v>24</v>
      </c>
      <c r="N29" s="298"/>
    </row>
    <row r="30" spans="2:14">
      <c r="B30" s="299">
        <v>23</v>
      </c>
      <c r="C30" s="75" t="s">
        <v>25</v>
      </c>
      <c r="N30" s="298"/>
    </row>
    <row r="31" spans="2:14">
      <c r="B31" s="299">
        <v>24</v>
      </c>
      <c r="C31" s="75" t="s">
        <v>26</v>
      </c>
      <c r="N31" s="298"/>
    </row>
    <row r="32" spans="2:14">
      <c r="B32" s="299">
        <v>25</v>
      </c>
      <c r="C32" s="75" t="s">
        <v>27</v>
      </c>
      <c r="N32" s="298"/>
    </row>
    <row r="33" spans="2:14">
      <c r="B33" s="299">
        <v>26</v>
      </c>
      <c r="C33" s="75" t="s">
        <v>28</v>
      </c>
      <c r="N33" s="298"/>
    </row>
    <row r="34" spans="2:14">
      <c r="B34" s="299">
        <v>27</v>
      </c>
      <c r="C34" s="75" t="s">
        <v>29</v>
      </c>
      <c r="N34" s="298"/>
    </row>
    <row r="35" spans="2:14">
      <c r="B35" s="299">
        <v>28</v>
      </c>
      <c r="C35" s="75" t="s">
        <v>30</v>
      </c>
      <c r="N35" s="298"/>
    </row>
    <row r="36" spans="2:14">
      <c r="B36" s="299">
        <v>29</v>
      </c>
      <c r="C36" s="75" t="s">
        <v>31</v>
      </c>
      <c r="N36" s="298"/>
    </row>
    <row r="37" spans="2:14">
      <c r="B37" s="299">
        <v>30</v>
      </c>
      <c r="C37" s="75" t="s">
        <v>32</v>
      </c>
      <c r="N37" s="298"/>
    </row>
    <row r="38" spans="2:14">
      <c r="B38" s="299">
        <v>31</v>
      </c>
      <c r="C38" s="75" t="s">
        <v>33</v>
      </c>
      <c r="N38" s="298"/>
    </row>
    <row r="39" spans="2:14">
      <c r="B39" s="299">
        <v>32</v>
      </c>
      <c r="C39" s="75" t="s">
        <v>34</v>
      </c>
      <c r="N39" s="298"/>
    </row>
    <row r="40" spans="2:14">
      <c r="B40" s="299">
        <v>33</v>
      </c>
      <c r="C40" s="75" t="s">
        <v>35</v>
      </c>
      <c r="N40" s="298"/>
    </row>
    <row r="41" spans="2:14">
      <c r="B41" s="299">
        <v>34</v>
      </c>
      <c r="C41" s="75" t="s">
        <v>36</v>
      </c>
      <c r="N41" s="298"/>
    </row>
    <row r="42" spans="2:14">
      <c r="B42" s="299">
        <v>35</v>
      </c>
      <c r="C42" s="75" t="s">
        <v>37</v>
      </c>
      <c r="N42" s="298"/>
    </row>
    <row r="43" spans="2:14">
      <c r="B43" s="299">
        <v>36</v>
      </c>
      <c r="C43" s="75" t="s">
        <v>38</v>
      </c>
      <c r="N43" s="298"/>
    </row>
    <row r="44" spans="2:14">
      <c r="B44" s="299">
        <v>37</v>
      </c>
      <c r="C44" s="75" t="s">
        <v>39</v>
      </c>
      <c r="N44" s="298"/>
    </row>
    <row r="45" spans="2:14">
      <c r="B45" s="299">
        <v>38</v>
      </c>
      <c r="C45" s="75" t="s">
        <v>40</v>
      </c>
      <c r="N45" s="298"/>
    </row>
    <row r="46" spans="2:14">
      <c r="B46" s="299">
        <v>39</v>
      </c>
      <c r="C46" s="75" t="s">
        <v>41</v>
      </c>
      <c r="N46" s="298"/>
    </row>
    <row r="47" spans="2:14">
      <c r="B47" s="299">
        <v>40</v>
      </c>
      <c r="C47" s="75" t="s">
        <v>42</v>
      </c>
      <c r="N47" s="298"/>
    </row>
    <row r="48" spans="2:14">
      <c r="B48" s="299">
        <v>41</v>
      </c>
      <c r="C48" s="75" t="s">
        <v>43</v>
      </c>
      <c r="N48" s="298"/>
    </row>
    <row r="49" spans="2:14">
      <c r="B49" s="299">
        <v>42</v>
      </c>
      <c r="C49" s="75" t="s">
        <v>1002</v>
      </c>
      <c r="N49" s="298"/>
    </row>
    <row r="50" spans="2:14">
      <c r="B50" s="299">
        <v>43</v>
      </c>
      <c r="C50" s="75" t="s">
        <v>44</v>
      </c>
      <c r="N50" s="298"/>
    </row>
    <row r="51" spans="2:14" s="81" customFormat="1">
      <c r="B51" s="299">
        <v>44</v>
      </c>
      <c r="C51" s="75" t="s">
        <v>45</v>
      </c>
      <c r="D51" s="75"/>
      <c r="E51" s="75"/>
      <c r="N51" s="298"/>
    </row>
    <row r="52" spans="2:14" s="81" customFormat="1">
      <c r="B52" s="299">
        <v>45</v>
      </c>
      <c r="C52" s="298" t="s">
        <v>1192</v>
      </c>
      <c r="D52" s="298"/>
      <c r="E52" s="298"/>
      <c r="N52" s="298"/>
    </row>
    <row r="54" spans="2:14" s="5" customFormat="1">
      <c r="B54" s="82"/>
      <c r="C54" s="2"/>
      <c r="D54" s="2"/>
      <c r="E54" s="2"/>
      <c r="F54" s="2"/>
      <c r="G54" s="2"/>
      <c r="H54" s="3"/>
      <c r="I54" s="4"/>
    </row>
    <row r="55" spans="2:14" s="5" customFormat="1">
      <c r="B55" s="83"/>
      <c r="C55" s="2"/>
      <c r="D55" s="2"/>
      <c r="E55" s="2"/>
      <c r="F55" s="2"/>
      <c r="G55" s="2"/>
      <c r="H55" s="3"/>
      <c r="I55" s="4"/>
    </row>
    <row r="56" spans="2:14" s="5" customFormat="1" ht="12" customHeight="1">
      <c r="B56" s="82"/>
      <c r="C56" s="2"/>
      <c r="D56" s="2"/>
      <c r="E56" s="2"/>
      <c r="F56" s="2"/>
      <c r="G56" s="2"/>
      <c r="H56" s="3"/>
      <c r="I56" s="4"/>
    </row>
    <row r="57" spans="2:14" s="5" customFormat="1">
      <c r="B57" s="84"/>
      <c r="C57" s="2"/>
      <c r="D57" s="2"/>
      <c r="E57" s="2"/>
      <c r="F57" s="2"/>
      <c r="G57" s="2"/>
      <c r="H57" s="6"/>
      <c r="I57" s="7"/>
    </row>
    <row r="58" spans="2:14" s="80" customFormat="1">
      <c r="B58" s="82"/>
      <c r="H58" s="85"/>
    </row>
    <row r="59" spans="2:14" s="86" customFormat="1">
      <c r="B59" s="84" t="s">
        <v>1589</v>
      </c>
      <c r="H59" s="87"/>
    </row>
    <row r="60" spans="2:14" s="9" customFormat="1" ht="12.75" customHeight="1">
      <c r="B60" s="84" t="s">
        <v>1590</v>
      </c>
      <c r="C60" s="8"/>
      <c r="D60" s="8"/>
      <c r="E60" s="8"/>
      <c r="F60" s="88"/>
      <c r="G60" s="89"/>
      <c r="H60" s="90"/>
      <c r="I60" s="89"/>
    </row>
    <row r="61" spans="2:14" s="11" customFormat="1">
      <c r="B61" s="84" t="s">
        <v>1591</v>
      </c>
      <c r="C61" s="10"/>
      <c r="D61" s="10"/>
      <c r="E61" s="10"/>
      <c r="F61" s="91"/>
      <c r="G61" s="91"/>
      <c r="H61" s="92"/>
      <c r="I61" s="91"/>
    </row>
    <row r="62" spans="2:14" s="13" customFormat="1">
      <c r="B62" s="83"/>
      <c r="C62" s="12"/>
      <c r="D62" s="12"/>
      <c r="E62" s="12"/>
      <c r="F62" s="93"/>
      <c r="G62" s="93"/>
      <c r="H62" s="94"/>
      <c r="I62" s="93"/>
    </row>
    <row r="63" spans="2:14" s="15" customFormat="1" ht="11.25" customHeight="1">
      <c r="B63" s="82"/>
      <c r="C63" s="14"/>
      <c r="D63" s="14"/>
      <c r="E63" s="14"/>
      <c r="F63" s="95"/>
      <c r="G63" s="95"/>
      <c r="H63" s="96"/>
      <c r="I63" s="95"/>
    </row>
    <row r="64" spans="2:14" s="11" customFormat="1">
      <c r="B64" s="82"/>
      <c r="C64" s="10"/>
      <c r="D64" s="10"/>
      <c r="E64" s="91"/>
      <c r="F64" s="91"/>
      <c r="G64" s="92"/>
      <c r="H64" s="91"/>
    </row>
    <row r="65" spans="2:9" s="13" customFormat="1">
      <c r="B65" s="83"/>
      <c r="C65" s="12"/>
      <c r="D65" s="12"/>
      <c r="E65" s="93"/>
      <c r="F65" s="93"/>
      <c r="G65" s="94"/>
      <c r="H65" s="93"/>
    </row>
    <row r="66" spans="2:9" s="13" customFormat="1" ht="10.5" customHeight="1">
      <c r="B66" s="83"/>
      <c r="C66" s="12"/>
      <c r="D66" s="12"/>
      <c r="E66" s="93"/>
      <c r="F66" s="93"/>
      <c r="G66" s="94"/>
      <c r="H66" s="93"/>
    </row>
    <row r="67" spans="2:9" s="13" customFormat="1">
      <c r="B67" s="35"/>
      <c r="D67" s="16"/>
      <c r="E67" s="16"/>
      <c r="F67" s="97"/>
      <c r="G67" s="97"/>
      <c r="H67" s="98"/>
      <c r="I67" s="97"/>
    </row>
    <row r="68" spans="2:9" s="99" customFormat="1">
      <c r="B68" s="37"/>
      <c r="C68" s="16"/>
      <c r="H68" s="100"/>
      <c r="I68" s="101"/>
    </row>
    <row r="69" spans="2:9">
      <c r="B69" s="37"/>
      <c r="C69" s="11"/>
      <c r="D69" s="102"/>
      <c r="E69" s="102"/>
    </row>
  </sheetData>
  <printOptions horizontalCentered="1"/>
  <pageMargins left="0.75" right="0.75" top="0.98425196850393704" bottom="0.98425196850393704" header="0.51181102362204722" footer="0.51181102362204722"/>
  <pageSetup paperSize="9" scale="6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B1:K226"/>
  <sheetViews>
    <sheetView topLeftCell="A22" workbookViewId="0">
      <selection activeCell="C29" sqref="C29"/>
    </sheetView>
  </sheetViews>
  <sheetFormatPr defaultRowHeight="15.75"/>
  <cols>
    <col min="1" max="1" width="9.140625" style="80"/>
    <col min="2" max="2" width="12.28515625" style="80" customWidth="1"/>
    <col min="3" max="16384" width="9.140625" style="80"/>
  </cols>
  <sheetData>
    <row r="1" spans="2:11">
      <c r="K1" s="103" t="s">
        <v>1284</v>
      </c>
    </row>
    <row r="5" spans="2:11">
      <c r="B5" s="122" t="s">
        <v>46</v>
      </c>
      <c r="C5" s="123"/>
      <c r="D5" s="123"/>
      <c r="E5" s="123"/>
      <c r="F5" s="123"/>
      <c r="G5" s="123"/>
      <c r="H5" s="123"/>
      <c r="I5" s="123"/>
      <c r="J5" s="123"/>
    </row>
    <row r="6" spans="2:11">
      <c r="B6" s="123"/>
      <c r="C6" s="123"/>
      <c r="D6" s="123"/>
      <c r="E6" s="123"/>
      <c r="F6" s="123"/>
      <c r="G6" s="123"/>
      <c r="H6" s="123"/>
      <c r="I6" s="123"/>
      <c r="J6" s="123"/>
    </row>
    <row r="7" spans="2:11">
      <c r="B7" s="123"/>
      <c r="C7" s="123"/>
      <c r="D7" s="123"/>
      <c r="E7" s="123"/>
      <c r="F7" s="123"/>
      <c r="G7" s="123"/>
      <c r="H7" s="123"/>
      <c r="I7" s="123"/>
      <c r="J7" s="123"/>
    </row>
    <row r="8" spans="2:11">
      <c r="B8" s="123"/>
      <c r="C8" s="123"/>
      <c r="D8" s="123"/>
      <c r="E8" s="123"/>
      <c r="F8" s="123"/>
      <c r="G8" s="123"/>
      <c r="H8" s="123"/>
      <c r="I8" s="123"/>
      <c r="J8" s="123"/>
    </row>
    <row r="9" spans="2:11" s="75" customFormat="1">
      <c r="B9" s="124" t="s">
        <v>1534</v>
      </c>
      <c r="C9" s="124"/>
      <c r="D9" s="124"/>
      <c r="E9" s="124"/>
      <c r="F9" s="124"/>
      <c r="G9" s="124"/>
      <c r="H9" s="124"/>
      <c r="I9" s="124"/>
      <c r="J9" s="124"/>
    </row>
    <row r="10" spans="2:11" s="75" customFormat="1">
      <c r="B10" s="124" t="s">
        <v>47</v>
      </c>
      <c r="C10" s="124"/>
      <c r="D10" s="124"/>
      <c r="E10" s="124"/>
      <c r="F10" s="124"/>
      <c r="G10" s="124"/>
      <c r="H10" s="124"/>
      <c r="I10" s="124"/>
      <c r="J10" s="124"/>
    </row>
    <row r="11" spans="2:11" s="75" customFormat="1">
      <c r="B11" s="124" t="s">
        <v>48</v>
      </c>
      <c r="C11" s="124"/>
      <c r="D11" s="124"/>
      <c r="E11" s="124"/>
      <c r="F11" s="124"/>
      <c r="G11" s="124"/>
      <c r="H11" s="124"/>
      <c r="I11" s="124"/>
      <c r="J11" s="124"/>
    </row>
    <row r="16" spans="2:11">
      <c r="B16" s="125" t="s">
        <v>49</v>
      </c>
      <c r="C16" s="80" t="s">
        <v>50</v>
      </c>
    </row>
    <row r="17" spans="2:9">
      <c r="B17" s="125" t="s">
        <v>51</v>
      </c>
      <c r="C17" s="80" t="s">
        <v>52</v>
      </c>
    </row>
    <row r="18" spans="2:9">
      <c r="B18" s="125" t="s">
        <v>53</v>
      </c>
      <c r="C18" s="80" t="s">
        <v>13</v>
      </c>
    </row>
    <row r="19" spans="2:9">
      <c r="B19" s="125" t="s">
        <v>54</v>
      </c>
      <c r="C19" s="80" t="s">
        <v>14</v>
      </c>
    </row>
    <row r="20" spans="2:9">
      <c r="B20" s="125" t="s">
        <v>55</v>
      </c>
      <c r="C20" s="80" t="s">
        <v>10</v>
      </c>
    </row>
    <row r="21" spans="2:9">
      <c r="B21" s="125" t="s">
        <v>56</v>
      </c>
      <c r="C21" s="80" t="s">
        <v>12</v>
      </c>
    </row>
    <row r="22" spans="2:9">
      <c r="B22" s="125" t="s">
        <v>57</v>
      </c>
      <c r="C22" s="80" t="s">
        <v>23</v>
      </c>
    </row>
    <row r="23" spans="2:9">
      <c r="B23" s="125" t="s">
        <v>58</v>
      </c>
      <c r="C23" s="80" t="s">
        <v>59</v>
      </c>
    </row>
    <row r="24" spans="2:9">
      <c r="B24" s="125" t="s">
        <v>60</v>
      </c>
      <c r="C24" s="80" t="s">
        <v>61</v>
      </c>
    </row>
    <row r="25" spans="2:9">
      <c r="B25" s="125" t="s">
        <v>62</v>
      </c>
      <c r="C25" s="80" t="s">
        <v>63</v>
      </c>
    </row>
    <row r="26" spans="2:9">
      <c r="B26" s="125" t="s">
        <v>64</v>
      </c>
      <c r="C26" s="80" t="s">
        <v>65</v>
      </c>
    </row>
    <row r="27" spans="2:9">
      <c r="B27" s="125" t="s">
        <v>66</v>
      </c>
      <c r="C27" s="80" t="s">
        <v>67</v>
      </c>
    </row>
    <row r="31" spans="2:9" s="5" customFormat="1">
      <c r="B31" s="82"/>
      <c r="C31" s="2"/>
      <c r="D31" s="2"/>
      <c r="E31" s="2"/>
      <c r="F31" s="2"/>
      <c r="G31" s="2"/>
      <c r="H31" s="3"/>
      <c r="I31" s="4"/>
    </row>
    <row r="32" spans="2:9" s="5" customFormat="1">
      <c r="B32" s="83"/>
      <c r="C32" s="2"/>
      <c r="D32" s="2"/>
      <c r="E32" s="2"/>
      <c r="F32" s="2"/>
      <c r="G32" s="2"/>
      <c r="H32" s="3"/>
      <c r="I32" s="4"/>
    </row>
    <row r="33" spans="2:9" s="5" customFormat="1">
      <c r="B33" s="84" t="s">
        <v>1589</v>
      </c>
      <c r="C33" s="2"/>
      <c r="D33" s="2"/>
      <c r="E33" s="2"/>
      <c r="F33" s="2"/>
      <c r="G33" s="2"/>
      <c r="H33" s="3"/>
      <c r="I33" s="4"/>
    </row>
    <row r="34" spans="2:9" s="5" customFormat="1">
      <c r="B34" s="84" t="s">
        <v>1590</v>
      </c>
      <c r="C34" s="2"/>
      <c r="D34" s="2"/>
      <c r="E34" s="2"/>
      <c r="F34" s="2"/>
      <c r="G34" s="2"/>
      <c r="H34" s="6"/>
      <c r="I34" s="7"/>
    </row>
    <row r="35" spans="2:9">
      <c r="B35" s="84" t="s">
        <v>1591</v>
      </c>
      <c r="H35" s="85"/>
    </row>
    <row r="36" spans="2:9" s="86" customFormat="1">
      <c r="B36" s="83"/>
      <c r="H36" s="87"/>
    </row>
    <row r="37" spans="2:9" s="9" customFormat="1">
      <c r="B37" s="84"/>
      <c r="C37" s="8"/>
      <c r="D37" s="8"/>
      <c r="E37" s="8"/>
      <c r="F37" s="88"/>
      <c r="G37" s="89"/>
      <c r="H37" s="90"/>
      <c r="I37" s="89"/>
    </row>
    <row r="38" spans="2:9" s="11" customFormat="1">
      <c r="B38" s="82"/>
      <c r="C38" s="10"/>
      <c r="D38" s="10"/>
      <c r="E38" s="10"/>
      <c r="F38" s="91"/>
      <c r="G38" s="91"/>
      <c r="H38" s="92"/>
      <c r="I38" s="91"/>
    </row>
    <row r="39" spans="2:9" s="13" customFormat="1">
      <c r="B39" s="83"/>
      <c r="C39" s="12"/>
      <c r="D39" s="12"/>
      <c r="E39" s="12"/>
      <c r="F39" s="93"/>
      <c r="G39" s="93"/>
      <c r="H39" s="94"/>
      <c r="I39" s="93"/>
    </row>
    <row r="40" spans="2:9" s="15" customFormat="1">
      <c r="B40" s="82"/>
      <c r="C40" s="14"/>
      <c r="D40" s="14"/>
      <c r="E40" s="14"/>
      <c r="F40" s="95"/>
      <c r="G40" s="95"/>
      <c r="H40" s="96"/>
      <c r="I40" s="95"/>
    </row>
    <row r="41" spans="2:9" s="15" customFormat="1">
      <c r="B41" s="82"/>
      <c r="C41" s="14"/>
      <c r="D41" s="14"/>
      <c r="E41" s="14"/>
      <c r="F41" s="95"/>
      <c r="G41" s="95"/>
      <c r="H41" s="95"/>
    </row>
    <row r="42" spans="2:9" s="13" customFormat="1">
      <c r="B42" s="83"/>
      <c r="C42" s="16"/>
      <c r="D42" s="16"/>
      <c r="E42" s="16"/>
      <c r="F42" s="97"/>
      <c r="G42" s="97"/>
      <c r="H42" s="97"/>
    </row>
    <row r="43" spans="2:9" s="13" customFormat="1">
      <c r="B43" s="83"/>
      <c r="C43" s="16"/>
      <c r="D43" s="16"/>
      <c r="E43" s="16"/>
      <c r="F43" s="97"/>
      <c r="G43" s="97"/>
      <c r="H43" s="97"/>
    </row>
    <row r="44" spans="2:9" s="11" customFormat="1">
      <c r="B44" s="82"/>
      <c r="C44" s="10"/>
      <c r="D44" s="10"/>
      <c r="E44" s="91"/>
      <c r="F44" s="91"/>
      <c r="G44" s="92"/>
      <c r="H44" s="91"/>
    </row>
    <row r="45" spans="2:9" s="13" customFormat="1">
      <c r="B45" s="83"/>
      <c r="C45" s="12"/>
      <c r="D45" s="12"/>
      <c r="E45" s="93"/>
      <c r="F45" s="93"/>
      <c r="G45" s="94"/>
      <c r="H45" s="93"/>
    </row>
    <row r="47" spans="2:9" s="13" customFormat="1">
      <c r="B47" s="84"/>
      <c r="C47" s="16"/>
      <c r="D47" s="16"/>
      <c r="E47" s="16"/>
      <c r="F47" s="97"/>
      <c r="G47" s="97"/>
      <c r="H47" s="97"/>
    </row>
    <row r="48" spans="2:9" s="99" customFormat="1">
      <c r="B48" s="84"/>
      <c r="H48" s="101"/>
    </row>
    <row r="49" s="75" customFormat="1"/>
    <row r="226" spans="5:5">
      <c r="E226" s="32"/>
    </row>
  </sheetData>
  <pageMargins left="0.35433070866141736" right="0.35433070866141736" top="0.78740157480314965" bottom="0.78740157480314965" header="0.51181102362204722" footer="0.51181102362204722"/>
  <pageSetup paperSize="9" scale="8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E182"/>
  <sheetViews>
    <sheetView workbookViewId="0">
      <selection activeCell="F25" sqref="F25"/>
    </sheetView>
  </sheetViews>
  <sheetFormatPr defaultRowHeight="15.75"/>
  <cols>
    <col min="1" max="5" width="19.5703125" style="106" customWidth="1"/>
    <col min="6" max="16384" width="9.140625" style="106"/>
  </cols>
  <sheetData>
    <row r="1" spans="1:5">
      <c r="E1" s="107" t="s">
        <v>1283</v>
      </c>
    </row>
    <row r="4" spans="1:5">
      <c r="A4" s="166" t="s">
        <v>1470</v>
      </c>
      <c r="B4" s="167"/>
      <c r="C4" s="167"/>
      <c r="D4" s="167"/>
      <c r="E4" s="167"/>
    </row>
    <row r="5" spans="1:5">
      <c r="A5" s="166" t="s">
        <v>993</v>
      </c>
      <c r="B5" s="167"/>
      <c r="C5" s="167"/>
      <c r="D5" s="167"/>
      <c r="E5" s="167"/>
    </row>
    <row r="6" spans="1:5">
      <c r="A6" s="166" t="s">
        <v>994</v>
      </c>
      <c r="B6" s="167"/>
      <c r="C6" s="167"/>
      <c r="D6" s="167"/>
      <c r="E6" s="167"/>
    </row>
    <row r="7" spans="1:5">
      <c r="A7" s="168"/>
    </row>
    <row r="9" spans="1:5">
      <c r="A9" s="106" t="s">
        <v>1475</v>
      </c>
      <c r="B9" s="644"/>
    </row>
    <row r="182" spans="4:4">
      <c r="D182" s="109"/>
    </row>
  </sheetData>
  <pageMargins left="0.7" right="0.7" top="0.75" bottom="0.75" header="0.3" footer="0.3"/>
  <pageSetup paperSize="9" scale="8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26"/>
  <sheetViews>
    <sheetView zoomScaleNormal="100" workbookViewId="0">
      <selection activeCell="N31" sqref="N31"/>
    </sheetView>
  </sheetViews>
  <sheetFormatPr defaultRowHeight="15"/>
  <sheetData>
    <row r="1" spans="1:1">
      <c r="A1" t="s">
        <v>625</v>
      </c>
    </row>
    <row r="226" spans="5:5">
      <c r="E226" s="33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B2:K116"/>
  <sheetViews>
    <sheetView topLeftCell="A91" workbookViewId="0">
      <selection activeCell="F102" sqref="F102"/>
    </sheetView>
  </sheetViews>
  <sheetFormatPr defaultRowHeight="15"/>
  <cols>
    <col min="1" max="1" width="4.85546875" style="200" customWidth="1"/>
    <col min="2" max="11" width="9.140625" style="200"/>
    <col min="12" max="12" width="17.28515625" style="200" customWidth="1"/>
    <col min="13" max="16384" width="9.140625" style="200"/>
  </cols>
  <sheetData>
    <row r="2" spans="2:11">
      <c r="K2" s="424" t="s">
        <v>1282</v>
      </c>
    </row>
    <row r="4" spans="2:11">
      <c r="E4" s="425" t="s">
        <v>199</v>
      </c>
    </row>
    <row r="5" spans="2:11">
      <c r="E5" s="425" t="s">
        <v>999</v>
      </c>
    </row>
    <row r="6" spans="2:11">
      <c r="E6" s="425" t="s">
        <v>1318</v>
      </c>
    </row>
    <row r="7" spans="2:11">
      <c r="E7" s="425"/>
    </row>
    <row r="8" spans="2:11" s="426" customFormat="1" ht="14.25">
      <c r="B8" s="426" t="s">
        <v>200</v>
      </c>
    </row>
    <row r="9" spans="2:11">
      <c r="B9" s="200">
        <v>1</v>
      </c>
      <c r="C9" s="200" t="s">
        <v>250</v>
      </c>
    </row>
    <row r="11" spans="2:11" s="426" customFormat="1" ht="14.25">
      <c r="B11" s="426" t="s">
        <v>201</v>
      </c>
    </row>
    <row r="12" spans="2:11">
      <c r="B12" s="200">
        <v>1</v>
      </c>
      <c r="C12" s="200" t="s">
        <v>206</v>
      </c>
      <c r="D12" s="415"/>
      <c r="E12" s="415"/>
      <c r="F12" s="415"/>
      <c r="G12" s="415"/>
      <c r="H12" s="415"/>
    </row>
    <row r="13" spans="2:11">
      <c r="B13" s="200">
        <v>2</v>
      </c>
      <c r="C13" s="200" t="s">
        <v>207</v>
      </c>
      <c r="D13" s="415"/>
      <c r="E13" s="415"/>
      <c r="F13" s="415"/>
      <c r="G13" s="415"/>
      <c r="H13" s="415"/>
    </row>
    <row r="14" spans="2:11">
      <c r="B14" s="200">
        <v>3</v>
      </c>
      <c r="C14" s="200" t="s">
        <v>208</v>
      </c>
      <c r="D14" s="415"/>
      <c r="E14" s="415"/>
      <c r="F14" s="415"/>
      <c r="G14" s="415"/>
      <c r="H14" s="415"/>
    </row>
    <row r="15" spans="2:11">
      <c r="B15" s="200">
        <v>4</v>
      </c>
      <c r="C15" s="200" t="s">
        <v>209</v>
      </c>
      <c r="D15" s="415"/>
      <c r="E15" s="415"/>
      <c r="F15" s="415"/>
      <c r="G15" s="415"/>
      <c r="H15" s="415"/>
    </row>
    <row r="16" spans="2:11">
      <c r="B16" s="200">
        <v>5</v>
      </c>
      <c r="C16" s="200" t="s">
        <v>211</v>
      </c>
      <c r="D16" s="415"/>
      <c r="E16" s="415"/>
      <c r="F16" s="415"/>
      <c r="G16" s="415"/>
      <c r="H16" s="415"/>
    </row>
    <row r="17" spans="2:8">
      <c r="B17" s="200">
        <v>6</v>
      </c>
      <c r="C17" s="200" t="s">
        <v>212</v>
      </c>
      <c r="D17" s="415"/>
      <c r="E17" s="415"/>
      <c r="F17" s="415"/>
      <c r="G17" s="415"/>
      <c r="H17" s="415"/>
    </row>
    <row r="18" spans="2:8">
      <c r="B18" s="200">
        <v>7</v>
      </c>
      <c r="C18" s="200" t="s">
        <v>234</v>
      </c>
      <c r="D18" s="415"/>
      <c r="E18" s="415"/>
      <c r="F18" s="415"/>
      <c r="G18" s="415"/>
      <c r="H18" s="415"/>
    </row>
    <row r="19" spans="2:8">
      <c r="B19" s="200">
        <v>8</v>
      </c>
      <c r="C19" s="200" t="s">
        <v>235</v>
      </c>
      <c r="D19" s="415"/>
      <c r="E19" s="415"/>
      <c r="F19" s="415"/>
      <c r="G19" s="415"/>
      <c r="H19" s="415"/>
    </row>
    <row r="20" spans="2:8">
      <c r="B20" s="200">
        <v>9</v>
      </c>
      <c r="C20" s="200" t="s">
        <v>236</v>
      </c>
      <c r="D20" s="415"/>
      <c r="E20" s="415"/>
      <c r="F20" s="415"/>
      <c r="G20" s="415"/>
      <c r="H20" s="415"/>
    </row>
    <row r="21" spans="2:8">
      <c r="B21" s="200">
        <v>10</v>
      </c>
      <c r="C21" s="200" t="s">
        <v>237</v>
      </c>
      <c r="D21" s="415"/>
      <c r="E21" s="415"/>
      <c r="F21" s="415"/>
      <c r="G21" s="415"/>
      <c r="H21" s="415"/>
    </row>
    <row r="22" spans="2:8">
      <c r="B22" s="200">
        <v>11</v>
      </c>
      <c r="C22" s="200" t="s">
        <v>1091</v>
      </c>
      <c r="D22" s="415"/>
      <c r="E22" s="415"/>
      <c r="F22" s="415"/>
      <c r="G22" s="415"/>
      <c r="H22" s="415"/>
    </row>
    <row r="23" spans="2:8">
      <c r="B23" s="200">
        <v>12</v>
      </c>
      <c r="C23" s="200" t="s">
        <v>997</v>
      </c>
      <c r="D23" s="415"/>
      <c r="E23" s="415"/>
      <c r="F23" s="415"/>
      <c r="G23" s="415"/>
      <c r="H23" s="415"/>
    </row>
    <row r="24" spans="2:8">
      <c r="B24" s="200">
        <v>13</v>
      </c>
      <c r="C24" s="200" t="s">
        <v>998</v>
      </c>
      <c r="D24" s="415"/>
      <c r="E24" s="415"/>
      <c r="F24" s="415"/>
      <c r="G24" s="415"/>
      <c r="H24" s="415"/>
    </row>
    <row r="25" spans="2:8">
      <c r="B25" s="200">
        <v>14</v>
      </c>
      <c r="C25" s="200" t="s">
        <v>1089</v>
      </c>
      <c r="E25" s="415"/>
      <c r="F25" s="415"/>
      <c r="G25" s="415"/>
      <c r="H25" s="415"/>
    </row>
    <row r="26" spans="2:8">
      <c r="B26" s="200">
        <v>15</v>
      </c>
      <c r="C26" s="200" t="s">
        <v>213</v>
      </c>
      <c r="E26" s="415"/>
      <c r="F26" s="415"/>
      <c r="G26" s="415"/>
      <c r="H26" s="415"/>
    </row>
    <row r="27" spans="2:8">
      <c r="B27" s="200">
        <v>16</v>
      </c>
      <c r="C27" s="200" t="s">
        <v>214</v>
      </c>
      <c r="E27" s="415"/>
      <c r="F27" s="415"/>
      <c r="G27" s="415"/>
      <c r="H27" s="415"/>
    </row>
    <row r="28" spans="2:8">
      <c r="B28" s="200">
        <v>17</v>
      </c>
      <c r="C28" s="200" t="s">
        <v>658</v>
      </c>
      <c r="E28" s="415"/>
      <c r="F28" s="415"/>
      <c r="G28" s="415"/>
      <c r="H28" s="415"/>
    </row>
    <row r="29" spans="2:8">
      <c r="B29" s="200">
        <v>18</v>
      </c>
      <c r="C29" s="200" t="s">
        <v>215</v>
      </c>
      <c r="E29" s="415"/>
      <c r="F29" s="415"/>
      <c r="G29" s="415"/>
      <c r="H29" s="415"/>
    </row>
    <row r="30" spans="2:8">
      <c r="B30" s="200">
        <v>19</v>
      </c>
      <c r="C30" s="200" t="s">
        <v>216</v>
      </c>
      <c r="E30" s="415"/>
      <c r="F30" s="415"/>
      <c r="G30" s="415"/>
      <c r="H30" s="415"/>
    </row>
    <row r="31" spans="2:8">
      <c r="B31" s="200">
        <v>20</v>
      </c>
      <c r="C31" s="200" t="s">
        <v>217</v>
      </c>
      <c r="E31" s="415"/>
      <c r="F31" s="415"/>
      <c r="G31" s="415"/>
      <c r="H31" s="415"/>
    </row>
    <row r="32" spans="2:8">
      <c r="B32" s="200">
        <v>21</v>
      </c>
      <c r="C32" s="200" t="s">
        <v>218</v>
      </c>
      <c r="E32" s="415"/>
      <c r="F32" s="415"/>
      <c r="G32" s="415"/>
      <c r="H32" s="415"/>
    </row>
    <row r="33" spans="2:9">
      <c r="B33" s="200">
        <v>22</v>
      </c>
      <c r="C33" s="200" t="s">
        <v>219</v>
      </c>
      <c r="E33" s="415"/>
      <c r="F33" s="415"/>
      <c r="G33" s="415"/>
      <c r="H33" s="415"/>
    </row>
    <row r="34" spans="2:9">
      <c r="B34" s="200">
        <v>23</v>
      </c>
      <c r="C34" s="200" t="s">
        <v>220</v>
      </c>
      <c r="E34" s="415"/>
      <c r="F34" s="415"/>
      <c r="G34" s="415"/>
      <c r="H34" s="415"/>
    </row>
    <row r="35" spans="2:9">
      <c r="B35" s="200">
        <v>24</v>
      </c>
      <c r="C35" s="200" t="s">
        <v>1090</v>
      </c>
      <c r="E35" s="415"/>
      <c r="F35" s="415"/>
      <c r="G35" s="415"/>
      <c r="H35" s="415"/>
    </row>
    <row r="36" spans="2:9">
      <c r="B36" s="200">
        <v>25</v>
      </c>
      <c r="C36" s="200" t="s">
        <v>221</v>
      </c>
      <c r="E36" s="415"/>
      <c r="F36" s="415"/>
      <c r="G36" s="415"/>
      <c r="H36" s="415"/>
    </row>
    <row r="37" spans="2:9">
      <c r="B37" s="200">
        <v>26</v>
      </c>
      <c r="C37" s="200" t="s">
        <v>222</v>
      </c>
      <c r="E37" s="415"/>
      <c r="F37" s="415"/>
      <c r="G37" s="415"/>
      <c r="H37" s="415"/>
    </row>
    <row r="38" spans="2:9">
      <c r="B38" s="200">
        <v>27</v>
      </c>
      <c r="C38" s="200" t="s">
        <v>223</v>
      </c>
      <c r="E38" s="415"/>
      <c r="F38" s="415"/>
      <c r="G38" s="415"/>
      <c r="H38" s="415"/>
    </row>
    <row r="39" spans="2:9">
      <c r="B39" s="200">
        <v>28</v>
      </c>
      <c r="C39" s="200" t="s">
        <v>224</v>
      </c>
      <c r="E39" s="415"/>
      <c r="F39" s="415"/>
      <c r="G39" s="415"/>
      <c r="H39" s="415"/>
    </row>
    <row r="40" spans="2:9">
      <c r="B40" s="200">
        <v>29</v>
      </c>
      <c r="C40" s="200" t="s">
        <v>225</v>
      </c>
      <c r="E40" s="415"/>
      <c r="F40" s="415"/>
      <c r="G40" s="415"/>
      <c r="H40" s="415"/>
    </row>
    <row r="41" spans="2:9">
      <c r="B41" s="200">
        <v>30</v>
      </c>
      <c r="C41" s="200" t="s">
        <v>226</v>
      </c>
      <c r="E41" s="415"/>
      <c r="F41" s="415"/>
      <c r="G41" s="415"/>
      <c r="H41" s="415"/>
    </row>
    <row r="42" spans="2:9">
      <c r="B42" s="200">
        <v>31</v>
      </c>
      <c r="C42" s="200" t="s">
        <v>227</v>
      </c>
      <c r="E42" s="415"/>
      <c r="F42" s="415"/>
      <c r="G42" s="415"/>
      <c r="H42" s="415"/>
    </row>
    <row r="43" spans="2:9">
      <c r="B43" s="200">
        <v>32</v>
      </c>
      <c r="C43" s="200" t="s">
        <v>228</v>
      </c>
      <c r="E43" s="415"/>
      <c r="F43" s="415"/>
      <c r="G43" s="415"/>
      <c r="H43" s="415"/>
    </row>
    <row r="44" spans="2:9">
      <c r="B44" s="200">
        <v>33</v>
      </c>
      <c r="C44" s="427" t="s">
        <v>229</v>
      </c>
      <c r="D44" s="427"/>
      <c r="E44" s="427"/>
      <c r="F44" s="427"/>
      <c r="G44" s="427"/>
      <c r="H44" s="427"/>
      <c r="I44" s="427"/>
    </row>
    <row r="45" spans="2:9">
      <c r="B45" s="200">
        <v>34</v>
      </c>
      <c r="C45" s="427" t="s">
        <v>230</v>
      </c>
      <c r="D45" s="427"/>
      <c r="E45" s="427"/>
      <c r="F45" s="427"/>
      <c r="G45" s="427"/>
      <c r="H45" s="427"/>
      <c r="I45" s="427"/>
    </row>
    <row r="46" spans="2:9">
      <c r="B46" s="200">
        <v>35</v>
      </c>
      <c r="C46" s="427" t="s">
        <v>1001</v>
      </c>
      <c r="D46" s="427"/>
      <c r="E46" s="427"/>
      <c r="F46" s="427"/>
      <c r="G46" s="427"/>
      <c r="H46" s="427"/>
      <c r="I46" s="427"/>
    </row>
    <row r="47" spans="2:9">
      <c r="B47" s="200">
        <v>36</v>
      </c>
      <c r="C47" s="427" t="s">
        <v>231</v>
      </c>
      <c r="D47" s="427"/>
      <c r="E47" s="427"/>
      <c r="F47" s="427"/>
      <c r="G47" s="427"/>
      <c r="H47" s="427"/>
      <c r="I47" s="427"/>
    </row>
    <row r="48" spans="2:9">
      <c r="B48" s="200">
        <v>37</v>
      </c>
      <c r="C48" s="427" t="s">
        <v>210</v>
      </c>
      <c r="D48" s="427"/>
      <c r="E48" s="427"/>
      <c r="F48" s="427"/>
      <c r="G48" s="427"/>
      <c r="H48" s="427"/>
      <c r="I48" s="427"/>
    </row>
    <row r="49" spans="2:9">
      <c r="B49" s="200">
        <v>38</v>
      </c>
      <c r="C49" s="427" t="s">
        <v>232</v>
      </c>
      <c r="D49" s="427"/>
      <c r="E49" s="427"/>
      <c r="F49" s="427"/>
      <c r="G49" s="427"/>
      <c r="H49" s="427"/>
      <c r="I49" s="427"/>
    </row>
    <row r="50" spans="2:9">
      <c r="B50" s="200">
        <v>39</v>
      </c>
      <c r="C50" s="427" t="s">
        <v>233</v>
      </c>
      <c r="D50" s="427"/>
      <c r="E50" s="427"/>
      <c r="F50" s="427"/>
      <c r="G50" s="427"/>
      <c r="H50" s="427"/>
      <c r="I50" s="427"/>
    </row>
    <row r="51" spans="2:9">
      <c r="C51" s="427"/>
      <c r="D51" s="427"/>
      <c r="E51" s="427"/>
      <c r="F51" s="427"/>
      <c r="G51" s="427"/>
      <c r="H51" s="427"/>
      <c r="I51" s="427"/>
    </row>
    <row r="52" spans="2:9" s="426" customFormat="1" ht="14.25">
      <c r="B52" s="426" t="s">
        <v>202</v>
      </c>
      <c r="C52" s="428"/>
      <c r="D52" s="428"/>
      <c r="E52" s="428"/>
      <c r="F52" s="428"/>
      <c r="G52" s="428"/>
    </row>
    <row r="53" spans="2:9" s="426" customFormat="1" ht="14.25">
      <c r="C53" s="428"/>
      <c r="D53" s="428"/>
      <c r="E53" s="428"/>
      <c r="F53" s="428"/>
      <c r="G53" s="428"/>
    </row>
    <row r="54" spans="2:9">
      <c r="C54" s="427" t="s">
        <v>203</v>
      </c>
      <c r="D54" s="427"/>
      <c r="E54" s="427"/>
      <c r="F54" s="427"/>
      <c r="G54" s="427"/>
    </row>
    <row r="55" spans="2:9">
      <c r="B55" s="200">
        <v>1</v>
      </c>
      <c r="C55" s="427" t="s">
        <v>1092</v>
      </c>
      <c r="D55" s="427"/>
      <c r="E55" s="427"/>
      <c r="F55" s="427"/>
      <c r="G55" s="427"/>
    </row>
    <row r="56" spans="2:9">
      <c r="B56" s="200">
        <v>2</v>
      </c>
      <c r="C56" s="427" t="s">
        <v>1093</v>
      </c>
      <c r="D56" s="427"/>
      <c r="E56" s="427"/>
      <c r="F56" s="427"/>
      <c r="G56" s="427"/>
    </row>
    <row r="57" spans="2:9">
      <c r="B57" s="200">
        <v>3</v>
      </c>
      <c r="C57" s="427" t="s">
        <v>1094</v>
      </c>
      <c r="D57" s="427"/>
      <c r="E57" s="427"/>
      <c r="F57" s="427"/>
      <c r="G57" s="427"/>
    </row>
    <row r="58" spans="2:9">
      <c r="B58" s="200">
        <v>4</v>
      </c>
      <c r="C58" s="427" t="s">
        <v>1095</v>
      </c>
      <c r="D58" s="427"/>
      <c r="E58" s="427"/>
      <c r="F58" s="427"/>
      <c r="G58" s="427"/>
    </row>
    <row r="59" spans="2:9">
      <c r="B59" s="200">
        <v>5</v>
      </c>
      <c r="C59" s="427" t="s">
        <v>1096</v>
      </c>
      <c r="D59" s="427"/>
      <c r="E59" s="427"/>
      <c r="F59" s="427"/>
      <c r="G59" s="427"/>
    </row>
    <row r="60" spans="2:9">
      <c r="B60" s="200">
        <v>6</v>
      </c>
      <c r="C60" s="427" t="s">
        <v>1321</v>
      </c>
      <c r="D60" s="427"/>
      <c r="E60" s="427"/>
      <c r="F60" s="427"/>
      <c r="G60" s="427"/>
    </row>
    <row r="61" spans="2:9">
      <c r="B61" s="200">
        <v>7</v>
      </c>
      <c r="C61" s="427" t="s">
        <v>1097</v>
      </c>
      <c r="D61" s="427"/>
      <c r="E61" s="427"/>
      <c r="F61" s="427"/>
      <c r="G61" s="427"/>
    </row>
    <row r="62" spans="2:9">
      <c r="B62" s="200">
        <v>8</v>
      </c>
      <c r="C62" s="427" t="s">
        <v>1098</v>
      </c>
      <c r="D62" s="427"/>
      <c r="E62" s="427"/>
      <c r="F62" s="427"/>
      <c r="G62" s="427"/>
    </row>
    <row r="63" spans="2:9">
      <c r="B63" s="200">
        <v>9</v>
      </c>
      <c r="C63" s="427" t="s">
        <v>1099</v>
      </c>
      <c r="D63" s="427"/>
      <c r="E63" s="427"/>
      <c r="F63" s="427"/>
      <c r="G63" s="427"/>
    </row>
    <row r="64" spans="2:9">
      <c r="B64" s="200">
        <v>10</v>
      </c>
      <c r="C64" s="427" t="s">
        <v>1100</v>
      </c>
      <c r="D64" s="427"/>
      <c r="E64" s="427"/>
      <c r="F64" s="427"/>
      <c r="G64" s="427"/>
    </row>
    <row r="65" spans="2:7">
      <c r="B65" s="200">
        <v>11</v>
      </c>
      <c r="C65" s="427" t="s">
        <v>1101</v>
      </c>
      <c r="D65" s="427"/>
      <c r="E65" s="427"/>
      <c r="F65" s="427"/>
      <c r="G65" s="427"/>
    </row>
    <row r="66" spans="2:7">
      <c r="B66" s="200">
        <v>12</v>
      </c>
      <c r="C66" s="427" t="s">
        <v>1102</v>
      </c>
      <c r="D66" s="427"/>
      <c r="E66" s="427"/>
      <c r="F66" s="427"/>
      <c r="G66" s="427"/>
    </row>
    <row r="67" spans="2:7">
      <c r="B67" s="200">
        <v>13</v>
      </c>
      <c r="C67" s="427" t="s">
        <v>1103</v>
      </c>
      <c r="D67" s="427"/>
      <c r="E67" s="427"/>
      <c r="F67" s="427"/>
      <c r="G67" s="427"/>
    </row>
    <row r="68" spans="2:7">
      <c r="B68" s="200">
        <v>14</v>
      </c>
      <c r="C68" s="427" t="s">
        <v>1104</v>
      </c>
      <c r="D68" s="427"/>
      <c r="E68" s="427"/>
      <c r="F68" s="427"/>
      <c r="G68" s="427"/>
    </row>
    <row r="69" spans="2:7">
      <c r="B69" s="200">
        <v>15</v>
      </c>
      <c r="C69" s="427" t="s">
        <v>1105</v>
      </c>
      <c r="D69" s="427"/>
      <c r="E69" s="427"/>
      <c r="F69" s="427"/>
      <c r="G69" s="427"/>
    </row>
    <row r="70" spans="2:7">
      <c r="B70" s="200">
        <v>16</v>
      </c>
      <c r="C70" s="427" t="s">
        <v>1106</v>
      </c>
      <c r="D70" s="427"/>
      <c r="E70" s="427"/>
      <c r="F70" s="427"/>
      <c r="G70" s="427"/>
    </row>
    <row r="71" spans="2:7">
      <c r="B71" s="200">
        <v>17</v>
      </c>
      <c r="C71" s="427" t="s">
        <v>1107</v>
      </c>
      <c r="D71" s="427"/>
      <c r="E71" s="427"/>
      <c r="F71" s="427"/>
      <c r="G71" s="427"/>
    </row>
    <row r="72" spans="2:7">
      <c r="B72" s="200">
        <v>18</v>
      </c>
      <c r="C72" s="427" t="s">
        <v>1108</v>
      </c>
      <c r="D72" s="427"/>
      <c r="E72" s="427"/>
      <c r="F72" s="427"/>
      <c r="G72" s="427"/>
    </row>
    <row r="73" spans="2:7">
      <c r="B73" s="200">
        <v>19</v>
      </c>
      <c r="C73" s="427" t="s">
        <v>1109</v>
      </c>
      <c r="D73" s="427"/>
      <c r="E73" s="427"/>
      <c r="F73" s="427"/>
      <c r="G73" s="427"/>
    </row>
    <row r="74" spans="2:7">
      <c r="B74" s="200">
        <v>20</v>
      </c>
      <c r="C74" s="427" t="s">
        <v>1110</v>
      </c>
      <c r="D74" s="427"/>
      <c r="E74" s="427"/>
      <c r="F74" s="427"/>
      <c r="G74" s="427"/>
    </row>
    <row r="75" spans="2:7">
      <c r="B75" s="200">
        <v>21</v>
      </c>
      <c r="C75" s="427" t="s">
        <v>1111</v>
      </c>
      <c r="D75" s="427"/>
      <c r="E75" s="427"/>
      <c r="F75" s="427"/>
      <c r="G75" s="427"/>
    </row>
    <row r="76" spans="2:7">
      <c r="B76" s="200">
        <v>22</v>
      </c>
      <c r="C76" s="427" t="s">
        <v>1112</v>
      </c>
      <c r="D76" s="427"/>
      <c r="E76" s="427"/>
      <c r="F76" s="427"/>
      <c r="G76" s="427"/>
    </row>
    <row r="77" spans="2:7">
      <c r="B77" s="200">
        <v>23</v>
      </c>
      <c r="C77" s="427" t="s">
        <v>1113</v>
      </c>
      <c r="D77" s="427"/>
      <c r="E77" s="427"/>
      <c r="F77" s="427"/>
      <c r="G77" s="427"/>
    </row>
    <row r="78" spans="2:7">
      <c r="B78" s="200">
        <v>24</v>
      </c>
      <c r="C78" s="427" t="s">
        <v>1114</v>
      </c>
      <c r="D78" s="427"/>
      <c r="E78" s="427"/>
      <c r="F78" s="427"/>
      <c r="G78" s="427"/>
    </row>
    <row r="79" spans="2:7">
      <c r="B79" s="200">
        <v>25</v>
      </c>
      <c r="C79" s="427" t="s">
        <v>1115</v>
      </c>
      <c r="D79" s="427"/>
      <c r="E79" s="427"/>
      <c r="F79" s="427"/>
      <c r="G79" s="427"/>
    </row>
    <row r="80" spans="2:7">
      <c r="B80" s="200">
        <v>26</v>
      </c>
      <c r="C80" s="427" t="s">
        <v>1116</v>
      </c>
      <c r="D80" s="427"/>
      <c r="E80" s="427"/>
      <c r="F80" s="427"/>
      <c r="G80" s="427"/>
    </row>
    <row r="81" spans="2:7">
      <c r="B81" s="200">
        <v>27</v>
      </c>
      <c r="C81" s="427" t="s">
        <v>1117</v>
      </c>
      <c r="D81" s="427"/>
      <c r="E81" s="427"/>
      <c r="F81" s="427"/>
      <c r="G81" s="427"/>
    </row>
    <row r="82" spans="2:7">
      <c r="B82" s="200">
        <v>28</v>
      </c>
      <c r="C82" s="427" t="s">
        <v>1118</v>
      </c>
      <c r="D82" s="427"/>
      <c r="E82" s="427"/>
      <c r="F82" s="427"/>
      <c r="G82" s="427"/>
    </row>
    <row r="83" spans="2:7">
      <c r="B83" s="200">
        <v>29</v>
      </c>
      <c r="C83" s="427" t="s">
        <v>1119</v>
      </c>
      <c r="D83" s="427"/>
      <c r="E83" s="427"/>
      <c r="F83" s="427"/>
      <c r="G83" s="427"/>
    </row>
    <row r="84" spans="2:7">
      <c r="B84" s="200">
        <v>30</v>
      </c>
      <c r="C84" s="427" t="s">
        <v>1120</v>
      </c>
      <c r="D84" s="427"/>
      <c r="E84" s="427"/>
      <c r="F84" s="427"/>
      <c r="G84" s="427"/>
    </row>
    <row r="85" spans="2:7">
      <c r="B85" s="200">
        <v>31</v>
      </c>
      <c r="C85" s="427" t="s">
        <v>1121</v>
      </c>
      <c r="D85" s="427"/>
      <c r="E85" s="427"/>
      <c r="F85" s="427"/>
      <c r="G85" s="427"/>
    </row>
    <row r="86" spans="2:7">
      <c r="B86" s="200">
        <v>32</v>
      </c>
      <c r="C86" s="427" t="s">
        <v>1122</v>
      </c>
      <c r="D86" s="427"/>
      <c r="E86" s="427"/>
      <c r="F86" s="427"/>
      <c r="G86" s="427"/>
    </row>
    <row r="87" spans="2:7">
      <c r="B87" s="200">
        <v>33</v>
      </c>
      <c r="C87" s="427" t="s">
        <v>1123</v>
      </c>
      <c r="D87" s="427"/>
      <c r="E87" s="427"/>
      <c r="F87" s="427"/>
      <c r="G87" s="427"/>
    </row>
    <row r="88" spans="2:7">
      <c r="B88" s="200">
        <v>34</v>
      </c>
      <c r="C88" s="427" t="s">
        <v>1124</v>
      </c>
      <c r="D88" s="427"/>
      <c r="E88" s="427"/>
      <c r="F88" s="427"/>
      <c r="G88" s="427"/>
    </row>
    <row r="89" spans="2:7">
      <c r="B89" s="200">
        <v>35</v>
      </c>
      <c r="C89" s="427" t="s">
        <v>1125</v>
      </c>
      <c r="D89" s="427"/>
      <c r="E89" s="427"/>
      <c r="F89" s="427"/>
      <c r="G89" s="427"/>
    </row>
    <row r="90" spans="2:7">
      <c r="B90" s="200">
        <v>36</v>
      </c>
      <c r="C90" s="427" t="s">
        <v>1126</v>
      </c>
      <c r="D90" s="427"/>
      <c r="E90" s="427"/>
      <c r="F90" s="427"/>
      <c r="G90" s="427"/>
    </row>
    <row r="91" spans="2:7">
      <c r="B91" s="200">
        <v>37</v>
      </c>
      <c r="C91" s="427" t="s">
        <v>1127</v>
      </c>
      <c r="D91" s="427"/>
      <c r="E91" s="427"/>
      <c r="F91" s="427"/>
      <c r="G91" s="427"/>
    </row>
    <row r="92" spans="2:7">
      <c r="B92" s="200">
        <v>38</v>
      </c>
      <c r="C92" s="427" t="s">
        <v>1128</v>
      </c>
      <c r="D92" s="427"/>
      <c r="E92" s="427"/>
      <c r="F92" s="427"/>
      <c r="G92" s="427"/>
    </row>
    <row r="93" spans="2:7">
      <c r="B93" s="200">
        <v>39</v>
      </c>
      <c r="C93" s="427" t="s">
        <v>1129</v>
      </c>
      <c r="D93" s="427"/>
      <c r="E93" s="427"/>
      <c r="F93" s="427"/>
      <c r="G93" s="427"/>
    </row>
    <row r="94" spans="2:7">
      <c r="B94" s="200">
        <v>40</v>
      </c>
      <c r="C94" s="427" t="s">
        <v>1130</v>
      </c>
      <c r="D94" s="427"/>
      <c r="E94" s="427"/>
      <c r="F94" s="427"/>
      <c r="G94" s="427"/>
    </row>
    <row r="95" spans="2:7">
      <c r="B95" s="200">
        <v>41</v>
      </c>
      <c r="C95" s="427" t="s">
        <v>204</v>
      </c>
      <c r="D95" s="427"/>
      <c r="E95" s="427"/>
      <c r="F95" s="427"/>
      <c r="G95" s="427"/>
    </row>
    <row r="98" spans="2:8">
      <c r="B98" s="426" t="s">
        <v>1000</v>
      </c>
    </row>
    <row r="99" spans="2:8">
      <c r="B99" s="200" t="s">
        <v>205</v>
      </c>
    </row>
    <row r="100" spans="2:8">
      <c r="B100" s="429"/>
    </row>
    <row r="101" spans="2:8" s="36" customFormat="1">
      <c r="B101" s="430"/>
      <c r="C101" s="126"/>
      <c r="D101" s="126"/>
      <c r="E101" s="126"/>
      <c r="F101" s="126"/>
      <c r="G101" s="127"/>
      <c r="H101" s="127"/>
    </row>
    <row r="102" spans="2:8" s="36" customFormat="1">
      <c r="B102" s="429"/>
      <c r="C102" s="126"/>
      <c r="D102" s="126"/>
      <c r="E102" s="126"/>
      <c r="F102" s="126"/>
      <c r="G102" s="127"/>
      <c r="H102" s="127"/>
    </row>
    <row r="103" spans="2:8" s="36" customFormat="1">
      <c r="B103" s="431"/>
      <c r="C103" s="126"/>
      <c r="D103" s="126"/>
      <c r="E103" s="126"/>
      <c r="F103" s="126"/>
      <c r="G103" s="127"/>
      <c r="H103" s="127"/>
    </row>
    <row r="104" spans="2:8" s="36" customFormat="1">
      <c r="B104" s="429"/>
      <c r="C104" s="126"/>
      <c r="D104" s="126"/>
      <c r="E104" s="126"/>
      <c r="F104" s="126"/>
      <c r="G104" s="128"/>
      <c r="H104" s="128"/>
    </row>
    <row r="105" spans="2:8">
      <c r="B105" s="430"/>
    </row>
    <row r="106" spans="2:8">
      <c r="B106" s="431" t="s">
        <v>1589</v>
      </c>
    </row>
    <row r="107" spans="2:8" s="432" customFormat="1">
      <c r="B107" s="431" t="s">
        <v>1590</v>
      </c>
    </row>
    <row r="108" spans="2:8" s="36" customFormat="1">
      <c r="B108" s="431" t="s">
        <v>1591</v>
      </c>
      <c r="C108" s="39"/>
      <c r="D108" s="39"/>
      <c r="E108" s="433"/>
      <c r="F108" s="433"/>
      <c r="G108" s="433"/>
      <c r="H108" s="433"/>
    </row>
    <row r="109" spans="2:8" s="36" customFormat="1">
      <c r="B109" s="430"/>
      <c r="C109" s="39"/>
      <c r="D109" s="39"/>
      <c r="E109" s="433"/>
      <c r="F109" s="433"/>
      <c r="G109" s="433"/>
      <c r="H109" s="433"/>
    </row>
    <row r="110" spans="2:8" s="34" customFormat="1">
      <c r="B110" s="429"/>
      <c r="C110" s="40"/>
      <c r="D110" s="40"/>
      <c r="E110" s="434"/>
      <c r="F110" s="434"/>
      <c r="G110" s="434"/>
      <c r="H110" s="434"/>
    </row>
    <row r="111" spans="2:8" s="36" customFormat="1">
      <c r="B111" s="435"/>
      <c r="C111" s="39"/>
      <c r="D111" s="433"/>
      <c r="E111" s="433"/>
      <c r="F111" s="433"/>
      <c r="G111" s="433"/>
    </row>
    <row r="112" spans="2:8" s="36" customFormat="1">
      <c r="B112" s="430"/>
      <c r="C112" s="39"/>
      <c r="D112" s="433"/>
      <c r="E112" s="433"/>
      <c r="F112" s="433"/>
      <c r="G112" s="433"/>
    </row>
    <row r="113" spans="2:8" s="34" customFormat="1">
      <c r="B113" s="35"/>
      <c r="C113" s="40"/>
      <c r="D113" s="434"/>
      <c r="E113" s="434"/>
      <c r="F113" s="434"/>
      <c r="G113" s="434"/>
    </row>
    <row r="114" spans="2:8" s="36" customFormat="1">
      <c r="B114" s="37"/>
      <c r="C114" s="38"/>
      <c r="D114" s="38"/>
      <c r="E114" s="436"/>
      <c r="F114" s="436"/>
      <c r="G114" s="436"/>
      <c r="H114" s="436"/>
    </row>
    <row r="115" spans="2:8" s="431" customFormat="1">
      <c r="B115" s="37"/>
    </row>
    <row r="116" spans="2:8" s="431" customFormat="1">
      <c r="G116" s="429"/>
      <c r="H116" s="429"/>
    </row>
  </sheetData>
  <pageMargins left="0.55118110236220474" right="0.55118110236220474" top="0.98425196850393704" bottom="0.98425196850393704" header="0.51181102362204722" footer="0.51181102362204722"/>
  <pageSetup paperSize="9" scale="80" fitToHeight="0" orientation="portrait" r:id="rId1"/>
  <headerFooter alignWithMargins="0">
    <oddFooter>Стр.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B1:R106"/>
  <sheetViews>
    <sheetView view="pageBreakPreview" topLeftCell="A55" zoomScaleNormal="100" zoomScaleSheetLayoutView="100" workbookViewId="0">
      <selection activeCell="K72" sqref="K72"/>
    </sheetView>
  </sheetViews>
  <sheetFormatPr defaultRowHeight="12"/>
  <cols>
    <col min="1" max="1" width="5.42578125" style="658" customWidth="1"/>
    <col min="2" max="2" width="8.28515625" style="660" customWidth="1"/>
    <col min="3" max="3" width="44" style="658" customWidth="1"/>
    <col min="4" max="5" width="13" style="658" customWidth="1"/>
    <col min="6" max="7" width="13" style="683" customWidth="1"/>
    <col min="8" max="8" width="9.140625" style="663"/>
    <col min="9" max="18" width="9.140625" style="657"/>
    <col min="19" max="215" width="9.140625" style="658"/>
    <col min="216" max="216" width="5.140625" style="658" customWidth="1"/>
    <col min="217" max="217" width="63.85546875" style="658" customWidth="1"/>
    <col min="218" max="219" width="0" style="658" hidden="1" customWidth="1"/>
    <col min="220" max="220" width="11" style="658" customWidth="1"/>
    <col min="221" max="221" width="11.5703125" style="658" customWidth="1"/>
    <col min="222" max="222" width="11" style="658" customWidth="1"/>
    <col min="223" max="223" width="11.5703125" style="658" customWidth="1"/>
    <col min="224" max="471" width="9.140625" style="658"/>
    <col min="472" max="472" width="5.140625" style="658" customWidth="1"/>
    <col min="473" max="473" width="63.85546875" style="658" customWidth="1"/>
    <col min="474" max="475" width="0" style="658" hidden="1" customWidth="1"/>
    <col min="476" max="476" width="11" style="658" customWidth="1"/>
    <col min="477" max="477" width="11.5703125" style="658" customWidth="1"/>
    <col min="478" max="478" width="11" style="658" customWidth="1"/>
    <col min="479" max="479" width="11.5703125" style="658" customWidth="1"/>
    <col min="480" max="727" width="9.140625" style="658"/>
    <col min="728" max="728" width="5.140625" style="658" customWidth="1"/>
    <col min="729" max="729" width="63.85546875" style="658" customWidth="1"/>
    <col min="730" max="731" width="0" style="658" hidden="1" customWidth="1"/>
    <col min="732" max="732" width="11" style="658" customWidth="1"/>
    <col min="733" max="733" width="11.5703125" style="658" customWidth="1"/>
    <col min="734" max="734" width="11" style="658" customWidth="1"/>
    <col min="735" max="735" width="11.5703125" style="658" customWidth="1"/>
    <col min="736" max="983" width="9.140625" style="658"/>
    <col min="984" max="984" width="5.140625" style="658" customWidth="1"/>
    <col min="985" max="985" width="63.85546875" style="658" customWidth="1"/>
    <col min="986" max="987" width="0" style="658" hidden="1" customWidth="1"/>
    <col min="988" max="988" width="11" style="658" customWidth="1"/>
    <col min="989" max="989" width="11.5703125" style="658" customWidth="1"/>
    <col min="990" max="990" width="11" style="658" customWidth="1"/>
    <col min="991" max="991" width="11.5703125" style="658" customWidth="1"/>
    <col min="992" max="1239" width="9.140625" style="658"/>
    <col min="1240" max="1240" width="5.140625" style="658" customWidth="1"/>
    <col min="1241" max="1241" width="63.85546875" style="658" customWidth="1"/>
    <col min="1242" max="1243" width="0" style="658" hidden="1" customWidth="1"/>
    <col min="1244" max="1244" width="11" style="658" customWidth="1"/>
    <col min="1245" max="1245" width="11.5703125" style="658" customWidth="1"/>
    <col min="1246" max="1246" width="11" style="658" customWidth="1"/>
    <col min="1247" max="1247" width="11.5703125" style="658" customWidth="1"/>
    <col min="1248" max="1495" width="9.140625" style="658"/>
    <col min="1496" max="1496" width="5.140625" style="658" customWidth="1"/>
    <col min="1497" max="1497" width="63.85546875" style="658" customWidth="1"/>
    <col min="1498" max="1499" width="0" style="658" hidden="1" customWidth="1"/>
    <col min="1500" max="1500" width="11" style="658" customWidth="1"/>
    <col min="1501" max="1501" width="11.5703125" style="658" customWidth="1"/>
    <col min="1502" max="1502" width="11" style="658" customWidth="1"/>
    <col min="1503" max="1503" width="11.5703125" style="658" customWidth="1"/>
    <col min="1504" max="1751" width="9.140625" style="658"/>
    <col min="1752" max="1752" width="5.140625" style="658" customWidth="1"/>
    <col min="1753" max="1753" width="63.85546875" style="658" customWidth="1"/>
    <col min="1754" max="1755" width="0" style="658" hidden="1" customWidth="1"/>
    <col min="1756" max="1756" width="11" style="658" customWidth="1"/>
    <col min="1757" max="1757" width="11.5703125" style="658" customWidth="1"/>
    <col min="1758" max="1758" width="11" style="658" customWidth="1"/>
    <col min="1759" max="1759" width="11.5703125" style="658" customWidth="1"/>
    <col min="1760" max="2007" width="9.140625" style="658"/>
    <col min="2008" max="2008" width="5.140625" style="658" customWidth="1"/>
    <col min="2009" max="2009" width="63.85546875" style="658" customWidth="1"/>
    <col min="2010" max="2011" width="0" style="658" hidden="1" customWidth="1"/>
    <col min="2012" max="2012" width="11" style="658" customWidth="1"/>
    <col min="2013" max="2013" width="11.5703125" style="658" customWidth="1"/>
    <col min="2014" max="2014" width="11" style="658" customWidth="1"/>
    <col min="2015" max="2015" width="11.5703125" style="658" customWidth="1"/>
    <col min="2016" max="2263" width="9.140625" style="658"/>
    <col min="2264" max="2264" width="5.140625" style="658" customWidth="1"/>
    <col min="2265" max="2265" width="63.85546875" style="658" customWidth="1"/>
    <col min="2266" max="2267" width="0" style="658" hidden="1" customWidth="1"/>
    <col min="2268" max="2268" width="11" style="658" customWidth="1"/>
    <col min="2269" max="2269" width="11.5703125" style="658" customWidth="1"/>
    <col min="2270" max="2270" width="11" style="658" customWidth="1"/>
    <col min="2271" max="2271" width="11.5703125" style="658" customWidth="1"/>
    <col min="2272" max="2519" width="9.140625" style="658"/>
    <col min="2520" max="2520" width="5.140625" style="658" customWidth="1"/>
    <col min="2521" max="2521" width="63.85546875" style="658" customWidth="1"/>
    <col min="2522" max="2523" width="0" style="658" hidden="1" customWidth="1"/>
    <col min="2524" max="2524" width="11" style="658" customWidth="1"/>
    <col min="2525" max="2525" width="11.5703125" style="658" customWidth="1"/>
    <col min="2526" max="2526" width="11" style="658" customWidth="1"/>
    <col min="2527" max="2527" width="11.5703125" style="658" customWidth="1"/>
    <col min="2528" max="2775" width="9.140625" style="658"/>
    <col min="2776" max="2776" width="5.140625" style="658" customWidth="1"/>
    <col min="2777" max="2777" width="63.85546875" style="658" customWidth="1"/>
    <col min="2778" max="2779" width="0" style="658" hidden="1" customWidth="1"/>
    <col min="2780" max="2780" width="11" style="658" customWidth="1"/>
    <col min="2781" max="2781" width="11.5703125" style="658" customWidth="1"/>
    <col min="2782" max="2782" width="11" style="658" customWidth="1"/>
    <col min="2783" max="2783" width="11.5703125" style="658" customWidth="1"/>
    <col min="2784" max="3031" width="9.140625" style="658"/>
    <col min="3032" max="3032" width="5.140625" style="658" customWidth="1"/>
    <col min="3033" max="3033" width="63.85546875" style="658" customWidth="1"/>
    <col min="3034" max="3035" width="0" style="658" hidden="1" customWidth="1"/>
    <col min="3036" max="3036" width="11" style="658" customWidth="1"/>
    <col min="3037" max="3037" width="11.5703125" style="658" customWidth="1"/>
    <col min="3038" max="3038" width="11" style="658" customWidth="1"/>
    <col min="3039" max="3039" width="11.5703125" style="658" customWidth="1"/>
    <col min="3040" max="3287" width="9.140625" style="658"/>
    <col min="3288" max="3288" width="5.140625" style="658" customWidth="1"/>
    <col min="3289" max="3289" width="63.85546875" style="658" customWidth="1"/>
    <col min="3290" max="3291" width="0" style="658" hidden="1" customWidth="1"/>
    <col min="3292" max="3292" width="11" style="658" customWidth="1"/>
    <col min="3293" max="3293" width="11.5703125" style="658" customWidth="1"/>
    <col min="3294" max="3294" width="11" style="658" customWidth="1"/>
    <col min="3295" max="3295" width="11.5703125" style="658" customWidth="1"/>
    <col min="3296" max="3543" width="9.140625" style="658"/>
    <col min="3544" max="3544" width="5.140625" style="658" customWidth="1"/>
    <col min="3545" max="3545" width="63.85546875" style="658" customWidth="1"/>
    <col min="3546" max="3547" width="0" style="658" hidden="1" customWidth="1"/>
    <col min="3548" max="3548" width="11" style="658" customWidth="1"/>
    <col min="3549" max="3549" width="11.5703125" style="658" customWidth="1"/>
    <col min="3550" max="3550" width="11" style="658" customWidth="1"/>
    <col min="3551" max="3551" width="11.5703125" style="658" customWidth="1"/>
    <col min="3552" max="3799" width="9.140625" style="658"/>
    <col min="3800" max="3800" width="5.140625" style="658" customWidth="1"/>
    <col min="3801" max="3801" width="63.85546875" style="658" customWidth="1"/>
    <col min="3802" max="3803" width="0" style="658" hidden="1" customWidth="1"/>
    <col min="3804" max="3804" width="11" style="658" customWidth="1"/>
    <col min="3805" max="3805" width="11.5703125" style="658" customWidth="1"/>
    <col min="3806" max="3806" width="11" style="658" customWidth="1"/>
    <col min="3807" max="3807" width="11.5703125" style="658" customWidth="1"/>
    <col min="3808" max="4055" width="9.140625" style="658"/>
    <col min="4056" max="4056" width="5.140625" style="658" customWidth="1"/>
    <col min="4057" max="4057" width="63.85546875" style="658" customWidth="1"/>
    <col min="4058" max="4059" width="0" style="658" hidden="1" customWidth="1"/>
    <col min="4060" max="4060" width="11" style="658" customWidth="1"/>
    <col min="4061" max="4061" width="11.5703125" style="658" customWidth="1"/>
    <col min="4062" max="4062" width="11" style="658" customWidth="1"/>
    <col min="4063" max="4063" width="11.5703125" style="658" customWidth="1"/>
    <col min="4064" max="4311" width="9.140625" style="658"/>
    <col min="4312" max="4312" width="5.140625" style="658" customWidth="1"/>
    <col min="4313" max="4313" width="63.85546875" style="658" customWidth="1"/>
    <col min="4314" max="4315" width="0" style="658" hidden="1" customWidth="1"/>
    <col min="4316" max="4316" width="11" style="658" customWidth="1"/>
    <col min="4317" max="4317" width="11.5703125" style="658" customWidth="1"/>
    <col min="4318" max="4318" width="11" style="658" customWidth="1"/>
    <col min="4319" max="4319" width="11.5703125" style="658" customWidth="1"/>
    <col min="4320" max="4567" width="9.140625" style="658"/>
    <col min="4568" max="4568" width="5.140625" style="658" customWidth="1"/>
    <col min="4569" max="4569" width="63.85546875" style="658" customWidth="1"/>
    <col min="4570" max="4571" width="0" style="658" hidden="1" customWidth="1"/>
    <col min="4572" max="4572" width="11" style="658" customWidth="1"/>
    <col min="4573" max="4573" width="11.5703125" style="658" customWidth="1"/>
    <col min="4574" max="4574" width="11" style="658" customWidth="1"/>
    <col min="4575" max="4575" width="11.5703125" style="658" customWidth="1"/>
    <col min="4576" max="4823" width="9.140625" style="658"/>
    <col min="4824" max="4824" width="5.140625" style="658" customWidth="1"/>
    <col min="4825" max="4825" width="63.85546875" style="658" customWidth="1"/>
    <col min="4826" max="4827" width="0" style="658" hidden="1" customWidth="1"/>
    <col min="4828" max="4828" width="11" style="658" customWidth="1"/>
    <col min="4829" max="4829" width="11.5703125" style="658" customWidth="1"/>
    <col min="4830" max="4830" width="11" style="658" customWidth="1"/>
    <col min="4831" max="4831" width="11.5703125" style="658" customWidth="1"/>
    <col min="4832" max="5079" width="9.140625" style="658"/>
    <col min="5080" max="5080" width="5.140625" style="658" customWidth="1"/>
    <col min="5081" max="5081" width="63.85546875" style="658" customWidth="1"/>
    <col min="5082" max="5083" width="0" style="658" hidden="1" customWidth="1"/>
    <col min="5084" max="5084" width="11" style="658" customWidth="1"/>
    <col min="5085" max="5085" width="11.5703125" style="658" customWidth="1"/>
    <col min="5086" max="5086" width="11" style="658" customWidth="1"/>
    <col min="5087" max="5087" width="11.5703125" style="658" customWidth="1"/>
    <col min="5088" max="5335" width="9.140625" style="658"/>
    <col min="5336" max="5336" width="5.140625" style="658" customWidth="1"/>
    <col min="5337" max="5337" width="63.85546875" style="658" customWidth="1"/>
    <col min="5338" max="5339" width="0" style="658" hidden="1" customWidth="1"/>
    <col min="5340" max="5340" width="11" style="658" customWidth="1"/>
    <col min="5341" max="5341" width="11.5703125" style="658" customWidth="1"/>
    <col min="5342" max="5342" width="11" style="658" customWidth="1"/>
    <col min="5343" max="5343" width="11.5703125" style="658" customWidth="1"/>
    <col min="5344" max="5591" width="9.140625" style="658"/>
    <col min="5592" max="5592" width="5.140625" style="658" customWidth="1"/>
    <col min="5593" max="5593" width="63.85546875" style="658" customWidth="1"/>
    <col min="5594" max="5595" width="0" style="658" hidden="1" customWidth="1"/>
    <col min="5596" max="5596" width="11" style="658" customWidth="1"/>
    <col min="5597" max="5597" width="11.5703125" style="658" customWidth="1"/>
    <col min="5598" max="5598" width="11" style="658" customWidth="1"/>
    <col min="5599" max="5599" width="11.5703125" style="658" customWidth="1"/>
    <col min="5600" max="5847" width="9.140625" style="658"/>
    <col min="5848" max="5848" width="5.140625" style="658" customWidth="1"/>
    <col min="5849" max="5849" width="63.85546875" style="658" customWidth="1"/>
    <col min="5850" max="5851" width="0" style="658" hidden="1" customWidth="1"/>
    <col min="5852" max="5852" width="11" style="658" customWidth="1"/>
    <col min="5853" max="5853" width="11.5703125" style="658" customWidth="1"/>
    <col min="5854" max="5854" width="11" style="658" customWidth="1"/>
    <col min="5855" max="5855" width="11.5703125" style="658" customWidth="1"/>
    <col min="5856" max="6103" width="9.140625" style="658"/>
    <col min="6104" max="6104" width="5.140625" style="658" customWidth="1"/>
    <col min="6105" max="6105" width="63.85546875" style="658" customWidth="1"/>
    <col min="6106" max="6107" width="0" style="658" hidden="1" customWidth="1"/>
    <col min="6108" max="6108" width="11" style="658" customWidth="1"/>
    <col min="6109" max="6109" width="11.5703125" style="658" customWidth="1"/>
    <col min="6110" max="6110" width="11" style="658" customWidth="1"/>
    <col min="6111" max="6111" width="11.5703125" style="658" customWidth="1"/>
    <col min="6112" max="6359" width="9.140625" style="658"/>
    <col min="6360" max="6360" width="5.140625" style="658" customWidth="1"/>
    <col min="6361" max="6361" width="63.85546875" style="658" customWidth="1"/>
    <col min="6362" max="6363" width="0" style="658" hidden="1" customWidth="1"/>
    <col min="6364" max="6364" width="11" style="658" customWidth="1"/>
    <col min="6365" max="6365" width="11.5703125" style="658" customWidth="1"/>
    <col min="6366" max="6366" width="11" style="658" customWidth="1"/>
    <col min="6367" max="6367" width="11.5703125" style="658" customWidth="1"/>
    <col min="6368" max="6615" width="9.140625" style="658"/>
    <col min="6616" max="6616" width="5.140625" style="658" customWidth="1"/>
    <col min="6617" max="6617" width="63.85546875" style="658" customWidth="1"/>
    <col min="6618" max="6619" width="0" style="658" hidden="1" customWidth="1"/>
    <col min="6620" max="6620" width="11" style="658" customWidth="1"/>
    <col min="6621" max="6621" width="11.5703125" style="658" customWidth="1"/>
    <col min="6622" max="6622" width="11" style="658" customWidth="1"/>
    <col min="6623" max="6623" width="11.5703125" style="658" customWidth="1"/>
    <col min="6624" max="6871" width="9.140625" style="658"/>
    <col min="6872" max="6872" width="5.140625" style="658" customWidth="1"/>
    <col min="6873" max="6873" width="63.85546875" style="658" customWidth="1"/>
    <col min="6874" max="6875" width="0" style="658" hidden="1" customWidth="1"/>
    <col min="6876" max="6876" width="11" style="658" customWidth="1"/>
    <col min="6877" max="6877" width="11.5703125" style="658" customWidth="1"/>
    <col min="6878" max="6878" width="11" style="658" customWidth="1"/>
    <col min="6879" max="6879" width="11.5703125" style="658" customWidth="1"/>
    <col min="6880" max="7127" width="9.140625" style="658"/>
    <col min="7128" max="7128" width="5.140625" style="658" customWidth="1"/>
    <col min="7129" max="7129" width="63.85546875" style="658" customWidth="1"/>
    <col min="7130" max="7131" width="0" style="658" hidden="1" customWidth="1"/>
    <col min="7132" max="7132" width="11" style="658" customWidth="1"/>
    <col min="7133" max="7133" width="11.5703125" style="658" customWidth="1"/>
    <col min="7134" max="7134" width="11" style="658" customWidth="1"/>
    <col min="7135" max="7135" width="11.5703125" style="658" customWidth="1"/>
    <col min="7136" max="7383" width="9.140625" style="658"/>
    <col min="7384" max="7384" width="5.140625" style="658" customWidth="1"/>
    <col min="7385" max="7385" width="63.85546875" style="658" customWidth="1"/>
    <col min="7386" max="7387" width="0" style="658" hidden="1" customWidth="1"/>
    <col min="7388" max="7388" width="11" style="658" customWidth="1"/>
    <col min="7389" max="7389" width="11.5703125" style="658" customWidth="1"/>
    <col min="7390" max="7390" width="11" style="658" customWidth="1"/>
    <col min="7391" max="7391" width="11.5703125" style="658" customWidth="1"/>
    <col min="7392" max="7639" width="9.140625" style="658"/>
    <col min="7640" max="7640" width="5.140625" style="658" customWidth="1"/>
    <col min="7641" max="7641" width="63.85546875" style="658" customWidth="1"/>
    <col min="7642" max="7643" width="0" style="658" hidden="1" customWidth="1"/>
    <col min="7644" max="7644" width="11" style="658" customWidth="1"/>
    <col min="7645" max="7645" width="11.5703125" style="658" customWidth="1"/>
    <col min="7646" max="7646" width="11" style="658" customWidth="1"/>
    <col min="7647" max="7647" width="11.5703125" style="658" customWidth="1"/>
    <col min="7648" max="7895" width="9.140625" style="658"/>
    <col min="7896" max="7896" width="5.140625" style="658" customWidth="1"/>
    <col min="7897" max="7897" width="63.85546875" style="658" customWidth="1"/>
    <col min="7898" max="7899" width="0" style="658" hidden="1" customWidth="1"/>
    <col min="7900" max="7900" width="11" style="658" customWidth="1"/>
    <col min="7901" max="7901" width="11.5703125" style="658" customWidth="1"/>
    <col min="7902" max="7902" width="11" style="658" customWidth="1"/>
    <col min="7903" max="7903" width="11.5703125" style="658" customWidth="1"/>
    <col min="7904" max="8151" width="9.140625" style="658"/>
    <col min="8152" max="8152" width="5.140625" style="658" customWidth="1"/>
    <col min="8153" max="8153" width="63.85546875" style="658" customWidth="1"/>
    <col min="8154" max="8155" width="0" style="658" hidden="1" customWidth="1"/>
    <col min="8156" max="8156" width="11" style="658" customWidth="1"/>
    <col min="8157" max="8157" width="11.5703125" style="658" customWidth="1"/>
    <col min="8158" max="8158" width="11" style="658" customWidth="1"/>
    <col min="8159" max="8159" width="11.5703125" style="658" customWidth="1"/>
    <col min="8160" max="8407" width="9.140625" style="658"/>
    <col min="8408" max="8408" width="5.140625" style="658" customWidth="1"/>
    <col min="8409" max="8409" width="63.85546875" style="658" customWidth="1"/>
    <col min="8410" max="8411" width="0" style="658" hidden="1" customWidth="1"/>
    <col min="8412" max="8412" width="11" style="658" customWidth="1"/>
    <col min="8413" max="8413" width="11.5703125" style="658" customWidth="1"/>
    <col min="8414" max="8414" width="11" style="658" customWidth="1"/>
    <col min="8415" max="8415" width="11.5703125" style="658" customWidth="1"/>
    <col min="8416" max="8663" width="9.140625" style="658"/>
    <col min="8664" max="8664" width="5.140625" style="658" customWidth="1"/>
    <col min="8665" max="8665" width="63.85546875" style="658" customWidth="1"/>
    <col min="8666" max="8667" width="0" style="658" hidden="1" customWidth="1"/>
    <col min="8668" max="8668" width="11" style="658" customWidth="1"/>
    <col min="8669" max="8669" width="11.5703125" style="658" customWidth="1"/>
    <col min="8670" max="8670" width="11" style="658" customWidth="1"/>
    <col min="8671" max="8671" width="11.5703125" style="658" customWidth="1"/>
    <col min="8672" max="8919" width="9.140625" style="658"/>
    <col min="8920" max="8920" width="5.140625" style="658" customWidth="1"/>
    <col min="8921" max="8921" width="63.85546875" style="658" customWidth="1"/>
    <col min="8922" max="8923" width="0" style="658" hidden="1" customWidth="1"/>
    <col min="8924" max="8924" width="11" style="658" customWidth="1"/>
    <col min="8925" max="8925" width="11.5703125" style="658" customWidth="1"/>
    <col min="8926" max="8926" width="11" style="658" customWidth="1"/>
    <col min="8927" max="8927" width="11.5703125" style="658" customWidth="1"/>
    <col min="8928" max="9175" width="9.140625" style="658"/>
    <col min="9176" max="9176" width="5.140625" style="658" customWidth="1"/>
    <col min="9177" max="9177" width="63.85546875" style="658" customWidth="1"/>
    <col min="9178" max="9179" width="0" style="658" hidden="1" customWidth="1"/>
    <col min="9180" max="9180" width="11" style="658" customWidth="1"/>
    <col min="9181" max="9181" width="11.5703125" style="658" customWidth="1"/>
    <col min="9182" max="9182" width="11" style="658" customWidth="1"/>
    <col min="9183" max="9183" width="11.5703125" style="658" customWidth="1"/>
    <col min="9184" max="9431" width="9.140625" style="658"/>
    <col min="9432" max="9432" width="5.140625" style="658" customWidth="1"/>
    <col min="9433" max="9433" width="63.85546875" style="658" customWidth="1"/>
    <col min="9434" max="9435" width="0" style="658" hidden="1" customWidth="1"/>
    <col min="9436" max="9436" width="11" style="658" customWidth="1"/>
    <col min="9437" max="9437" width="11.5703125" style="658" customWidth="1"/>
    <col min="9438" max="9438" width="11" style="658" customWidth="1"/>
    <col min="9439" max="9439" width="11.5703125" style="658" customWidth="1"/>
    <col min="9440" max="9687" width="9.140625" style="658"/>
    <col min="9688" max="9688" width="5.140625" style="658" customWidth="1"/>
    <col min="9689" max="9689" width="63.85546875" style="658" customWidth="1"/>
    <col min="9690" max="9691" width="0" style="658" hidden="1" customWidth="1"/>
    <col min="9692" max="9692" width="11" style="658" customWidth="1"/>
    <col min="9693" max="9693" width="11.5703125" style="658" customWidth="1"/>
    <col min="9694" max="9694" width="11" style="658" customWidth="1"/>
    <col min="9695" max="9695" width="11.5703125" style="658" customWidth="1"/>
    <col min="9696" max="9943" width="9.140625" style="658"/>
    <col min="9944" max="9944" width="5.140625" style="658" customWidth="1"/>
    <col min="9945" max="9945" width="63.85546875" style="658" customWidth="1"/>
    <col min="9946" max="9947" width="0" style="658" hidden="1" customWidth="1"/>
    <col min="9948" max="9948" width="11" style="658" customWidth="1"/>
    <col min="9949" max="9949" width="11.5703125" style="658" customWidth="1"/>
    <col min="9950" max="9950" width="11" style="658" customWidth="1"/>
    <col min="9951" max="9951" width="11.5703125" style="658" customWidth="1"/>
    <col min="9952" max="10199" width="9.140625" style="658"/>
    <col min="10200" max="10200" width="5.140625" style="658" customWidth="1"/>
    <col min="10201" max="10201" width="63.85546875" style="658" customWidth="1"/>
    <col min="10202" max="10203" width="0" style="658" hidden="1" customWidth="1"/>
    <col min="10204" max="10204" width="11" style="658" customWidth="1"/>
    <col min="10205" max="10205" width="11.5703125" style="658" customWidth="1"/>
    <col min="10206" max="10206" width="11" style="658" customWidth="1"/>
    <col min="10207" max="10207" width="11.5703125" style="658" customWidth="1"/>
    <col min="10208" max="10455" width="9.140625" style="658"/>
    <col min="10456" max="10456" width="5.140625" style="658" customWidth="1"/>
    <col min="10457" max="10457" width="63.85546875" style="658" customWidth="1"/>
    <col min="10458" max="10459" width="0" style="658" hidden="1" customWidth="1"/>
    <col min="10460" max="10460" width="11" style="658" customWidth="1"/>
    <col min="10461" max="10461" width="11.5703125" style="658" customWidth="1"/>
    <col min="10462" max="10462" width="11" style="658" customWidth="1"/>
    <col min="10463" max="10463" width="11.5703125" style="658" customWidth="1"/>
    <col min="10464" max="10711" width="9.140625" style="658"/>
    <col min="10712" max="10712" width="5.140625" style="658" customWidth="1"/>
    <col min="10713" max="10713" width="63.85546875" style="658" customWidth="1"/>
    <col min="10714" max="10715" width="0" style="658" hidden="1" customWidth="1"/>
    <col min="10716" max="10716" width="11" style="658" customWidth="1"/>
    <col min="10717" max="10717" width="11.5703125" style="658" customWidth="1"/>
    <col min="10718" max="10718" width="11" style="658" customWidth="1"/>
    <col min="10719" max="10719" width="11.5703125" style="658" customWidth="1"/>
    <col min="10720" max="10967" width="9.140625" style="658"/>
    <col min="10968" max="10968" width="5.140625" style="658" customWidth="1"/>
    <col min="10969" max="10969" width="63.85546875" style="658" customWidth="1"/>
    <col min="10970" max="10971" width="0" style="658" hidden="1" customWidth="1"/>
    <col min="10972" max="10972" width="11" style="658" customWidth="1"/>
    <col min="10973" max="10973" width="11.5703125" style="658" customWidth="1"/>
    <col min="10974" max="10974" width="11" style="658" customWidth="1"/>
    <col min="10975" max="10975" width="11.5703125" style="658" customWidth="1"/>
    <col min="10976" max="11223" width="9.140625" style="658"/>
    <col min="11224" max="11224" width="5.140625" style="658" customWidth="1"/>
    <col min="11225" max="11225" width="63.85546875" style="658" customWidth="1"/>
    <col min="11226" max="11227" width="0" style="658" hidden="1" customWidth="1"/>
    <col min="11228" max="11228" width="11" style="658" customWidth="1"/>
    <col min="11229" max="11229" width="11.5703125" style="658" customWidth="1"/>
    <col min="11230" max="11230" width="11" style="658" customWidth="1"/>
    <col min="11231" max="11231" width="11.5703125" style="658" customWidth="1"/>
    <col min="11232" max="11479" width="9.140625" style="658"/>
    <col min="11480" max="11480" width="5.140625" style="658" customWidth="1"/>
    <col min="11481" max="11481" width="63.85546875" style="658" customWidth="1"/>
    <col min="11482" max="11483" width="0" style="658" hidden="1" customWidth="1"/>
    <col min="11484" max="11484" width="11" style="658" customWidth="1"/>
    <col min="11485" max="11485" width="11.5703125" style="658" customWidth="1"/>
    <col min="11486" max="11486" width="11" style="658" customWidth="1"/>
    <col min="11487" max="11487" width="11.5703125" style="658" customWidth="1"/>
    <col min="11488" max="11735" width="9.140625" style="658"/>
    <col min="11736" max="11736" width="5.140625" style="658" customWidth="1"/>
    <col min="11737" max="11737" width="63.85546875" style="658" customWidth="1"/>
    <col min="11738" max="11739" width="0" style="658" hidden="1" customWidth="1"/>
    <col min="11740" max="11740" width="11" style="658" customWidth="1"/>
    <col min="11741" max="11741" width="11.5703125" style="658" customWidth="1"/>
    <col min="11742" max="11742" width="11" style="658" customWidth="1"/>
    <col min="11743" max="11743" width="11.5703125" style="658" customWidth="1"/>
    <col min="11744" max="11991" width="9.140625" style="658"/>
    <col min="11992" max="11992" width="5.140625" style="658" customWidth="1"/>
    <col min="11993" max="11993" width="63.85546875" style="658" customWidth="1"/>
    <col min="11994" max="11995" width="0" style="658" hidden="1" customWidth="1"/>
    <col min="11996" max="11996" width="11" style="658" customWidth="1"/>
    <col min="11997" max="11997" width="11.5703125" style="658" customWidth="1"/>
    <col min="11998" max="11998" width="11" style="658" customWidth="1"/>
    <col min="11999" max="11999" width="11.5703125" style="658" customWidth="1"/>
    <col min="12000" max="12247" width="9.140625" style="658"/>
    <col min="12248" max="12248" width="5.140625" style="658" customWidth="1"/>
    <col min="12249" max="12249" width="63.85546875" style="658" customWidth="1"/>
    <col min="12250" max="12251" width="0" style="658" hidden="1" customWidth="1"/>
    <col min="12252" max="12252" width="11" style="658" customWidth="1"/>
    <col min="12253" max="12253" width="11.5703125" style="658" customWidth="1"/>
    <col min="12254" max="12254" width="11" style="658" customWidth="1"/>
    <col min="12255" max="12255" width="11.5703125" style="658" customWidth="1"/>
    <col min="12256" max="12503" width="9.140625" style="658"/>
    <col min="12504" max="12504" width="5.140625" style="658" customWidth="1"/>
    <col min="12505" max="12505" width="63.85546875" style="658" customWidth="1"/>
    <col min="12506" max="12507" width="0" style="658" hidden="1" customWidth="1"/>
    <col min="12508" max="12508" width="11" style="658" customWidth="1"/>
    <col min="12509" max="12509" width="11.5703125" style="658" customWidth="1"/>
    <col min="12510" max="12510" width="11" style="658" customWidth="1"/>
    <col min="12511" max="12511" width="11.5703125" style="658" customWidth="1"/>
    <col min="12512" max="12759" width="9.140625" style="658"/>
    <col min="12760" max="12760" width="5.140625" style="658" customWidth="1"/>
    <col min="12761" max="12761" width="63.85546875" style="658" customWidth="1"/>
    <col min="12762" max="12763" width="0" style="658" hidden="1" customWidth="1"/>
    <col min="12764" max="12764" width="11" style="658" customWidth="1"/>
    <col min="12765" max="12765" width="11.5703125" style="658" customWidth="1"/>
    <col min="12766" max="12766" width="11" style="658" customWidth="1"/>
    <col min="12767" max="12767" width="11.5703125" style="658" customWidth="1"/>
    <col min="12768" max="13015" width="9.140625" style="658"/>
    <col min="13016" max="13016" width="5.140625" style="658" customWidth="1"/>
    <col min="13017" max="13017" width="63.85546875" style="658" customWidth="1"/>
    <col min="13018" max="13019" width="0" style="658" hidden="1" customWidth="1"/>
    <col min="13020" max="13020" width="11" style="658" customWidth="1"/>
    <col min="13021" max="13021" width="11.5703125" style="658" customWidth="1"/>
    <col min="13022" max="13022" width="11" style="658" customWidth="1"/>
    <col min="13023" max="13023" width="11.5703125" style="658" customWidth="1"/>
    <col min="13024" max="13271" width="9.140625" style="658"/>
    <col min="13272" max="13272" width="5.140625" style="658" customWidth="1"/>
    <col min="13273" max="13273" width="63.85546875" style="658" customWidth="1"/>
    <col min="13274" max="13275" width="0" style="658" hidden="1" customWidth="1"/>
    <col min="13276" max="13276" width="11" style="658" customWidth="1"/>
    <col min="13277" max="13277" width="11.5703125" style="658" customWidth="1"/>
    <col min="13278" max="13278" width="11" style="658" customWidth="1"/>
    <col min="13279" max="13279" width="11.5703125" style="658" customWidth="1"/>
    <col min="13280" max="13527" width="9.140625" style="658"/>
    <col min="13528" max="13528" width="5.140625" style="658" customWidth="1"/>
    <col min="13529" max="13529" width="63.85546875" style="658" customWidth="1"/>
    <col min="13530" max="13531" width="0" style="658" hidden="1" customWidth="1"/>
    <col min="13532" max="13532" width="11" style="658" customWidth="1"/>
    <col min="13533" max="13533" width="11.5703125" style="658" customWidth="1"/>
    <col min="13534" max="13534" width="11" style="658" customWidth="1"/>
    <col min="13535" max="13535" width="11.5703125" style="658" customWidth="1"/>
    <col min="13536" max="13783" width="9.140625" style="658"/>
    <col min="13784" max="13784" width="5.140625" style="658" customWidth="1"/>
    <col min="13785" max="13785" width="63.85546875" style="658" customWidth="1"/>
    <col min="13786" max="13787" width="0" style="658" hidden="1" customWidth="1"/>
    <col min="13788" max="13788" width="11" style="658" customWidth="1"/>
    <col min="13789" max="13789" width="11.5703125" style="658" customWidth="1"/>
    <col min="13790" max="13790" width="11" style="658" customWidth="1"/>
    <col min="13791" max="13791" width="11.5703125" style="658" customWidth="1"/>
    <col min="13792" max="14039" width="9.140625" style="658"/>
    <col min="14040" max="14040" width="5.140625" style="658" customWidth="1"/>
    <col min="14041" max="14041" width="63.85546875" style="658" customWidth="1"/>
    <col min="14042" max="14043" width="0" style="658" hidden="1" customWidth="1"/>
    <col min="14044" max="14044" width="11" style="658" customWidth="1"/>
    <col min="14045" max="14045" width="11.5703125" style="658" customWidth="1"/>
    <col min="14046" max="14046" width="11" style="658" customWidth="1"/>
    <col min="14047" max="14047" width="11.5703125" style="658" customWidth="1"/>
    <col min="14048" max="14295" width="9.140625" style="658"/>
    <col min="14296" max="14296" width="5.140625" style="658" customWidth="1"/>
    <col min="14297" max="14297" width="63.85546875" style="658" customWidth="1"/>
    <col min="14298" max="14299" width="0" style="658" hidden="1" customWidth="1"/>
    <col min="14300" max="14300" width="11" style="658" customWidth="1"/>
    <col min="14301" max="14301" width="11.5703125" style="658" customWidth="1"/>
    <col min="14302" max="14302" width="11" style="658" customWidth="1"/>
    <col min="14303" max="14303" width="11.5703125" style="658" customWidth="1"/>
    <col min="14304" max="14551" width="9.140625" style="658"/>
    <col min="14552" max="14552" width="5.140625" style="658" customWidth="1"/>
    <col min="14553" max="14553" width="63.85546875" style="658" customWidth="1"/>
    <col min="14554" max="14555" width="0" style="658" hidden="1" customWidth="1"/>
    <col min="14556" max="14556" width="11" style="658" customWidth="1"/>
    <col min="14557" max="14557" width="11.5703125" style="658" customWidth="1"/>
    <col min="14558" max="14558" width="11" style="658" customWidth="1"/>
    <col min="14559" max="14559" width="11.5703125" style="658" customWidth="1"/>
    <col min="14560" max="14807" width="9.140625" style="658"/>
    <col min="14808" max="14808" width="5.140625" style="658" customWidth="1"/>
    <col min="14809" max="14809" width="63.85546875" style="658" customWidth="1"/>
    <col min="14810" max="14811" width="0" style="658" hidden="1" customWidth="1"/>
    <col min="14812" max="14812" width="11" style="658" customWidth="1"/>
    <col min="14813" max="14813" width="11.5703125" style="658" customWidth="1"/>
    <col min="14814" max="14814" width="11" style="658" customWidth="1"/>
    <col min="14815" max="14815" width="11.5703125" style="658" customWidth="1"/>
    <col min="14816" max="15063" width="9.140625" style="658"/>
    <col min="15064" max="15064" width="5.140625" style="658" customWidth="1"/>
    <col min="15065" max="15065" width="63.85546875" style="658" customWidth="1"/>
    <col min="15066" max="15067" width="0" style="658" hidden="1" customWidth="1"/>
    <col min="15068" max="15068" width="11" style="658" customWidth="1"/>
    <col min="15069" max="15069" width="11.5703125" style="658" customWidth="1"/>
    <col min="15070" max="15070" width="11" style="658" customWidth="1"/>
    <col min="15071" max="15071" width="11.5703125" style="658" customWidth="1"/>
    <col min="15072" max="15319" width="9.140625" style="658"/>
    <col min="15320" max="15320" width="5.140625" style="658" customWidth="1"/>
    <col min="15321" max="15321" width="63.85546875" style="658" customWidth="1"/>
    <col min="15322" max="15323" width="0" style="658" hidden="1" customWidth="1"/>
    <col min="15324" max="15324" width="11" style="658" customWidth="1"/>
    <col min="15325" max="15325" width="11.5703125" style="658" customWidth="1"/>
    <col min="15326" max="15326" width="11" style="658" customWidth="1"/>
    <col min="15327" max="15327" width="11.5703125" style="658" customWidth="1"/>
    <col min="15328" max="15575" width="9.140625" style="658"/>
    <col min="15576" max="15576" width="5.140625" style="658" customWidth="1"/>
    <col min="15577" max="15577" width="63.85546875" style="658" customWidth="1"/>
    <col min="15578" max="15579" width="0" style="658" hidden="1" customWidth="1"/>
    <col min="15580" max="15580" width="11" style="658" customWidth="1"/>
    <col min="15581" max="15581" width="11.5703125" style="658" customWidth="1"/>
    <col min="15582" max="15582" width="11" style="658" customWidth="1"/>
    <col min="15583" max="15583" width="11.5703125" style="658" customWidth="1"/>
    <col min="15584" max="15831" width="9.140625" style="658"/>
    <col min="15832" max="15832" width="5.140625" style="658" customWidth="1"/>
    <col min="15833" max="15833" width="63.85546875" style="658" customWidth="1"/>
    <col min="15834" max="15835" width="0" style="658" hidden="1" customWidth="1"/>
    <col min="15836" max="15836" width="11" style="658" customWidth="1"/>
    <col min="15837" max="15837" width="11.5703125" style="658" customWidth="1"/>
    <col min="15838" max="15838" width="11" style="658" customWidth="1"/>
    <col min="15839" max="15839" width="11.5703125" style="658" customWidth="1"/>
    <col min="15840" max="16087" width="9.140625" style="658"/>
    <col min="16088" max="16088" width="5.140625" style="658" customWidth="1"/>
    <col min="16089" max="16089" width="63.85546875" style="658" customWidth="1"/>
    <col min="16090" max="16091" width="0" style="658" hidden="1" customWidth="1"/>
    <col min="16092" max="16092" width="11" style="658" customWidth="1"/>
    <col min="16093" max="16093" width="11.5703125" style="658" customWidth="1"/>
    <col min="16094" max="16094" width="11" style="658" customWidth="1"/>
    <col min="16095" max="16095" width="11.5703125" style="658" customWidth="1"/>
    <col min="16096" max="16384" width="9.140625" style="658"/>
  </cols>
  <sheetData>
    <row r="1" spans="2:18" s="647" customFormat="1" ht="15">
      <c r="B1" s="646"/>
      <c r="F1" s="779" t="s">
        <v>1525</v>
      </c>
      <c r="G1" s="779"/>
      <c r="H1" s="648"/>
      <c r="I1" s="649"/>
      <c r="J1" s="649"/>
      <c r="K1" s="649"/>
      <c r="L1" s="649"/>
      <c r="M1" s="649"/>
      <c r="N1" s="649"/>
      <c r="O1" s="649"/>
      <c r="P1" s="649"/>
      <c r="Q1" s="649"/>
      <c r="R1" s="649"/>
    </row>
    <row r="2" spans="2:18" s="655" customFormat="1">
      <c r="B2" s="650"/>
      <c r="C2" s="651"/>
      <c r="D2" s="651"/>
      <c r="E2" s="651"/>
      <c r="F2" s="651"/>
      <c r="G2" s="652"/>
      <c r="H2" s="653"/>
      <c r="I2" s="654"/>
      <c r="J2" s="654"/>
      <c r="K2" s="654"/>
      <c r="L2" s="654"/>
      <c r="M2" s="654"/>
      <c r="N2" s="654"/>
      <c r="O2" s="654"/>
      <c r="P2" s="654"/>
      <c r="Q2" s="654"/>
      <c r="R2" s="654"/>
    </row>
    <row r="3" spans="2:18">
      <c r="B3" s="780" t="s">
        <v>498</v>
      </c>
      <c r="C3" s="780"/>
      <c r="D3" s="780"/>
      <c r="E3" s="780"/>
      <c r="F3" s="780"/>
      <c r="G3" s="780"/>
      <c r="H3" s="656"/>
    </row>
    <row r="4" spans="2:18">
      <c r="B4" s="659"/>
      <c r="C4" s="660"/>
      <c r="D4" s="660"/>
      <c r="E4" s="660"/>
      <c r="F4" s="661"/>
      <c r="G4" s="662"/>
    </row>
    <row r="5" spans="2:18">
      <c r="B5" s="780" t="s">
        <v>499</v>
      </c>
      <c r="C5" s="780"/>
      <c r="D5" s="780"/>
      <c r="E5" s="780"/>
      <c r="F5" s="780"/>
      <c r="G5" s="780"/>
    </row>
    <row r="6" spans="2:18">
      <c r="B6" s="780" t="s">
        <v>1526</v>
      </c>
      <c r="C6" s="780"/>
      <c r="D6" s="780"/>
      <c r="E6" s="780"/>
      <c r="F6" s="780"/>
      <c r="G6" s="780"/>
    </row>
    <row r="7" spans="2:18">
      <c r="B7" s="659"/>
      <c r="C7" s="660"/>
      <c r="D7" s="660"/>
      <c r="E7" s="660"/>
      <c r="F7" s="661"/>
      <c r="G7" s="661"/>
    </row>
    <row r="8" spans="2:18" ht="15" customHeight="1">
      <c r="B8" s="659"/>
      <c r="C8" s="660"/>
      <c r="D8" s="660"/>
      <c r="E8" s="660"/>
      <c r="F8" s="664"/>
      <c r="G8" s="664"/>
    </row>
    <row r="9" spans="2:18" s="668" customFormat="1" ht="21.75" customHeight="1">
      <c r="B9" s="665" t="s">
        <v>500</v>
      </c>
      <c r="C9" s="665" t="s">
        <v>501</v>
      </c>
      <c r="D9" s="781">
        <v>44562</v>
      </c>
      <c r="E9" s="782"/>
      <c r="F9" s="781">
        <v>44652</v>
      </c>
      <c r="G9" s="782"/>
      <c r="H9" s="666"/>
      <c r="I9" s="667"/>
      <c r="J9" s="667"/>
      <c r="K9" s="667"/>
      <c r="L9" s="667"/>
      <c r="M9" s="667"/>
      <c r="N9" s="667"/>
      <c r="O9" s="667"/>
      <c r="P9" s="667"/>
      <c r="Q9" s="667"/>
      <c r="R9" s="667"/>
    </row>
    <row r="10" spans="2:18" s="674" customFormat="1" ht="60" customHeight="1">
      <c r="B10" s="669"/>
      <c r="C10" s="670"/>
      <c r="D10" s="671" t="s">
        <v>502</v>
      </c>
      <c r="E10" s="671" t="s">
        <v>503</v>
      </c>
      <c r="F10" s="671" t="s">
        <v>502</v>
      </c>
      <c r="G10" s="671" t="s">
        <v>503</v>
      </c>
      <c r="H10" s="672"/>
      <c r="I10" s="673"/>
      <c r="J10" s="673"/>
      <c r="K10" s="673"/>
      <c r="L10" s="673"/>
      <c r="M10" s="673"/>
      <c r="N10" s="673"/>
      <c r="O10" s="673"/>
      <c r="P10" s="673"/>
      <c r="Q10" s="673"/>
      <c r="R10" s="673"/>
    </row>
    <row r="11" spans="2:18">
      <c r="B11" s="675"/>
      <c r="C11" s="676"/>
      <c r="D11" s="677"/>
      <c r="E11" s="677"/>
      <c r="F11" s="677"/>
      <c r="G11" s="677"/>
      <c r="H11" s="672"/>
    </row>
    <row r="12" spans="2:18" s="674" customFormat="1">
      <c r="B12" s="669"/>
      <c r="C12" s="678" t="s">
        <v>504</v>
      </c>
      <c r="D12" s="679"/>
      <c r="E12" s="679"/>
      <c r="F12" s="679"/>
      <c r="G12" s="679"/>
      <c r="H12" s="672"/>
      <c r="I12" s="673"/>
      <c r="J12" s="673"/>
      <c r="K12" s="673"/>
      <c r="L12" s="673"/>
      <c r="M12" s="673"/>
      <c r="N12" s="673"/>
      <c r="O12" s="673"/>
      <c r="P12" s="673"/>
      <c r="Q12" s="673"/>
      <c r="R12" s="673"/>
    </row>
    <row r="13" spans="2:18">
      <c r="B13" s="675"/>
      <c r="C13" s="680"/>
      <c r="D13" s="677"/>
      <c r="E13" s="677"/>
      <c r="F13" s="677"/>
      <c r="G13" s="677"/>
      <c r="H13" s="672"/>
    </row>
    <row r="14" spans="2:18" s="674" customFormat="1">
      <c r="B14" s="669" t="s">
        <v>505</v>
      </c>
      <c r="C14" s="678" t="s">
        <v>506</v>
      </c>
      <c r="D14" s="679">
        <f>221+44+4+5</f>
        <v>274</v>
      </c>
      <c r="E14" s="679">
        <f>(3354802+1344610+44964)/12</f>
        <v>395364.66666666669</v>
      </c>
      <c r="F14" s="679">
        <f>221+44+4+5</f>
        <v>274</v>
      </c>
      <c r="G14" s="679">
        <f>(3354802+1344610+44964)/12</f>
        <v>395364.66666666669</v>
      </c>
      <c r="H14" s="672">
        <f t="shared" ref="H14:H38" si="0">G14/F14</f>
        <v>1442.9367396593675</v>
      </c>
      <c r="I14" s="673"/>
      <c r="J14" s="673">
        <f>G14*12</f>
        <v>4744376</v>
      </c>
      <c r="K14" s="673"/>
      <c r="L14" s="673"/>
      <c r="M14" s="673"/>
      <c r="N14" s="673"/>
      <c r="O14" s="673"/>
      <c r="P14" s="673"/>
      <c r="Q14" s="673"/>
      <c r="R14" s="673"/>
    </row>
    <row r="15" spans="2:18">
      <c r="B15" s="675"/>
      <c r="C15" s="680" t="s">
        <v>507</v>
      </c>
      <c r="D15" s="677"/>
      <c r="E15" s="677"/>
      <c r="F15" s="677"/>
      <c r="G15" s="677"/>
      <c r="H15" s="672"/>
      <c r="J15" s="673"/>
    </row>
    <row r="16" spans="2:18">
      <c r="B16" s="675"/>
      <c r="C16" s="680" t="s">
        <v>508</v>
      </c>
      <c r="D16" s="677">
        <f>5</f>
        <v>5</v>
      </c>
      <c r="E16" s="677">
        <f>(34008+10956)/12</f>
        <v>3747</v>
      </c>
      <c r="F16" s="677">
        <f>5</f>
        <v>5</v>
      </c>
      <c r="G16" s="677">
        <f>(34008+10956)/12</f>
        <v>3747</v>
      </c>
      <c r="H16" s="672">
        <f t="shared" si="0"/>
        <v>749.4</v>
      </c>
      <c r="J16" s="673">
        <f t="shared" ref="J16:J67" si="1">G16*12</f>
        <v>44964</v>
      </c>
    </row>
    <row r="17" spans="2:18">
      <c r="B17" s="675"/>
      <c r="C17" s="680"/>
      <c r="D17" s="677"/>
      <c r="E17" s="677"/>
      <c r="F17" s="677"/>
      <c r="G17" s="677"/>
      <c r="H17" s="672"/>
      <c r="J17" s="673"/>
    </row>
    <row r="18" spans="2:18" s="674" customFormat="1">
      <c r="B18" s="669" t="s">
        <v>509</v>
      </c>
      <c r="C18" s="678" t="s">
        <v>510</v>
      </c>
      <c r="D18" s="679">
        <f>1+5+6</f>
        <v>12</v>
      </c>
      <c r="E18" s="679">
        <f>(14764+48543+72689)/12</f>
        <v>11333</v>
      </c>
      <c r="F18" s="679">
        <f>1+5+6</f>
        <v>12</v>
      </c>
      <c r="G18" s="679">
        <f>(14764+48543+72689)/12</f>
        <v>11333</v>
      </c>
      <c r="H18" s="672">
        <f t="shared" si="0"/>
        <v>944.41666666666663</v>
      </c>
      <c r="I18" s="673"/>
      <c r="J18" s="673">
        <f t="shared" si="1"/>
        <v>135996</v>
      </c>
      <c r="K18" s="673"/>
      <c r="L18" s="673"/>
      <c r="M18" s="673"/>
      <c r="N18" s="673"/>
      <c r="O18" s="673"/>
      <c r="P18" s="673"/>
      <c r="Q18" s="673"/>
      <c r="R18" s="673"/>
    </row>
    <row r="19" spans="2:18">
      <c r="B19" s="675"/>
      <c r="C19" s="680" t="s">
        <v>507</v>
      </c>
      <c r="D19" s="677"/>
      <c r="E19" s="677"/>
      <c r="F19" s="677"/>
      <c r="G19" s="677"/>
      <c r="H19" s="672"/>
      <c r="J19" s="673"/>
    </row>
    <row r="20" spans="2:18">
      <c r="B20" s="675"/>
      <c r="C20" s="680" t="s">
        <v>995</v>
      </c>
      <c r="D20" s="677">
        <v>6</v>
      </c>
      <c r="E20" s="677">
        <f>72689/12</f>
        <v>6057.416666666667</v>
      </c>
      <c r="F20" s="677">
        <v>6</v>
      </c>
      <c r="G20" s="677">
        <f>72689/12</f>
        <v>6057.416666666667</v>
      </c>
      <c r="H20" s="672">
        <f t="shared" si="0"/>
        <v>1009.5694444444445</v>
      </c>
      <c r="I20" s="681"/>
      <c r="J20" s="673">
        <f t="shared" si="1"/>
        <v>72689</v>
      </c>
      <c r="O20" s="657">
        <v>1224194</v>
      </c>
    </row>
    <row r="21" spans="2:18">
      <c r="B21" s="675"/>
      <c r="C21" s="680"/>
      <c r="D21" s="677"/>
      <c r="E21" s="677"/>
      <c r="F21" s="677"/>
      <c r="G21" s="677"/>
      <c r="H21" s="672"/>
      <c r="J21" s="673"/>
      <c r="O21" s="657">
        <v>430804</v>
      </c>
    </row>
    <row r="22" spans="2:18" s="674" customFormat="1">
      <c r="B22" s="669" t="s">
        <v>511</v>
      </c>
      <c r="C22" s="678" t="s">
        <v>512</v>
      </c>
      <c r="D22" s="679">
        <f>D24+D25+D26</f>
        <v>237</v>
      </c>
      <c r="E22" s="679">
        <f>E24+E25+E26</f>
        <v>289796.25000000006</v>
      </c>
      <c r="F22" s="679">
        <f>F24+F25+F26</f>
        <v>237</v>
      </c>
      <c r="G22" s="679">
        <f>G24+G25+G26</f>
        <v>289796.25000000006</v>
      </c>
      <c r="H22" s="672">
        <f t="shared" si="0"/>
        <v>1222.7689873417723</v>
      </c>
      <c r="I22" s="673"/>
      <c r="J22" s="673">
        <f t="shared" si="1"/>
        <v>3477555.0000000009</v>
      </c>
      <c r="K22" s="673"/>
      <c r="L22" s="673"/>
      <c r="M22" s="673"/>
      <c r="N22" s="673"/>
      <c r="O22" s="673">
        <v>54158</v>
      </c>
      <c r="P22" s="673"/>
      <c r="Q22" s="673"/>
      <c r="R22" s="673"/>
    </row>
    <row r="23" spans="2:18">
      <c r="B23" s="675"/>
      <c r="C23" s="680" t="s">
        <v>507</v>
      </c>
      <c r="D23" s="677"/>
      <c r="E23" s="677"/>
      <c r="F23" s="677"/>
      <c r="G23" s="677"/>
      <c r="H23" s="672"/>
      <c r="J23" s="673"/>
      <c r="O23" s="657">
        <v>1056590</v>
      </c>
    </row>
    <row r="24" spans="2:18">
      <c r="B24" s="675">
        <v>1</v>
      </c>
      <c r="C24" s="680" t="s">
        <v>513</v>
      </c>
      <c r="D24" s="677">
        <f>153+23</f>
        <v>176</v>
      </c>
      <c r="E24" s="677">
        <f>2426566/12</f>
        <v>202213.83333333334</v>
      </c>
      <c r="F24" s="677">
        <f>153+23</f>
        <v>176</v>
      </c>
      <c r="G24" s="677">
        <f>2426566/12</f>
        <v>202213.83333333334</v>
      </c>
      <c r="H24" s="672">
        <f t="shared" si="0"/>
        <v>1148.942234848485</v>
      </c>
      <c r="J24" s="673">
        <f t="shared" si="1"/>
        <v>2426566</v>
      </c>
      <c r="O24" s="657">
        <v>997634</v>
      </c>
    </row>
    <row r="25" spans="2:18">
      <c r="B25" s="675">
        <v>2</v>
      </c>
      <c r="C25" s="680" t="s">
        <v>514</v>
      </c>
      <c r="D25" s="677">
        <v>52</v>
      </c>
      <c r="E25" s="677">
        <f>931476/12</f>
        <v>77623</v>
      </c>
      <c r="F25" s="677">
        <v>52</v>
      </c>
      <c r="G25" s="677">
        <f>931476/12</f>
        <v>77623</v>
      </c>
      <c r="H25" s="672">
        <f t="shared" si="0"/>
        <v>1492.75</v>
      </c>
      <c r="J25" s="673">
        <f t="shared" si="1"/>
        <v>931476</v>
      </c>
    </row>
    <row r="26" spans="2:18">
      <c r="B26" s="675">
        <v>3</v>
      </c>
      <c r="C26" s="680" t="s">
        <v>515</v>
      </c>
      <c r="D26" s="677">
        <f>2+7</f>
        <v>9</v>
      </c>
      <c r="E26" s="677">
        <f>119513/12</f>
        <v>9959.4166666666661</v>
      </c>
      <c r="F26" s="677">
        <f>2+7</f>
        <v>9</v>
      </c>
      <c r="G26" s="677">
        <f>119513/12</f>
        <v>9959.4166666666661</v>
      </c>
      <c r="H26" s="672">
        <f t="shared" si="0"/>
        <v>1106.6018518518517</v>
      </c>
      <c r="J26" s="673">
        <f t="shared" si="1"/>
        <v>119513</v>
      </c>
    </row>
    <row r="27" spans="2:18">
      <c r="B27" s="675"/>
      <c r="C27" s="680"/>
      <c r="D27" s="677"/>
      <c r="E27" s="677"/>
      <c r="F27" s="677"/>
      <c r="G27" s="677"/>
      <c r="H27" s="672"/>
      <c r="J27" s="673"/>
    </row>
    <row r="28" spans="2:18" s="674" customFormat="1" ht="24">
      <c r="B28" s="669" t="s">
        <v>516</v>
      </c>
      <c r="C28" s="678" t="s">
        <v>517</v>
      </c>
      <c r="D28" s="679">
        <f>78+32+4.5+72+62.5+69+16.5+15+14.5</f>
        <v>364</v>
      </c>
      <c r="E28" s="679">
        <f>(1224194+430804+54158+1056590+997634+798392+280664+254460+229080)/12</f>
        <v>443831.33333333331</v>
      </c>
      <c r="F28" s="682">
        <f>75.5+32+4+72+62.5+69+17+15+13.5</f>
        <v>360.5</v>
      </c>
      <c r="G28" s="679">
        <f>(1224194+430804+54158+1056590+997634+798392+280664+254460+229080)/12</f>
        <v>443831.33333333331</v>
      </c>
      <c r="H28" s="672">
        <f t="shared" si="0"/>
        <v>1231.1548774849746</v>
      </c>
      <c r="I28" s="673"/>
      <c r="J28" s="673">
        <f t="shared" si="1"/>
        <v>5325976</v>
      </c>
      <c r="K28" s="673"/>
      <c r="L28" s="673"/>
      <c r="M28" s="673"/>
      <c r="N28" s="673"/>
      <c r="O28" s="673"/>
      <c r="P28" s="673"/>
      <c r="Q28" s="673"/>
      <c r="R28" s="673"/>
    </row>
    <row r="29" spans="2:18">
      <c r="B29" s="675"/>
      <c r="C29" s="680"/>
      <c r="D29" s="677"/>
      <c r="E29" s="677"/>
      <c r="F29" s="677"/>
      <c r="G29" s="677"/>
      <c r="H29" s="672"/>
      <c r="J29" s="673"/>
    </row>
    <row r="30" spans="2:18" s="674" customFormat="1" ht="30.75" customHeight="1">
      <c r="B30" s="669" t="s">
        <v>518</v>
      </c>
      <c r="C30" s="678" t="s">
        <v>519</v>
      </c>
      <c r="D30" s="679">
        <f>127+13+50</f>
        <v>190</v>
      </c>
      <c r="E30" s="679">
        <f>(1912621+758038)/12</f>
        <v>222554.91666666666</v>
      </c>
      <c r="F30" s="679">
        <f>127+13+50</f>
        <v>190</v>
      </c>
      <c r="G30" s="679">
        <f>(1912621+758038)/12</f>
        <v>222554.91666666666</v>
      </c>
      <c r="H30" s="672">
        <f t="shared" si="0"/>
        <v>1171.3416666666667</v>
      </c>
      <c r="I30" s="673"/>
      <c r="J30" s="673">
        <f t="shared" si="1"/>
        <v>2670659</v>
      </c>
      <c r="K30" s="673"/>
      <c r="L30" s="673"/>
      <c r="M30" s="673"/>
      <c r="N30" s="673"/>
      <c r="O30" s="673"/>
      <c r="P30" s="673"/>
      <c r="Q30" s="673"/>
      <c r="R30" s="673"/>
    </row>
    <row r="31" spans="2:18">
      <c r="B31" s="675"/>
      <c r="C31" s="680"/>
      <c r="D31" s="677"/>
      <c r="E31" s="677"/>
      <c r="F31" s="677"/>
      <c r="G31" s="677"/>
      <c r="H31" s="672"/>
      <c r="J31" s="673"/>
    </row>
    <row r="32" spans="2:18">
      <c r="B32" s="675"/>
      <c r="C32" s="680"/>
      <c r="D32" s="677"/>
      <c r="E32" s="677"/>
      <c r="F32" s="677"/>
      <c r="G32" s="677"/>
      <c r="H32" s="672"/>
      <c r="J32" s="673"/>
    </row>
    <row r="33" spans="2:18" s="674" customFormat="1">
      <c r="B33" s="669"/>
      <c r="C33" s="678" t="s">
        <v>520</v>
      </c>
      <c r="D33" s="679"/>
      <c r="E33" s="679"/>
      <c r="F33" s="679"/>
      <c r="G33" s="679"/>
      <c r="H33" s="672"/>
      <c r="I33" s="673"/>
      <c r="J33" s="673"/>
      <c r="K33" s="673"/>
      <c r="L33" s="673"/>
      <c r="M33" s="673"/>
      <c r="N33" s="673"/>
      <c r="O33" s="673"/>
      <c r="P33" s="673"/>
      <c r="Q33" s="673"/>
      <c r="R33" s="673"/>
    </row>
    <row r="34" spans="2:18" s="674" customFormat="1">
      <c r="B34" s="669" t="s">
        <v>505</v>
      </c>
      <c r="C34" s="678" t="s">
        <v>506</v>
      </c>
      <c r="D34" s="679">
        <f>1+4+36</f>
        <v>41</v>
      </c>
      <c r="E34" s="679">
        <f>457006/12</f>
        <v>38083.833333333336</v>
      </c>
      <c r="F34" s="679">
        <f>1+4+36</f>
        <v>41</v>
      </c>
      <c r="G34" s="679">
        <f>457006/12</f>
        <v>38083.833333333336</v>
      </c>
      <c r="H34" s="672">
        <f t="shared" si="0"/>
        <v>928.87398373983751</v>
      </c>
      <c r="I34" s="673"/>
      <c r="J34" s="673">
        <f t="shared" si="1"/>
        <v>457006</v>
      </c>
      <c r="K34" s="673"/>
      <c r="L34" s="673"/>
      <c r="M34" s="673"/>
      <c r="N34" s="673"/>
      <c r="O34" s="673"/>
      <c r="P34" s="673"/>
      <c r="Q34" s="673"/>
      <c r="R34" s="673"/>
    </row>
    <row r="35" spans="2:18">
      <c r="B35" s="675"/>
      <c r="C35" s="680" t="s">
        <v>1527</v>
      </c>
      <c r="D35" s="677"/>
      <c r="E35" s="677"/>
      <c r="F35" s="677"/>
      <c r="G35" s="677"/>
      <c r="H35" s="672"/>
      <c r="J35" s="673"/>
    </row>
    <row r="36" spans="2:18">
      <c r="B36" s="675"/>
      <c r="C36" s="680" t="s">
        <v>1528</v>
      </c>
      <c r="D36" s="677">
        <v>37</v>
      </c>
      <c r="E36" s="677">
        <f>(74905+322094)/12</f>
        <v>33083.25</v>
      </c>
      <c r="F36" s="677">
        <v>37</v>
      </c>
      <c r="G36" s="677">
        <f>(74905+322094)/12</f>
        <v>33083.25</v>
      </c>
      <c r="H36" s="672">
        <f t="shared" si="0"/>
        <v>894.14189189189187</v>
      </c>
      <c r="J36" s="673">
        <f t="shared" si="1"/>
        <v>396999</v>
      </c>
    </row>
    <row r="37" spans="2:18" s="674" customFormat="1">
      <c r="B37" s="669" t="s">
        <v>521</v>
      </c>
      <c r="C37" s="678" t="s">
        <v>522</v>
      </c>
      <c r="D37" s="679">
        <v>19</v>
      </c>
      <c r="E37" s="679">
        <f>(147536+138640)/12</f>
        <v>23848</v>
      </c>
      <c r="F37" s="679">
        <v>19</v>
      </c>
      <c r="G37" s="679">
        <f>(147536+138640)/12</f>
        <v>23848</v>
      </c>
      <c r="H37" s="672">
        <f t="shared" si="0"/>
        <v>1255.1578947368421</v>
      </c>
      <c r="I37" s="673"/>
      <c r="J37" s="673">
        <f t="shared" si="1"/>
        <v>286176</v>
      </c>
      <c r="K37" s="673"/>
      <c r="L37" s="673"/>
      <c r="M37" s="673"/>
      <c r="N37" s="673"/>
      <c r="O37" s="673"/>
      <c r="P37" s="673"/>
      <c r="Q37" s="673"/>
      <c r="R37" s="673"/>
    </row>
    <row r="38" spans="2:18" s="674" customFormat="1" ht="24">
      <c r="B38" s="669" t="s">
        <v>523</v>
      </c>
      <c r="C38" s="678" t="s">
        <v>517</v>
      </c>
      <c r="D38" s="679">
        <f>50+55+16</f>
        <v>121</v>
      </c>
      <c r="E38" s="679">
        <f>(611290+560824+255829)/12</f>
        <v>118995.25</v>
      </c>
      <c r="F38" s="679">
        <f>50+55+16</f>
        <v>121</v>
      </c>
      <c r="G38" s="679">
        <f>(611290+560824+255829)/12</f>
        <v>118995.25</v>
      </c>
      <c r="H38" s="672">
        <f t="shared" si="0"/>
        <v>983.43181818181813</v>
      </c>
      <c r="I38" s="673"/>
      <c r="J38" s="673">
        <f t="shared" si="1"/>
        <v>1427943</v>
      </c>
      <c r="K38" s="673"/>
      <c r="L38" s="673"/>
      <c r="M38" s="673"/>
      <c r="N38" s="673"/>
      <c r="O38" s="673"/>
      <c r="P38" s="673"/>
      <c r="Q38" s="673"/>
      <c r="R38" s="673"/>
    </row>
    <row r="39" spans="2:18" s="674" customFormat="1">
      <c r="B39" s="669"/>
      <c r="C39" s="678"/>
      <c r="D39" s="679"/>
      <c r="E39" s="679"/>
      <c r="F39" s="679"/>
      <c r="G39" s="679"/>
      <c r="H39" s="672"/>
      <c r="I39" s="673"/>
      <c r="J39" s="673"/>
      <c r="K39" s="673"/>
      <c r="L39" s="673"/>
      <c r="M39" s="673"/>
      <c r="N39" s="673"/>
      <c r="O39" s="673"/>
      <c r="P39" s="673"/>
      <c r="Q39" s="673"/>
      <c r="R39" s="673"/>
    </row>
    <row r="40" spans="2:18" s="674" customFormat="1" ht="24">
      <c r="B40" s="669" t="s">
        <v>516</v>
      </c>
      <c r="C40" s="678" t="s">
        <v>524</v>
      </c>
      <c r="D40" s="679">
        <f>192+45+5+20+2+1</f>
        <v>265</v>
      </c>
      <c r="E40" s="679">
        <f>(1985675+459859+55616+212567+19002+9927)/12</f>
        <v>228553.83333333334</v>
      </c>
      <c r="F40" s="679">
        <f>192+45+5+20+2+1</f>
        <v>265</v>
      </c>
      <c r="G40" s="679">
        <f>(1985675+459859+55616+212567+19002+9927)/12</f>
        <v>228553.83333333334</v>
      </c>
      <c r="H40" s="672">
        <f>G40/F40</f>
        <v>862.46729559748428</v>
      </c>
      <c r="I40" s="673"/>
      <c r="J40" s="673">
        <f t="shared" si="1"/>
        <v>2742646</v>
      </c>
      <c r="K40" s="673"/>
      <c r="L40" s="673"/>
      <c r="M40" s="673"/>
      <c r="N40" s="673"/>
      <c r="O40" s="673"/>
      <c r="P40" s="673"/>
      <c r="Q40" s="673"/>
      <c r="R40" s="673"/>
    </row>
    <row r="41" spans="2:18">
      <c r="B41" s="675"/>
      <c r="C41" s="680"/>
      <c r="D41" s="677"/>
      <c r="E41" s="677"/>
      <c r="F41" s="677"/>
      <c r="G41" s="677"/>
      <c r="J41" s="673"/>
    </row>
    <row r="42" spans="2:18" s="674" customFormat="1" ht="24">
      <c r="B42" s="669" t="s">
        <v>518</v>
      </c>
      <c r="C42" s="678" t="s">
        <v>1529</v>
      </c>
      <c r="D42" s="679">
        <f>SUM(D44,D48)</f>
        <v>110</v>
      </c>
      <c r="E42" s="679">
        <f>SUM(E44,E48)</f>
        <v>106965.16666666667</v>
      </c>
      <c r="F42" s="679">
        <f>SUM(F44,F48)</f>
        <v>110</v>
      </c>
      <c r="G42" s="679">
        <f>SUM(G44,G48)</f>
        <v>106965.16666666667</v>
      </c>
      <c r="H42" s="672">
        <f>G42/F42</f>
        <v>972.41060606060614</v>
      </c>
      <c r="I42" s="673"/>
      <c r="J42" s="673">
        <f t="shared" si="1"/>
        <v>1283582</v>
      </c>
      <c r="K42" s="673"/>
      <c r="L42" s="673"/>
      <c r="M42" s="673"/>
      <c r="N42" s="673"/>
      <c r="O42" s="673"/>
      <c r="P42" s="673"/>
      <c r="Q42" s="673"/>
      <c r="R42" s="673"/>
    </row>
    <row r="43" spans="2:18">
      <c r="B43" s="675"/>
      <c r="C43" s="680"/>
      <c r="D43" s="677"/>
      <c r="E43" s="677"/>
      <c r="F43" s="677"/>
      <c r="G43" s="677"/>
      <c r="J43" s="673"/>
    </row>
    <row r="44" spans="2:18">
      <c r="B44" s="675">
        <v>1</v>
      </c>
      <c r="C44" s="680" t="s">
        <v>525</v>
      </c>
      <c r="D44" s="677">
        <f>SUM(D45:D47)</f>
        <v>27</v>
      </c>
      <c r="E44" s="677">
        <f>SUM(E45:E47)</f>
        <v>28801.166666666668</v>
      </c>
      <c r="F44" s="677">
        <f>SUM(F45:F47)</f>
        <v>27</v>
      </c>
      <c r="G44" s="677">
        <f>SUM(G45:G47)</f>
        <v>28801.166666666668</v>
      </c>
      <c r="H44" s="672"/>
      <c r="J44" s="673">
        <f t="shared" si="1"/>
        <v>345614</v>
      </c>
    </row>
    <row r="45" spans="2:18">
      <c r="B45" s="675" t="s">
        <v>272</v>
      </c>
      <c r="C45" s="680" t="s">
        <v>526</v>
      </c>
      <c r="D45" s="677">
        <v>7</v>
      </c>
      <c r="E45" s="677">
        <f>88334/12</f>
        <v>7361.166666666667</v>
      </c>
      <c r="F45" s="677">
        <v>7</v>
      </c>
      <c r="G45" s="677">
        <f>88334/12</f>
        <v>7361.166666666667</v>
      </c>
      <c r="H45" s="672">
        <f t="shared" ref="H45:H52" si="2">G45/F45</f>
        <v>1051.5952380952381</v>
      </c>
      <c r="J45" s="673">
        <f t="shared" si="1"/>
        <v>88334</v>
      </c>
    </row>
    <row r="46" spans="2:18">
      <c r="B46" s="675" t="s">
        <v>274</v>
      </c>
      <c r="C46" s="680" t="s">
        <v>527</v>
      </c>
      <c r="D46" s="677">
        <v>18</v>
      </c>
      <c r="E46" s="677">
        <f>235000/12</f>
        <v>19583.333333333332</v>
      </c>
      <c r="F46" s="677">
        <v>18</v>
      </c>
      <c r="G46" s="677">
        <f>235000/12</f>
        <v>19583.333333333332</v>
      </c>
      <c r="H46" s="672">
        <f t="shared" si="2"/>
        <v>1087.9629629629628</v>
      </c>
      <c r="J46" s="673">
        <f t="shared" si="1"/>
        <v>235000</v>
      </c>
    </row>
    <row r="47" spans="2:18">
      <c r="B47" s="675" t="s">
        <v>531</v>
      </c>
      <c r="C47" s="680" t="s">
        <v>996</v>
      </c>
      <c r="D47" s="677">
        <v>2</v>
      </c>
      <c r="E47" s="677">
        <f>22280/12</f>
        <v>1856.6666666666667</v>
      </c>
      <c r="F47" s="677">
        <v>2</v>
      </c>
      <c r="G47" s="677">
        <f>22280/12</f>
        <v>1856.6666666666667</v>
      </c>
      <c r="H47" s="672">
        <f t="shared" si="2"/>
        <v>928.33333333333337</v>
      </c>
      <c r="J47" s="673">
        <f t="shared" si="1"/>
        <v>22280</v>
      </c>
    </row>
    <row r="48" spans="2:18">
      <c r="B48" s="675">
        <v>2</v>
      </c>
      <c r="C48" s="680" t="s">
        <v>528</v>
      </c>
      <c r="D48" s="677">
        <f>SUM(D49:D52)</f>
        <v>83</v>
      </c>
      <c r="E48" s="677">
        <f>SUM(E49:E52)</f>
        <v>78164</v>
      </c>
      <c r="F48" s="677">
        <f>SUM(F49:F52)</f>
        <v>83</v>
      </c>
      <c r="G48" s="677">
        <f>SUM(G49:G52)</f>
        <v>78164</v>
      </c>
      <c r="H48" s="672"/>
      <c r="J48" s="673">
        <f t="shared" si="1"/>
        <v>937968</v>
      </c>
    </row>
    <row r="49" spans="2:18">
      <c r="B49" s="675" t="s">
        <v>277</v>
      </c>
      <c r="C49" s="680" t="s">
        <v>529</v>
      </c>
      <c r="D49" s="677">
        <v>28</v>
      </c>
      <c r="E49" s="677">
        <f>290130/12</f>
        <v>24177.5</v>
      </c>
      <c r="F49" s="677">
        <v>28</v>
      </c>
      <c r="G49" s="677">
        <f>290130/12</f>
        <v>24177.5</v>
      </c>
      <c r="H49" s="672">
        <f t="shared" si="2"/>
        <v>863.48214285714289</v>
      </c>
      <c r="J49" s="673">
        <f t="shared" si="1"/>
        <v>290130</v>
      </c>
    </row>
    <row r="50" spans="2:18">
      <c r="B50" s="675" t="s">
        <v>291</v>
      </c>
      <c r="C50" s="680" t="s">
        <v>530</v>
      </c>
      <c r="D50" s="677">
        <v>18</v>
      </c>
      <c r="E50" s="677">
        <f>205008/12</f>
        <v>17084</v>
      </c>
      <c r="F50" s="677">
        <v>18</v>
      </c>
      <c r="G50" s="677">
        <f>205008/12</f>
        <v>17084</v>
      </c>
      <c r="H50" s="672">
        <f t="shared" si="2"/>
        <v>949.11111111111109</v>
      </c>
      <c r="J50" s="673">
        <f t="shared" si="1"/>
        <v>205008</v>
      </c>
    </row>
    <row r="51" spans="2:18">
      <c r="B51" s="675" t="s">
        <v>541</v>
      </c>
      <c r="C51" s="680" t="s">
        <v>532</v>
      </c>
      <c r="D51" s="677">
        <v>19</v>
      </c>
      <c r="E51" s="677">
        <f>234700/12</f>
        <v>19558.333333333332</v>
      </c>
      <c r="F51" s="677">
        <v>19</v>
      </c>
      <c r="G51" s="677">
        <f>234700/12</f>
        <v>19558.333333333332</v>
      </c>
      <c r="H51" s="672">
        <f t="shared" si="2"/>
        <v>1029.3859649122805</v>
      </c>
      <c r="J51" s="673">
        <f t="shared" si="1"/>
        <v>234700</v>
      </c>
    </row>
    <row r="52" spans="2:18">
      <c r="B52" s="675" t="s">
        <v>543</v>
      </c>
      <c r="C52" s="680" t="s">
        <v>533</v>
      </c>
      <c r="D52" s="677">
        <v>18</v>
      </c>
      <c r="E52" s="677">
        <f>208130/12</f>
        <v>17344.166666666668</v>
      </c>
      <c r="F52" s="677">
        <v>18</v>
      </c>
      <c r="G52" s="677">
        <f>208130/12</f>
        <v>17344.166666666668</v>
      </c>
      <c r="H52" s="672">
        <f t="shared" si="2"/>
        <v>963.56481481481489</v>
      </c>
      <c r="J52" s="673">
        <f t="shared" si="1"/>
        <v>208130</v>
      </c>
    </row>
    <row r="53" spans="2:18">
      <c r="B53" s="675"/>
      <c r="C53" s="680"/>
      <c r="D53" s="677"/>
      <c r="E53" s="677"/>
      <c r="F53" s="677"/>
      <c r="G53" s="677"/>
      <c r="J53" s="673"/>
    </row>
    <row r="54" spans="2:18" s="674" customFormat="1">
      <c r="B54" s="669" t="s">
        <v>534</v>
      </c>
      <c r="C54" s="678" t="s">
        <v>535</v>
      </c>
      <c r="D54" s="679">
        <f t="shared" ref="D54:G54" si="3">SUM(D55,D57)</f>
        <v>56</v>
      </c>
      <c r="E54" s="679">
        <f t="shared" si="3"/>
        <v>64881.500000000007</v>
      </c>
      <c r="F54" s="679">
        <f t="shared" si="3"/>
        <v>56</v>
      </c>
      <c r="G54" s="679">
        <f t="shared" si="3"/>
        <v>64881.500000000007</v>
      </c>
      <c r="H54" s="672"/>
      <c r="I54" s="673"/>
      <c r="J54" s="673">
        <f t="shared" si="1"/>
        <v>778578.00000000012</v>
      </c>
      <c r="K54" s="673"/>
      <c r="L54" s="673"/>
      <c r="M54" s="673"/>
      <c r="N54" s="673"/>
      <c r="O54" s="673"/>
      <c r="P54" s="673"/>
      <c r="Q54" s="673"/>
      <c r="R54" s="673"/>
    </row>
    <row r="55" spans="2:18" ht="24">
      <c r="B55" s="675">
        <v>1</v>
      </c>
      <c r="C55" s="680" t="s">
        <v>536</v>
      </c>
      <c r="D55" s="677">
        <f t="shared" ref="D55:G55" si="4">SUM(D56:D56)</f>
        <v>6</v>
      </c>
      <c r="E55" s="677">
        <f t="shared" si="4"/>
        <v>7708.333333333333</v>
      </c>
      <c r="F55" s="677">
        <f t="shared" si="4"/>
        <v>6</v>
      </c>
      <c r="G55" s="677">
        <f t="shared" si="4"/>
        <v>7708.333333333333</v>
      </c>
      <c r="H55" s="672"/>
      <c r="J55" s="673">
        <f t="shared" si="1"/>
        <v>92500</v>
      </c>
    </row>
    <row r="56" spans="2:18">
      <c r="B56" s="675" t="s">
        <v>272</v>
      </c>
      <c r="C56" s="680" t="s">
        <v>537</v>
      </c>
      <c r="D56" s="677">
        <v>6</v>
      </c>
      <c r="E56" s="677">
        <f>92500/12</f>
        <v>7708.333333333333</v>
      </c>
      <c r="F56" s="677">
        <v>6</v>
      </c>
      <c r="G56" s="677">
        <f>92500/12</f>
        <v>7708.333333333333</v>
      </c>
      <c r="H56" s="672">
        <f t="shared" ref="H56:H61" si="5">G56/F56</f>
        <v>1284.7222222222222</v>
      </c>
      <c r="J56" s="673">
        <f t="shared" si="1"/>
        <v>92500</v>
      </c>
    </row>
    <row r="57" spans="2:18">
      <c r="B57" s="675">
        <v>2</v>
      </c>
      <c r="C57" s="680" t="s">
        <v>538</v>
      </c>
      <c r="D57" s="677">
        <f>SUM(D58:D61)</f>
        <v>50</v>
      </c>
      <c r="E57" s="677">
        <f t="shared" ref="E57:G57" si="6">SUM(E58:E61)</f>
        <v>57173.166666666672</v>
      </c>
      <c r="F57" s="677">
        <f>SUM(F58:F61)</f>
        <v>50</v>
      </c>
      <c r="G57" s="677">
        <f t="shared" si="6"/>
        <v>57173.166666666672</v>
      </c>
      <c r="H57" s="672"/>
      <c r="J57" s="673">
        <f t="shared" si="1"/>
        <v>686078</v>
      </c>
    </row>
    <row r="58" spans="2:18">
      <c r="B58" s="675" t="s">
        <v>277</v>
      </c>
      <c r="C58" s="680" t="s">
        <v>539</v>
      </c>
      <c r="D58" s="677">
        <v>7</v>
      </c>
      <c r="E58" s="677">
        <f>114080/12</f>
        <v>9506.6666666666661</v>
      </c>
      <c r="F58" s="677">
        <v>7</v>
      </c>
      <c r="G58" s="677">
        <f>114080/12</f>
        <v>9506.6666666666661</v>
      </c>
      <c r="H58" s="672">
        <f t="shared" si="5"/>
        <v>1358.0952380952381</v>
      </c>
      <c r="J58" s="673">
        <f t="shared" si="1"/>
        <v>114080</v>
      </c>
    </row>
    <row r="59" spans="2:18">
      <c r="B59" s="675" t="s">
        <v>291</v>
      </c>
      <c r="C59" s="680" t="s">
        <v>540</v>
      </c>
      <c r="D59" s="677">
        <f>13+1+4</f>
        <v>18</v>
      </c>
      <c r="E59" s="677">
        <f>(192460+14232+47292)/12</f>
        <v>21165.333333333332</v>
      </c>
      <c r="F59" s="677">
        <f>13+1+4</f>
        <v>18</v>
      </c>
      <c r="G59" s="677">
        <f>(192460+14232+47292)/12</f>
        <v>21165.333333333332</v>
      </c>
      <c r="H59" s="672">
        <f t="shared" si="5"/>
        <v>1175.8518518518517</v>
      </c>
      <c r="J59" s="673">
        <f t="shared" si="1"/>
        <v>253984</v>
      </c>
    </row>
    <row r="60" spans="2:18">
      <c r="B60" s="675" t="s">
        <v>541</v>
      </c>
      <c r="C60" s="680" t="s">
        <v>542</v>
      </c>
      <c r="D60" s="677">
        <v>7</v>
      </c>
      <c r="E60" s="677">
        <f>98500/12</f>
        <v>8208.3333333333339</v>
      </c>
      <c r="F60" s="677">
        <v>7</v>
      </c>
      <c r="G60" s="677">
        <f>98500/12</f>
        <v>8208.3333333333339</v>
      </c>
      <c r="H60" s="672">
        <f t="shared" si="5"/>
        <v>1172.6190476190477</v>
      </c>
      <c r="J60" s="673">
        <f t="shared" si="1"/>
        <v>98500</v>
      </c>
    </row>
    <row r="61" spans="2:18">
      <c r="B61" s="675" t="s">
        <v>543</v>
      </c>
      <c r="C61" s="680" t="s">
        <v>460</v>
      </c>
      <c r="D61" s="677">
        <v>18</v>
      </c>
      <c r="E61" s="677">
        <f>219514/12</f>
        <v>18292.833333333332</v>
      </c>
      <c r="F61" s="677">
        <v>18</v>
      </c>
      <c r="G61" s="677">
        <f>219514/12</f>
        <v>18292.833333333332</v>
      </c>
      <c r="H61" s="672">
        <f t="shared" si="5"/>
        <v>1016.2685185185185</v>
      </c>
      <c r="J61" s="673">
        <f t="shared" si="1"/>
        <v>219514</v>
      </c>
    </row>
    <row r="62" spans="2:18" s="674" customFormat="1" ht="24">
      <c r="B62" s="669"/>
      <c r="C62" s="678" t="s">
        <v>544</v>
      </c>
      <c r="D62" s="679"/>
      <c r="E62" s="679"/>
      <c r="F62" s="679"/>
      <c r="G62" s="679"/>
      <c r="H62" s="672"/>
      <c r="I62" s="673"/>
      <c r="J62" s="673"/>
      <c r="K62" s="673"/>
      <c r="L62" s="673"/>
      <c r="M62" s="673"/>
      <c r="N62" s="673"/>
      <c r="O62" s="673"/>
      <c r="P62" s="673"/>
      <c r="Q62" s="673"/>
      <c r="R62" s="673"/>
    </row>
    <row r="63" spans="2:18" s="674" customFormat="1">
      <c r="B63" s="669" t="s">
        <v>505</v>
      </c>
      <c r="C63" s="678" t="s">
        <v>506</v>
      </c>
      <c r="D63" s="679">
        <v>25</v>
      </c>
      <c r="E63" s="679">
        <f>343625/12</f>
        <v>28635.416666666668</v>
      </c>
      <c r="F63" s="679">
        <v>25</v>
      </c>
      <c r="G63" s="679">
        <f>343625/12</f>
        <v>28635.416666666668</v>
      </c>
      <c r="H63" s="672">
        <f t="shared" ref="H63:H64" si="7">G63/F63</f>
        <v>1145.4166666666667</v>
      </c>
      <c r="I63" s="657"/>
      <c r="J63" s="673">
        <f t="shared" ref="J63:J64" si="8">G63*12</f>
        <v>343625</v>
      </c>
      <c r="K63" s="673"/>
      <c r="L63" s="673"/>
      <c r="M63" s="673"/>
      <c r="N63" s="673"/>
      <c r="O63" s="673"/>
      <c r="P63" s="673"/>
      <c r="Q63" s="673"/>
      <c r="R63" s="673"/>
    </row>
    <row r="64" spans="2:18" s="674" customFormat="1">
      <c r="B64" s="669" t="s">
        <v>521</v>
      </c>
      <c r="C64" s="678" t="s">
        <v>522</v>
      </c>
      <c r="D64" s="679">
        <v>1</v>
      </c>
      <c r="E64" s="679">
        <f>18507/12</f>
        <v>1542.25</v>
      </c>
      <c r="F64" s="679">
        <v>1</v>
      </c>
      <c r="G64" s="679">
        <f>18507/12</f>
        <v>1542.25</v>
      </c>
      <c r="H64" s="672">
        <f t="shared" si="7"/>
        <v>1542.25</v>
      </c>
      <c r="I64" s="673"/>
      <c r="J64" s="673">
        <f t="shared" si="8"/>
        <v>18507</v>
      </c>
      <c r="K64" s="673"/>
      <c r="L64" s="673"/>
      <c r="M64" s="673"/>
      <c r="N64" s="673"/>
      <c r="O64" s="673"/>
      <c r="P64" s="673"/>
      <c r="Q64" s="673"/>
      <c r="R64" s="673"/>
    </row>
    <row r="65" spans="2:18" s="674" customFormat="1" ht="24">
      <c r="B65" s="669" t="s">
        <v>1530</v>
      </c>
      <c r="C65" s="678" t="s">
        <v>1531</v>
      </c>
      <c r="D65" s="679">
        <f>2+8</f>
        <v>10</v>
      </c>
      <c r="E65" s="679">
        <f>125850/12</f>
        <v>10487.5</v>
      </c>
      <c r="F65" s="679">
        <f>2+8</f>
        <v>10</v>
      </c>
      <c r="G65" s="679">
        <f>125850/12</f>
        <v>10487.5</v>
      </c>
      <c r="H65" s="672">
        <f>G65/F65</f>
        <v>1048.75</v>
      </c>
      <c r="I65" s="673"/>
      <c r="J65" s="673">
        <f t="shared" si="1"/>
        <v>125850</v>
      </c>
      <c r="K65" s="673"/>
      <c r="L65" s="673"/>
      <c r="M65" s="673"/>
      <c r="N65" s="673"/>
      <c r="O65" s="673"/>
      <c r="P65" s="673"/>
      <c r="Q65" s="673"/>
      <c r="R65" s="673"/>
    </row>
    <row r="66" spans="2:18" s="674" customFormat="1">
      <c r="B66" s="669"/>
      <c r="C66" s="678" t="s">
        <v>545</v>
      </c>
      <c r="D66" s="679"/>
      <c r="E66" s="679"/>
      <c r="F66" s="679"/>
      <c r="G66" s="679"/>
      <c r="H66" s="672"/>
      <c r="I66" s="673"/>
      <c r="J66" s="673"/>
      <c r="K66" s="673"/>
      <c r="L66" s="673"/>
      <c r="M66" s="673"/>
      <c r="N66" s="673"/>
      <c r="O66" s="673"/>
      <c r="P66" s="673"/>
      <c r="Q66" s="673"/>
      <c r="R66" s="673"/>
    </row>
    <row r="67" spans="2:18">
      <c r="B67" s="675">
        <v>1</v>
      </c>
      <c r="C67" s="680" t="s">
        <v>546</v>
      </c>
      <c r="D67" s="677">
        <v>3</v>
      </c>
      <c r="E67" s="677">
        <f>28900/12</f>
        <v>2408.3333333333335</v>
      </c>
      <c r="F67" s="677">
        <v>3</v>
      </c>
      <c r="G67" s="677">
        <f>28900/12</f>
        <v>2408.3333333333335</v>
      </c>
      <c r="H67" s="672">
        <f>G67/F67</f>
        <v>802.77777777777783</v>
      </c>
      <c r="J67" s="673">
        <f t="shared" si="1"/>
        <v>28900</v>
      </c>
    </row>
    <row r="69" spans="2:18">
      <c r="G69" s="684"/>
    </row>
    <row r="70" spans="2:18">
      <c r="C70" s="658" t="s">
        <v>547</v>
      </c>
    </row>
    <row r="74" spans="2:18">
      <c r="B74" s="685"/>
    </row>
    <row r="75" spans="2:18">
      <c r="B75" s="686"/>
      <c r="C75" s="687"/>
      <c r="D75" s="687"/>
      <c r="E75" s="687"/>
    </row>
    <row r="76" spans="2:18" s="655" customFormat="1">
      <c r="B76" s="686"/>
      <c r="C76" s="688"/>
      <c r="D76" s="688"/>
      <c r="E76" s="688"/>
      <c r="F76" s="689"/>
      <c r="G76" s="689"/>
      <c r="H76" s="656"/>
      <c r="I76" s="654"/>
      <c r="J76" s="654"/>
      <c r="K76" s="654"/>
      <c r="L76" s="654"/>
      <c r="M76" s="654"/>
      <c r="N76" s="654"/>
      <c r="O76" s="654"/>
      <c r="P76" s="654"/>
      <c r="Q76" s="654"/>
      <c r="R76" s="654"/>
    </row>
    <row r="77" spans="2:18" s="655" customFormat="1">
      <c r="B77" s="690" t="s">
        <v>1589</v>
      </c>
      <c r="F77" s="689"/>
      <c r="G77" s="689"/>
      <c r="H77" s="656"/>
      <c r="I77" s="654"/>
      <c r="J77" s="654"/>
      <c r="K77" s="654"/>
      <c r="L77" s="654"/>
      <c r="M77" s="654"/>
      <c r="N77" s="654"/>
      <c r="O77" s="654"/>
      <c r="P77" s="654"/>
      <c r="Q77" s="654"/>
      <c r="R77" s="654"/>
    </row>
    <row r="78" spans="2:18" s="655" customFormat="1">
      <c r="B78" s="690" t="s">
        <v>1590</v>
      </c>
      <c r="F78" s="689"/>
      <c r="G78" s="691"/>
      <c r="H78" s="656"/>
      <c r="I78" s="654"/>
      <c r="J78" s="654"/>
      <c r="K78" s="654"/>
      <c r="L78" s="654"/>
      <c r="M78" s="654"/>
      <c r="N78" s="654"/>
      <c r="O78" s="654"/>
      <c r="P78" s="654"/>
      <c r="Q78" s="654"/>
      <c r="R78" s="654"/>
    </row>
    <row r="79" spans="2:18" s="655" customFormat="1">
      <c r="B79" s="690" t="s">
        <v>1591</v>
      </c>
      <c r="F79" s="689"/>
      <c r="G79" s="689"/>
      <c r="H79" s="656"/>
      <c r="I79" s="654"/>
      <c r="J79" s="654"/>
      <c r="K79" s="654"/>
      <c r="L79" s="654"/>
      <c r="M79" s="654"/>
      <c r="N79" s="654"/>
      <c r="O79" s="654"/>
      <c r="P79" s="654"/>
      <c r="Q79" s="654"/>
      <c r="R79" s="654"/>
    </row>
    <row r="80" spans="2:18" s="687" customFormat="1">
      <c r="B80" s="686"/>
      <c r="H80" s="663"/>
      <c r="I80" s="692"/>
      <c r="J80" s="692"/>
      <c r="K80" s="692"/>
      <c r="L80" s="692"/>
      <c r="M80" s="692"/>
      <c r="N80" s="692"/>
      <c r="O80" s="692"/>
      <c r="P80" s="692"/>
      <c r="Q80" s="692"/>
      <c r="R80" s="692"/>
    </row>
    <row r="81" spans="2:18" s="688" customFormat="1">
      <c r="B81" s="685"/>
      <c r="H81" s="653"/>
      <c r="I81" s="693"/>
      <c r="J81" s="693"/>
      <c r="K81" s="693"/>
      <c r="L81" s="693"/>
      <c r="M81" s="693"/>
      <c r="N81" s="693"/>
      <c r="O81" s="693"/>
      <c r="P81" s="693"/>
      <c r="Q81" s="693"/>
      <c r="R81" s="693"/>
    </row>
    <row r="82" spans="2:18" s="688" customFormat="1">
      <c r="B82" s="686"/>
      <c r="H82" s="653"/>
      <c r="I82" s="693"/>
      <c r="J82" s="693"/>
      <c r="K82" s="693"/>
      <c r="L82" s="693"/>
      <c r="M82" s="693"/>
      <c r="N82" s="693"/>
      <c r="O82" s="693"/>
      <c r="P82" s="693"/>
      <c r="Q82" s="693"/>
      <c r="R82" s="693"/>
    </row>
    <row r="83" spans="2:18" s="655" customFormat="1">
      <c r="B83" s="690"/>
      <c r="F83" s="651"/>
      <c r="G83" s="651"/>
      <c r="H83" s="656"/>
      <c r="I83" s="654"/>
      <c r="J83" s="654"/>
      <c r="K83" s="654"/>
      <c r="L83" s="654"/>
      <c r="M83" s="654"/>
      <c r="N83" s="654"/>
      <c r="O83" s="654"/>
      <c r="P83" s="654"/>
      <c r="Q83" s="654"/>
      <c r="R83" s="654"/>
    </row>
    <row r="84" spans="2:18" s="694" customFormat="1">
      <c r="B84" s="685"/>
      <c r="F84" s="695"/>
      <c r="G84" s="696"/>
      <c r="H84" s="697"/>
      <c r="I84" s="698"/>
      <c r="J84" s="698"/>
      <c r="K84" s="698"/>
      <c r="L84" s="698"/>
      <c r="M84" s="698"/>
      <c r="N84" s="698"/>
      <c r="O84" s="698"/>
      <c r="P84" s="698"/>
      <c r="Q84" s="698"/>
      <c r="R84" s="698"/>
    </row>
    <row r="85" spans="2:18">
      <c r="B85" s="686"/>
    </row>
    <row r="86" spans="2:18" s="700" customFormat="1">
      <c r="B86" s="699"/>
      <c r="H86" s="656"/>
      <c r="I86" s="701"/>
      <c r="J86" s="701"/>
      <c r="K86" s="701"/>
      <c r="L86" s="701"/>
      <c r="M86" s="701"/>
      <c r="N86" s="701"/>
      <c r="O86" s="701"/>
      <c r="P86" s="701"/>
      <c r="Q86" s="701"/>
      <c r="R86" s="701"/>
    </row>
    <row r="87" spans="2:18" s="700" customFormat="1">
      <c r="B87" s="699"/>
      <c r="H87" s="656"/>
      <c r="I87" s="701"/>
      <c r="J87" s="701"/>
      <c r="K87" s="701"/>
      <c r="L87" s="701"/>
      <c r="M87" s="701"/>
      <c r="N87" s="701"/>
      <c r="O87" s="701"/>
      <c r="P87" s="701"/>
      <c r="Q87" s="701"/>
      <c r="R87" s="701"/>
    </row>
    <row r="88" spans="2:18" s="694" customFormat="1">
      <c r="B88" s="702"/>
      <c r="C88" s="703"/>
      <c r="D88" s="703"/>
      <c r="E88" s="703"/>
      <c r="F88" s="703"/>
      <c r="G88" s="703"/>
      <c r="H88" s="697"/>
      <c r="I88" s="698"/>
      <c r="J88" s="698"/>
      <c r="K88" s="698"/>
      <c r="L88" s="698"/>
      <c r="M88" s="698"/>
      <c r="N88" s="698"/>
      <c r="O88" s="698"/>
      <c r="P88" s="698"/>
      <c r="Q88" s="698"/>
      <c r="R88" s="698"/>
    </row>
    <row r="89" spans="2:18" s="655" customFormat="1">
      <c r="B89" s="702"/>
      <c r="C89" s="704"/>
      <c r="D89" s="704"/>
      <c r="E89" s="704"/>
      <c r="F89" s="704"/>
      <c r="G89" s="704"/>
      <c r="H89" s="656"/>
      <c r="I89" s="654"/>
      <c r="J89" s="654"/>
      <c r="K89" s="654"/>
      <c r="L89" s="654"/>
      <c r="M89" s="654"/>
      <c r="N89" s="654"/>
      <c r="O89" s="654"/>
      <c r="P89" s="654"/>
      <c r="Q89" s="654"/>
      <c r="R89" s="654"/>
    </row>
    <row r="90" spans="2:18" s="705" customFormat="1">
      <c r="B90" s="702"/>
      <c r="H90" s="656"/>
      <c r="I90" s="706"/>
      <c r="J90" s="706"/>
      <c r="K90" s="706"/>
      <c r="L90" s="706"/>
      <c r="M90" s="706"/>
      <c r="N90" s="706"/>
      <c r="O90" s="706"/>
      <c r="P90" s="706"/>
      <c r="Q90" s="706"/>
      <c r="R90" s="706"/>
    </row>
    <row r="91" spans="2:18" s="705" customFormat="1">
      <c r="B91" s="707"/>
      <c r="H91" s="656"/>
      <c r="I91" s="706"/>
      <c r="J91" s="706"/>
      <c r="K91" s="706"/>
      <c r="L91" s="706"/>
      <c r="M91" s="706"/>
      <c r="N91" s="706"/>
      <c r="O91" s="706"/>
      <c r="P91" s="706"/>
      <c r="Q91" s="706"/>
      <c r="R91" s="706"/>
    </row>
    <row r="92" spans="2:18">
      <c r="B92" s="650"/>
    </row>
    <row r="93" spans="2:18">
      <c r="B93" s="708"/>
    </row>
    <row r="94" spans="2:18">
      <c r="B94" s="650"/>
    </row>
    <row r="95" spans="2:18">
      <c r="B95" s="646"/>
    </row>
    <row r="96" spans="2:18">
      <c r="B96" s="646"/>
    </row>
    <row r="97" spans="2:2">
      <c r="B97" s="650"/>
    </row>
    <row r="98" spans="2:2">
      <c r="B98" s="646"/>
    </row>
    <row r="99" spans="2:2">
      <c r="B99" s="646"/>
    </row>
    <row r="100" spans="2:2">
      <c r="B100" s="650"/>
    </row>
    <row r="101" spans="2:2">
      <c r="B101" s="646"/>
    </row>
    <row r="103" spans="2:2">
      <c r="B103" s="708"/>
    </row>
    <row r="104" spans="2:2">
      <c r="B104" s="708"/>
    </row>
    <row r="105" spans="2:2">
      <c r="B105" s="708"/>
    </row>
    <row r="106" spans="2:2">
      <c r="B106" s="708"/>
    </row>
  </sheetData>
  <mergeCells count="6">
    <mergeCell ref="F1:G1"/>
    <mergeCell ref="B3:G3"/>
    <mergeCell ref="B5:G5"/>
    <mergeCell ref="B6:G6"/>
    <mergeCell ref="F9:G9"/>
    <mergeCell ref="D9:E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rowBreaks count="1" manualBreakCount="1">
    <brk id="61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F7"/>
  <sheetViews>
    <sheetView workbookViewId="0">
      <selection activeCell="C34" sqref="C34"/>
    </sheetView>
  </sheetViews>
  <sheetFormatPr defaultRowHeight="15"/>
  <cols>
    <col min="1" max="1" width="13.7109375" customWidth="1"/>
    <col min="2" max="2" width="32.7109375" customWidth="1"/>
    <col min="3" max="3" width="81.140625" customWidth="1"/>
    <col min="4" max="4" width="58.28515625" customWidth="1"/>
    <col min="5" max="5" width="25.42578125" customWidth="1"/>
    <col min="6" max="6" width="15.28515625" style="383" customWidth="1"/>
  </cols>
  <sheetData>
    <row r="1" spans="1:6" s="386" customFormat="1" ht="12.75">
      <c r="A1" s="384"/>
      <c r="B1" s="384"/>
      <c r="C1" s="384"/>
      <c r="D1" s="384"/>
      <c r="E1" s="384"/>
      <c r="F1" s="385" t="s">
        <v>1296</v>
      </c>
    </row>
    <row r="2" spans="1:6" s="386" customFormat="1" ht="12.75">
      <c r="A2" s="384"/>
      <c r="B2" s="384"/>
      <c r="C2" s="384"/>
      <c r="D2" s="384"/>
      <c r="E2" s="384"/>
      <c r="F2" s="384"/>
    </row>
    <row r="3" spans="1:6" s="344" customFormat="1" ht="15.75">
      <c r="A3" s="387" t="s">
        <v>1295</v>
      </c>
      <c r="B3" s="387"/>
      <c r="C3" s="387"/>
      <c r="D3" s="387"/>
      <c r="E3" s="387"/>
      <c r="F3" s="387"/>
    </row>
    <row r="4" spans="1:6" s="344" customFormat="1" ht="15.75">
      <c r="A4" s="387" t="s">
        <v>1476</v>
      </c>
      <c r="B4" s="387"/>
      <c r="C4" s="387"/>
      <c r="D4" s="387"/>
      <c r="E4" s="387"/>
      <c r="F4" s="387"/>
    </row>
    <row r="5" spans="1:6" s="386" customFormat="1" ht="12.75">
      <c r="A5" s="384"/>
      <c r="B5" s="384"/>
      <c r="C5" s="384"/>
      <c r="D5" s="384"/>
      <c r="E5" s="384"/>
      <c r="F5" s="384"/>
    </row>
    <row r="7" spans="1:6">
      <c r="B7" t="s">
        <v>1475</v>
      </c>
    </row>
  </sheetData>
  <pageMargins left="0.31496062992125984" right="0.19685039370078741" top="0.55118110236220474" bottom="0.55118110236220474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1802"/>
  <sheetViews>
    <sheetView showGridLines="0" zoomScaleNormal="100" workbookViewId="0">
      <selection activeCell="A6" sqref="A6:C6"/>
    </sheetView>
  </sheetViews>
  <sheetFormatPr defaultRowHeight="15.75"/>
  <cols>
    <col min="1" max="1" width="70.7109375" style="571" customWidth="1"/>
    <col min="2" max="2" width="12.7109375" style="570" customWidth="1"/>
    <col min="3" max="3" width="19.7109375" style="570" customWidth="1"/>
    <col min="4" max="16384" width="9.140625" style="570"/>
  </cols>
  <sheetData>
    <row r="1" spans="1:3" s="541" customFormat="1">
      <c r="A1" s="585"/>
    </row>
    <row r="2" spans="1:3" s="541" customFormat="1">
      <c r="A2" s="585"/>
    </row>
    <row r="3" spans="1:3" s="541" customFormat="1">
      <c r="A3" s="584"/>
      <c r="B3" s="197"/>
      <c r="C3" s="199" t="s">
        <v>238</v>
      </c>
    </row>
    <row r="4" spans="1:3" s="541" customFormat="1">
      <c r="A4" s="584"/>
      <c r="B4" s="196"/>
      <c r="C4" s="196"/>
    </row>
    <row r="5" spans="1:3" s="541" customFormat="1">
      <c r="A5" s="584"/>
      <c r="B5" s="196"/>
      <c r="C5" s="196"/>
    </row>
    <row r="6" spans="1:3" s="541" customFormat="1">
      <c r="A6" s="748" t="s">
        <v>1595</v>
      </c>
      <c r="B6" s="748"/>
      <c r="C6" s="748"/>
    </row>
    <row r="7" spans="1:3" s="541" customFormat="1">
      <c r="A7" s="748" t="s">
        <v>1493</v>
      </c>
      <c r="B7" s="748"/>
      <c r="C7" s="748"/>
    </row>
    <row r="8" spans="1:3" s="541" customFormat="1">
      <c r="A8" s="583"/>
      <c r="B8" s="583"/>
      <c r="C8" s="582"/>
    </row>
    <row r="9" spans="1:3" s="541" customFormat="1">
      <c r="A9" s="583"/>
      <c r="B9" s="583"/>
      <c r="C9" s="582"/>
    </row>
    <row r="10" spans="1:3" s="581" customFormat="1" ht="31.5">
      <c r="A10" s="568" t="s">
        <v>1492</v>
      </c>
      <c r="B10" s="568" t="s">
        <v>1210</v>
      </c>
      <c r="C10" s="568" t="s">
        <v>1594</v>
      </c>
    </row>
    <row r="11" spans="1:3" s="581" customFormat="1">
      <c r="A11" s="568"/>
      <c r="B11" s="568"/>
      <c r="C11" s="568"/>
    </row>
    <row r="12" spans="1:3" s="581" customFormat="1">
      <c r="A12" s="568" t="s">
        <v>1213</v>
      </c>
      <c r="B12" s="568"/>
      <c r="C12" s="568"/>
    </row>
    <row r="13" spans="1:3" s="581" customFormat="1">
      <c r="A13" s="568"/>
      <c r="B13" s="568"/>
      <c r="C13" s="568"/>
    </row>
    <row r="14" spans="1:3">
      <c r="A14" s="574" t="s">
        <v>1073</v>
      </c>
      <c r="B14" s="578"/>
      <c r="C14" s="578"/>
    </row>
    <row r="15" spans="1:3">
      <c r="A15" s="574" t="s">
        <v>884</v>
      </c>
      <c r="B15" s="578"/>
      <c r="C15" s="578"/>
    </row>
    <row r="16" spans="1:3">
      <c r="A16" s="574" t="s">
        <v>883</v>
      </c>
      <c r="B16" s="578"/>
      <c r="C16" s="578"/>
    </row>
    <row r="17" spans="1:3" ht="31.5">
      <c r="A17" s="576" t="s">
        <v>345</v>
      </c>
      <c r="B17" s="577" t="s">
        <v>3</v>
      </c>
      <c r="C17" s="575">
        <v>4722464</v>
      </c>
    </row>
    <row r="18" spans="1:3" ht="31.5">
      <c r="A18" s="576" t="s">
        <v>707</v>
      </c>
      <c r="B18" s="577" t="s">
        <v>706</v>
      </c>
      <c r="C18" s="575">
        <f>3377854-23052</f>
        <v>3354802</v>
      </c>
    </row>
    <row r="19" spans="1:3" ht="31.5">
      <c r="A19" s="576" t="s">
        <v>991</v>
      </c>
      <c r="B19" s="577" t="s">
        <v>990</v>
      </c>
      <c r="C19" s="575">
        <v>1344610</v>
      </c>
    </row>
    <row r="20" spans="1:3">
      <c r="A20" s="576" t="s">
        <v>351</v>
      </c>
      <c r="B20" s="577" t="s">
        <v>668</v>
      </c>
      <c r="C20" s="575">
        <v>230949</v>
      </c>
    </row>
    <row r="21" spans="1:3">
      <c r="A21" s="576" t="s">
        <v>739</v>
      </c>
      <c r="B21" s="577" t="s">
        <v>738</v>
      </c>
      <c r="C21" s="575">
        <f>21912+23052</f>
        <v>44964</v>
      </c>
    </row>
    <row r="22" spans="1:3">
      <c r="A22" s="576" t="s">
        <v>670</v>
      </c>
      <c r="B22" s="577" t="s">
        <v>669</v>
      </c>
      <c r="C22" s="575">
        <v>40000</v>
      </c>
    </row>
    <row r="23" spans="1:3" ht="31.5">
      <c r="A23" s="576" t="s">
        <v>1063</v>
      </c>
      <c r="B23" s="577" t="s">
        <v>1062</v>
      </c>
      <c r="C23" s="575">
        <v>139037</v>
      </c>
    </row>
    <row r="24" spans="1:3">
      <c r="A24" s="576" t="s">
        <v>709</v>
      </c>
      <c r="B24" s="577" t="s">
        <v>708</v>
      </c>
      <c r="C24" s="575">
        <v>30000</v>
      </c>
    </row>
    <row r="25" spans="1:3">
      <c r="A25" s="576" t="s">
        <v>361</v>
      </c>
      <c r="B25" s="577" t="s">
        <v>712</v>
      </c>
      <c r="C25" s="575">
        <v>1199321</v>
      </c>
    </row>
    <row r="26" spans="1:3" ht="31.5">
      <c r="A26" s="576" t="s">
        <v>714</v>
      </c>
      <c r="B26" s="577" t="s">
        <v>713</v>
      </c>
      <c r="C26" s="575">
        <v>750138</v>
      </c>
    </row>
    <row r="27" spans="1:3">
      <c r="A27" s="576" t="s">
        <v>716</v>
      </c>
      <c r="B27" s="577" t="s">
        <v>715</v>
      </c>
      <c r="C27" s="575">
        <v>287323</v>
      </c>
    </row>
    <row r="28" spans="1:3">
      <c r="A28" s="576" t="s">
        <v>718</v>
      </c>
      <c r="B28" s="577" t="s">
        <v>717</v>
      </c>
      <c r="C28" s="575">
        <v>161860</v>
      </c>
    </row>
    <row r="29" spans="1:3">
      <c r="A29" s="574" t="s">
        <v>866</v>
      </c>
      <c r="B29" s="578"/>
      <c r="C29" s="575">
        <v>6152734</v>
      </c>
    </row>
    <row r="30" spans="1:3">
      <c r="A30" s="576"/>
      <c r="B30" s="577"/>
      <c r="C30" s="575"/>
    </row>
    <row r="31" spans="1:3">
      <c r="A31" s="574" t="s">
        <v>882</v>
      </c>
      <c r="B31" s="574"/>
      <c r="C31" s="575">
        <v>6152734</v>
      </c>
    </row>
    <row r="32" spans="1:3">
      <c r="A32" s="576"/>
      <c r="B32" s="573"/>
      <c r="C32" s="575"/>
    </row>
    <row r="33" spans="1:3">
      <c r="A33" s="574" t="s">
        <v>881</v>
      </c>
      <c r="B33" s="574"/>
      <c r="C33" s="575">
        <v>6152734</v>
      </c>
    </row>
    <row r="34" spans="1:3">
      <c r="A34" s="576"/>
      <c r="B34" s="573"/>
      <c r="C34" s="575"/>
    </row>
    <row r="35" spans="1:3">
      <c r="A35" s="574" t="s">
        <v>1072</v>
      </c>
      <c r="B35" s="574"/>
      <c r="C35" s="575">
        <v>6152734</v>
      </c>
    </row>
    <row r="36" spans="1:3">
      <c r="A36" s="576"/>
      <c r="B36" s="573"/>
      <c r="C36" s="575"/>
    </row>
    <row r="37" spans="1:3">
      <c r="A37" s="574" t="s">
        <v>1051</v>
      </c>
      <c r="B37" s="578"/>
      <c r="C37" s="578"/>
    </row>
    <row r="38" spans="1:3">
      <c r="A38" s="574" t="s">
        <v>666</v>
      </c>
      <c r="B38" s="578"/>
      <c r="C38" s="578"/>
    </row>
    <row r="39" spans="1:3">
      <c r="A39" s="574" t="s">
        <v>667</v>
      </c>
      <c r="B39" s="578"/>
      <c r="C39" s="578"/>
    </row>
    <row r="40" spans="1:3" ht="31.5">
      <c r="A40" s="576" t="s">
        <v>345</v>
      </c>
      <c r="B40" s="577" t="s">
        <v>3</v>
      </c>
      <c r="C40" s="575">
        <v>14764</v>
      </c>
    </row>
    <row r="41" spans="1:3" ht="31.5">
      <c r="A41" s="576" t="s">
        <v>707</v>
      </c>
      <c r="B41" s="577" t="s">
        <v>706</v>
      </c>
      <c r="C41" s="575">
        <v>14764</v>
      </c>
    </row>
    <row r="42" spans="1:3">
      <c r="A42" s="576" t="s">
        <v>351</v>
      </c>
      <c r="B42" s="577" t="s">
        <v>668</v>
      </c>
      <c r="C42" s="575">
        <v>95770</v>
      </c>
    </row>
    <row r="43" spans="1:3">
      <c r="A43" s="576" t="s">
        <v>670</v>
      </c>
      <c r="B43" s="577" t="s">
        <v>669</v>
      </c>
      <c r="C43" s="575">
        <v>95338</v>
      </c>
    </row>
    <row r="44" spans="1:3" ht="31.5">
      <c r="A44" s="576" t="s">
        <v>1063</v>
      </c>
      <c r="B44" s="577" t="s">
        <v>1062</v>
      </c>
      <c r="C44" s="575">
        <v>432</v>
      </c>
    </row>
    <row r="45" spans="1:3">
      <c r="A45" s="576" t="s">
        <v>361</v>
      </c>
      <c r="B45" s="577" t="s">
        <v>712</v>
      </c>
      <c r="C45" s="575">
        <v>6051</v>
      </c>
    </row>
    <row r="46" spans="1:3" ht="31.5">
      <c r="A46" s="576" t="s">
        <v>714</v>
      </c>
      <c r="B46" s="577" t="s">
        <v>713</v>
      </c>
      <c r="C46" s="575">
        <v>3672</v>
      </c>
    </row>
    <row r="47" spans="1:3">
      <c r="A47" s="576" t="s">
        <v>716</v>
      </c>
      <c r="B47" s="577" t="s">
        <v>715</v>
      </c>
      <c r="C47" s="575">
        <v>1542</v>
      </c>
    </row>
    <row r="48" spans="1:3">
      <c r="A48" s="576" t="s">
        <v>718</v>
      </c>
      <c r="B48" s="577" t="s">
        <v>717</v>
      </c>
      <c r="C48" s="575">
        <v>837</v>
      </c>
    </row>
    <row r="49" spans="1:3">
      <c r="A49" s="576" t="s">
        <v>371</v>
      </c>
      <c r="B49" s="577" t="s">
        <v>671</v>
      </c>
      <c r="C49" s="575">
        <v>98651</v>
      </c>
    </row>
    <row r="50" spans="1:3">
      <c r="A50" s="576" t="s">
        <v>638</v>
      </c>
      <c r="B50" s="577" t="s">
        <v>672</v>
      </c>
      <c r="C50" s="575">
        <v>3300</v>
      </c>
    </row>
    <row r="51" spans="1:3">
      <c r="A51" s="576" t="s">
        <v>639</v>
      </c>
      <c r="B51" s="577" t="s">
        <v>725</v>
      </c>
      <c r="C51" s="575">
        <v>10796</v>
      </c>
    </row>
    <row r="52" spans="1:3">
      <c r="A52" s="576" t="s">
        <v>685</v>
      </c>
      <c r="B52" s="577" t="s">
        <v>684</v>
      </c>
      <c r="C52" s="575">
        <v>24250</v>
      </c>
    </row>
    <row r="53" spans="1:3">
      <c r="A53" s="576" t="s">
        <v>687</v>
      </c>
      <c r="B53" s="577" t="s">
        <v>686</v>
      </c>
      <c r="C53" s="575">
        <v>5000</v>
      </c>
    </row>
    <row r="54" spans="1:3" ht="31.5">
      <c r="A54" s="576" t="s">
        <v>642</v>
      </c>
      <c r="B54" s="577" t="s">
        <v>677</v>
      </c>
      <c r="C54" s="575">
        <v>55305</v>
      </c>
    </row>
    <row r="55" spans="1:3">
      <c r="A55" s="574" t="s">
        <v>866</v>
      </c>
      <c r="B55" s="578"/>
      <c r="C55" s="575">
        <v>215236</v>
      </c>
    </row>
    <row r="56" spans="1:3">
      <c r="A56" s="576"/>
      <c r="B56" s="577"/>
      <c r="C56" s="575"/>
    </row>
    <row r="57" spans="1:3">
      <c r="A57" s="576" t="s">
        <v>647</v>
      </c>
      <c r="B57" s="577" t="s">
        <v>688</v>
      </c>
      <c r="C57" s="575">
        <v>10000</v>
      </c>
    </row>
    <row r="58" spans="1:3">
      <c r="A58" s="576" t="s">
        <v>648</v>
      </c>
      <c r="B58" s="577" t="s">
        <v>689</v>
      </c>
      <c r="C58" s="575">
        <v>27400</v>
      </c>
    </row>
    <row r="59" spans="1:3">
      <c r="A59" s="576" t="s">
        <v>240</v>
      </c>
      <c r="B59" s="577" t="s">
        <v>721</v>
      </c>
      <c r="C59" s="575">
        <v>7400</v>
      </c>
    </row>
    <row r="60" spans="1:3">
      <c r="A60" s="576" t="s">
        <v>245</v>
      </c>
      <c r="B60" s="577" t="s">
        <v>719</v>
      </c>
      <c r="C60" s="575">
        <v>20000</v>
      </c>
    </row>
    <row r="61" spans="1:3">
      <c r="A61" s="574" t="s">
        <v>862</v>
      </c>
      <c r="B61" s="578"/>
      <c r="C61" s="575">
        <v>37400</v>
      </c>
    </row>
    <row r="62" spans="1:3">
      <c r="A62" s="576"/>
      <c r="B62" s="577"/>
      <c r="C62" s="575"/>
    </row>
    <row r="63" spans="1:3">
      <c r="A63" s="574" t="s">
        <v>880</v>
      </c>
      <c r="B63" s="574"/>
      <c r="C63" s="575">
        <v>252636</v>
      </c>
    </row>
    <row r="64" spans="1:3">
      <c r="A64" s="576"/>
      <c r="B64" s="573"/>
      <c r="C64" s="575"/>
    </row>
    <row r="65" spans="1:3">
      <c r="A65" s="574" t="s">
        <v>879</v>
      </c>
      <c r="B65" s="574"/>
      <c r="C65" s="575">
        <v>252636</v>
      </c>
    </row>
    <row r="66" spans="1:3">
      <c r="A66" s="576"/>
      <c r="B66" s="573"/>
      <c r="C66" s="575"/>
    </row>
    <row r="67" spans="1:3" ht="31.5">
      <c r="A67" s="574" t="s">
        <v>681</v>
      </c>
      <c r="B67" s="578"/>
      <c r="C67" s="578"/>
    </row>
    <row r="68" spans="1:3" ht="31.5">
      <c r="A68" s="574" t="s">
        <v>682</v>
      </c>
      <c r="B68" s="578"/>
      <c r="C68" s="578"/>
    </row>
    <row r="69" spans="1:3" ht="31.5">
      <c r="A69" s="576" t="s">
        <v>345</v>
      </c>
      <c r="B69" s="577" t="s">
        <v>3</v>
      </c>
      <c r="C69" s="575">
        <v>48543</v>
      </c>
    </row>
    <row r="70" spans="1:3" ht="31.5">
      <c r="A70" s="576" t="s">
        <v>707</v>
      </c>
      <c r="B70" s="577" t="s">
        <v>706</v>
      </c>
      <c r="C70" s="575">
        <v>48543</v>
      </c>
    </row>
    <row r="71" spans="1:3">
      <c r="A71" s="576" t="s">
        <v>351</v>
      </c>
      <c r="B71" s="577" t="s">
        <v>668</v>
      </c>
      <c r="C71" s="575">
        <v>74989</v>
      </c>
    </row>
    <row r="72" spans="1:3">
      <c r="A72" s="576" t="s">
        <v>739</v>
      </c>
      <c r="B72" s="577" t="s">
        <v>738</v>
      </c>
      <c r="C72" s="575">
        <v>72689</v>
      </c>
    </row>
    <row r="73" spans="1:3" ht="31.5">
      <c r="A73" s="576" t="s">
        <v>1063</v>
      </c>
      <c r="B73" s="577" t="s">
        <v>1062</v>
      </c>
      <c r="C73" s="575">
        <v>2300</v>
      </c>
    </row>
    <row r="74" spans="1:3">
      <c r="A74" s="576" t="s">
        <v>361</v>
      </c>
      <c r="B74" s="577" t="s">
        <v>712</v>
      </c>
      <c r="C74" s="575">
        <v>23301</v>
      </c>
    </row>
    <row r="75" spans="1:3" ht="31.5">
      <c r="A75" s="576" t="s">
        <v>714</v>
      </c>
      <c r="B75" s="577" t="s">
        <v>713</v>
      </c>
      <c r="C75" s="575">
        <v>16082</v>
      </c>
    </row>
    <row r="76" spans="1:3">
      <c r="A76" s="576" t="s">
        <v>716</v>
      </c>
      <c r="B76" s="577" t="s">
        <v>715</v>
      </c>
      <c r="C76" s="575">
        <v>5819</v>
      </c>
    </row>
    <row r="77" spans="1:3">
      <c r="A77" s="576" t="s">
        <v>718</v>
      </c>
      <c r="B77" s="577" t="s">
        <v>717</v>
      </c>
      <c r="C77" s="575">
        <v>1400</v>
      </c>
    </row>
    <row r="78" spans="1:3">
      <c r="A78" s="576" t="s">
        <v>371</v>
      </c>
      <c r="B78" s="577" t="s">
        <v>671</v>
      </c>
      <c r="C78" s="575">
        <v>20172</v>
      </c>
    </row>
    <row r="79" spans="1:3">
      <c r="A79" s="576" t="s">
        <v>732</v>
      </c>
      <c r="B79" s="577" t="s">
        <v>731</v>
      </c>
      <c r="C79" s="575">
        <v>2000</v>
      </c>
    </row>
    <row r="80" spans="1:3">
      <c r="A80" s="576" t="s">
        <v>724</v>
      </c>
      <c r="B80" s="577" t="s">
        <v>723</v>
      </c>
      <c r="C80" s="575">
        <v>1650</v>
      </c>
    </row>
    <row r="81" spans="1:3">
      <c r="A81" s="576" t="s">
        <v>638</v>
      </c>
      <c r="B81" s="577" t="s">
        <v>672</v>
      </c>
      <c r="C81" s="575">
        <v>2000</v>
      </c>
    </row>
    <row r="82" spans="1:3">
      <c r="A82" s="576" t="s">
        <v>685</v>
      </c>
      <c r="B82" s="577" t="s">
        <v>684</v>
      </c>
      <c r="C82" s="575">
        <v>10318</v>
      </c>
    </row>
    <row r="83" spans="1:3" ht="31.5">
      <c r="A83" s="576" t="s">
        <v>642</v>
      </c>
      <c r="B83" s="577" t="s">
        <v>677</v>
      </c>
      <c r="C83" s="575">
        <v>4204</v>
      </c>
    </row>
    <row r="84" spans="1:3">
      <c r="A84" s="574" t="s">
        <v>866</v>
      </c>
      <c r="B84" s="578"/>
      <c r="C84" s="575">
        <v>167005</v>
      </c>
    </row>
    <row r="85" spans="1:3">
      <c r="A85" s="576"/>
      <c r="B85" s="577"/>
      <c r="C85" s="575"/>
    </row>
    <row r="86" spans="1:3" ht="31.5">
      <c r="A86" s="574" t="s">
        <v>989</v>
      </c>
      <c r="B86" s="574"/>
      <c r="C86" s="575">
        <v>167005</v>
      </c>
    </row>
    <row r="87" spans="1:3">
      <c r="A87" s="576"/>
      <c r="B87" s="573"/>
      <c r="C87" s="575"/>
    </row>
    <row r="88" spans="1:3" ht="31.5">
      <c r="A88" s="574" t="s">
        <v>683</v>
      </c>
      <c r="B88" s="578"/>
      <c r="C88" s="578"/>
    </row>
    <row r="89" spans="1:3">
      <c r="A89" s="576" t="s">
        <v>371</v>
      </c>
      <c r="B89" s="577" t="s">
        <v>671</v>
      </c>
      <c r="C89" s="575">
        <v>211732</v>
      </c>
    </row>
    <row r="90" spans="1:3">
      <c r="A90" s="576" t="s">
        <v>685</v>
      </c>
      <c r="B90" s="577" t="s">
        <v>684</v>
      </c>
      <c r="C90" s="575">
        <v>208993</v>
      </c>
    </row>
    <row r="91" spans="1:3">
      <c r="A91" s="576" t="s">
        <v>687</v>
      </c>
      <c r="B91" s="577" t="s">
        <v>686</v>
      </c>
      <c r="C91" s="575">
        <v>2739</v>
      </c>
    </row>
    <row r="92" spans="1:3">
      <c r="A92" s="574" t="s">
        <v>866</v>
      </c>
      <c r="B92" s="578"/>
      <c r="C92" s="575">
        <v>211732</v>
      </c>
    </row>
    <row r="93" spans="1:3">
      <c r="A93" s="576" t="s">
        <v>647</v>
      </c>
      <c r="B93" s="577" t="s">
        <v>688</v>
      </c>
      <c r="C93" s="575">
        <v>360403</v>
      </c>
    </row>
    <row r="94" spans="1:3">
      <c r="A94" s="576" t="s">
        <v>648</v>
      </c>
      <c r="B94" s="577" t="s">
        <v>689</v>
      </c>
      <c r="C94" s="575">
        <v>1861</v>
      </c>
    </row>
    <row r="95" spans="1:3">
      <c r="A95" s="576" t="s">
        <v>239</v>
      </c>
      <c r="B95" s="577" t="s">
        <v>690</v>
      </c>
      <c r="C95" s="575">
        <v>1861</v>
      </c>
    </row>
    <row r="96" spans="1:3">
      <c r="A96" s="574" t="s">
        <v>862</v>
      </c>
      <c r="B96" s="578"/>
      <c r="C96" s="575">
        <v>362264</v>
      </c>
    </row>
    <row r="97" spans="1:3">
      <c r="A97" s="576"/>
      <c r="B97" s="577"/>
      <c r="C97" s="575"/>
    </row>
    <row r="98" spans="1:3" ht="31.5">
      <c r="A98" s="574" t="s">
        <v>878</v>
      </c>
      <c r="B98" s="574"/>
      <c r="C98" s="575">
        <v>573996</v>
      </c>
    </row>
    <row r="99" spans="1:3">
      <c r="A99" s="576"/>
      <c r="B99" s="573"/>
      <c r="C99" s="575"/>
    </row>
    <row r="100" spans="1:3">
      <c r="A100" s="574" t="s">
        <v>692</v>
      </c>
      <c r="B100" s="578"/>
      <c r="C100" s="578"/>
    </row>
    <row r="101" spans="1:3">
      <c r="A101" s="576" t="s">
        <v>371</v>
      </c>
      <c r="B101" s="577" t="s">
        <v>671</v>
      </c>
      <c r="C101" s="575">
        <v>29242</v>
      </c>
    </row>
    <row r="102" spans="1:3">
      <c r="A102" s="576" t="s">
        <v>685</v>
      </c>
      <c r="B102" s="577" t="s">
        <v>684</v>
      </c>
      <c r="C102" s="575">
        <v>6318</v>
      </c>
    </row>
    <row r="103" spans="1:3">
      <c r="A103" s="576" t="s">
        <v>694</v>
      </c>
      <c r="B103" s="577" t="s">
        <v>693</v>
      </c>
      <c r="C103" s="575">
        <v>3300</v>
      </c>
    </row>
    <row r="104" spans="1:3" ht="31.5">
      <c r="A104" s="576" t="s">
        <v>642</v>
      </c>
      <c r="B104" s="577" t="s">
        <v>677</v>
      </c>
      <c r="C104" s="575">
        <v>19624</v>
      </c>
    </row>
    <row r="105" spans="1:3">
      <c r="A105" s="574" t="s">
        <v>866</v>
      </c>
      <c r="B105" s="578"/>
      <c r="C105" s="575">
        <v>29242</v>
      </c>
    </row>
    <row r="106" spans="1:3">
      <c r="A106" s="576"/>
      <c r="B106" s="577"/>
      <c r="C106" s="575"/>
    </row>
    <row r="107" spans="1:3">
      <c r="A107" s="574" t="s">
        <v>1214</v>
      </c>
      <c r="B107" s="574"/>
      <c r="C107" s="575">
        <v>29242</v>
      </c>
    </row>
    <row r="108" spans="1:3">
      <c r="A108" s="576"/>
      <c r="B108" s="573"/>
      <c r="C108" s="575"/>
    </row>
    <row r="109" spans="1:3" ht="31.5">
      <c r="A109" s="574" t="s">
        <v>877</v>
      </c>
      <c r="B109" s="574"/>
      <c r="C109" s="575">
        <v>770243</v>
      </c>
    </row>
    <row r="110" spans="1:3">
      <c r="A110" s="576"/>
      <c r="B110" s="573"/>
      <c r="C110" s="575"/>
    </row>
    <row r="111" spans="1:3">
      <c r="A111" s="574" t="s">
        <v>1071</v>
      </c>
      <c r="B111" s="574"/>
      <c r="C111" s="575">
        <v>1022879</v>
      </c>
    </row>
    <row r="112" spans="1:3">
      <c r="A112" s="576"/>
      <c r="B112" s="573"/>
      <c r="C112" s="575"/>
    </row>
    <row r="113" spans="1:3">
      <c r="A113" s="574" t="s">
        <v>1054</v>
      </c>
      <c r="B113" s="578"/>
      <c r="C113" s="578"/>
    </row>
    <row r="114" spans="1:3">
      <c r="A114" s="574" t="s">
        <v>876</v>
      </c>
      <c r="B114" s="578"/>
      <c r="C114" s="578"/>
    </row>
    <row r="115" spans="1:3">
      <c r="A115" s="574" t="s">
        <v>696</v>
      </c>
      <c r="B115" s="578"/>
      <c r="C115" s="578"/>
    </row>
    <row r="116" spans="1:3" ht="31.5">
      <c r="A116" s="576" t="s">
        <v>345</v>
      </c>
      <c r="B116" s="577" t="s">
        <v>3</v>
      </c>
      <c r="C116" s="575">
        <v>8134118</v>
      </c>
    </row>
    <row r="117" spans="1:3" ht="31.5">
      <c r="A117" s="576" t="s">
        <v>707</v>
      </c>
      <c r="B117" s="577" t="s">
        <v>706</v>
      </c>
      <c r="C117" s="575">
        <v>8134118</v>
      </c>
    </row>
    <row r="118" spans="1:3">
      <c r="A118" s="576" t="s">
        <v>351</v>
      </c>
      <c r="B118" s="577" t="s">
        <v>668</v>
      </c>
      <c r="C118" s="575">
        <v>253707</v>
      </c>
    </row>
    <row r="119" spans="1:3" ht="31.5">
      <c r="A119" s="576" t="s">
        <v>1063</v>
      </c>
      <c r="B119" s="577" t="s">
        <v>1062</v>
      </c>
      <c r="C119" s="575">
        <v>253707</v>
      </c>
    </row>
    <row r="120" spans="1:3">
      <c r="A120" s="576" t="s">
        <v>361</v>
      </c>
      <c r="B120" s="577" t="s">
        <v>712</v>
      </c>
      <c r="C120" s="575">
        <v>1595227</v>
      </c>
    </row>
    <row r="121" spans="1:3" ht="31.5">
      <c r="A121" s="576" t="s">
        <v>714</v>
      </c>
      <c r="B121" s="577" t="s">
        <v>713</v>
      </c>
      <c r="C121" s="575">
        <v>858653</v>
      </c>
    </row>
    <row r="122" spans="1:3" ht="31.5">
      <c r="A122" s="576" t="s">
        <v>980</v>
      </c>
      <c r="B122" s="577" t="s">
        <v>979</v>
      </c>
      <c r="C122" s="575">
        <v>211499</v>
      </c>
    </row>
    <row r="123" spans="1:3">
      <c r="A123" s="576" t="s">
        <v>716</v>
      </c>
      <c r="B123" s="577" t="s">
        <v>715</v>
      </c>
      <c r="C123" s="575">
        <v>349206</v>
      </c>
    </row>
    <row r="124" spans="1:3">
      <c r="A124" s="576" t="s">
        <v>718</v>
      </c>
      <c r="B124" s="577" t="s">
        <v>717</v>
      </c>
      <c r="C124" s="575">
        <v>175869</v>
      </c>
    </row>
    <row r="125" spans="1:3">
      <c r="A125" s="576" t="s">
        <v>371</v>
      </c>
      <c r="B125" s="577" t="s">
        <v>671</v>
      </c>
      <c r="C125" s="575">
        <v>2837085</v>
      </c>
    </row>
    <row r="126" spans="1:3">
      <c r="A126" s="576" t="s">
        <v>732</v>
      </c>
      <c r="B126" s="577" t="s">
        <v>731</v>
      </c>
      <c r="C126" s="575">
        <v>730000</v>
      </c>
    </row>
    <row r="127" spans="1:3">
      <c r="A127" s="576" t="s">
        <v>724</v>
      </c>
      <c r="B127" s="577" t="s">
        <v>723</v>
      </c>
      <c r="C127" s="575">
        <v>40000</v>
      </c>
    </row>
    <row r="128" spans="1:3">
      <c r="A128" s="576" t="s">
        <v>638</v>
      </c>
      <c r="B128" s="577" t="s">
        <v>672</v>
      </c>
      <c r="C128" s="575">
        <v>242553</v>
      </c>
    </row>
    <row r="129" spans="1:3">
      <c r="A129" s="576" t="s">
        <v>639</v>
      </c>
      <c r="B129" s="577" t="s">
        <v>725</v>
      </c>
      <c r="C129" s="575">
        <v>880000</v>
      </c>
    </row>
    <row r="130" spans="1:3">
      <c r="A130" s="576" t="s">
        <v>685</v>
      </c>
      <c r="B130" s="577" t="s">
        <v>684</v>
      </c>
      <c r="C130" s="575">
        <v>160000</v>
      </c>
    </row>
    <row r="131" spans="1:3">
      <c r="A131" s="576" t="s">
        <v>687</v>
      </c>
      <c r="B131" s="577" t="s">
        <v>686</v>
      </c>
      <c r="C131" s="575">
        <v>100000</v>
      </c>
    </row>
    <row r="132" spans="1:3" ht="31.5">
      <c r="A132" s="576" t="s">
        <v>642</v>
      </c>
      <c r="B132" s="577" t="s">
        <v>677</v>
      </c>
      <c r="C132" s="575">
        <v>684532</v>
      </c>
    </row>
    <row r="133" spans="1:3">
      <c r="A133" s="576" t="s">
        <v>248</v>
      </c>
      <c r="B133" s="577" t="s">
        <v>735</v>
      </c>
      <c r="C133" s="575">
        <v>12000</v>
      </c>
    </row>
    <row r="134" spans="1:3" ht="31.5">
      <c r="A134" s="576" t="s">
        <v>243</v>
      </c>
      <c r="B134" s="577" t="s">
        <v>750</v>
      </c>
      <c r="C134" s="575">
        <v>12000</v>
      </c>
    </row>
    <row r="135" spans="1:3">
      <c r="A135" s="574" t="s">
        <v>866</v>
      </c>
      <c r="B135" s="578"/>
      <c r="C135" s="575">
        <v>12832137</v>
      </c>
    </row>
    <row r="136" spans="1:3">
      <c r="A136" s="576"/>
      <c r="B136" s="577"/>
      <c r="C136" s="575"/>
    </row>
    <row r="137" spans="1:3">
      <c r="A137" s="576" t="s">
        <v>647</v>
      </c>
      <c r="B137" s="577" t="s">
        <v>688</v>
      </c>
      <c r="C137" s="575">
        <v>139296</v>
      </c>
    </row>
    <row r="138" spans="1:3">
      <c r="A138" s="576" t="s">
        <v>648</v>
      </c>
      <c r="B138" s="577" t="s">
        <v>689</v>
      </c>
      <c r="C138" s="575">
        <v>76364</v>
      </c>
    </row>
    <row r="139" spans="1:3">
      <c r="A139" s="576" t="s">
        <v>245</v>
      </c>
      <c r="B139" s="577" t="s">
        <v>719</v>
      </c>
      <c r="C139" s="575">
        <v>71154</v>
      </c>
    </row>
    <row r="140" spans="1:3">
      <c r="A140" s="576" t="s">
        <v>941</v>
      </c>
      <c r="B140" s="577" t="s">
        <v>940</v>
      </c>
      <c r="C140" s="575">
        <v>5210</v>
      </c>
    </row>
    <row r="141" spans="1:3">
      <c r="A141" s="574" t="s">
        <v>862</v>
      </c>
      <c r="B141" s="578"/>
      <c r="C141" s="575">
        <v>215660</v>
      </c>
    </row>
    <row r="142" spans="1:3">
      <c r="A142" s="576"/>
      <c r="B142" s="577"/>
      <c r="C142" s="575"/>
    </row>
    <row r="143" spans="1:3">
      <c r="A143" s="574" t="s">
        <v>973</v>
      </c>
      <c r="B143" s="574"/>
      <c r="C143" s="575">
        <v>13047797</v>
      </c>
    </row>
    <row r="144" spans="1:3">
      <c r="A144" s="576"/>
      <c r="B144" s="573"/>
      <c r="C144" s="575"/>
    </row>
    <row r="145" spans="1:3">
      <c r="A145" s="574" t="s">
        <v>697</v>
      </c>
      <c r="B145" s="578"/>
      <c r="C145" s="578"/>
    </row>
    <row r="146" spans="1:3" ht="31.5">
      <c r="A146" s="576" t="s">
        <v>345</v>
      </c>
      <c r="B146" s="577" t="s">
        <v>3</v>
      </c>
      <c r="C146" s="575">
        <v>170290</v>
      </c>
    </row>
    <row r="147" spans="1:3" ht="31.5">
      <c r="A147" s="576" t="s">
        <v>707</v>
      </c>
      <c r="B147" s="577" t="s">
        <v>706</v>
      </c>
      <c r="C147" s="575">
        <v>170290</v>
      </c>
    </row>
    <row r="148" spans="1:3">
      <c r="A148" s="576" t="s">
        <v>351</v>
      </c>
      <c r="B148" s="577" t="s">
        <v>668</v>
      </c>
      <c r="C148" s="575">
        <v>10106</v>
      </c>
    </row>
    <row r="149" spans="1:3" ht="31.5">
      <c r="A149" s="576" t="s">
        <v>1063</v>
      </c>
      <c r="B149" s="577" t="s">
        <v>1062</v>
      </c>
      <c r="C149" s="575">
        <v>9044</v>
      </c>
    </row>
    <row r="150" spans="1:3">
      <c r="A150" s="576" t="s">
        <v>711</v>
      </c>
      <c r="B150" s="577" t="s">
        <v>710</v>
      </c>
      <c r="C150" s="575">
        <v>1062</v>
      </c>
    </row>
    <row r="151" spans="1:3">
      <c r="A151" s="576" t="s">
        <v>361</v>
      </c>
      <c r="B151" s="577" t="s">
        <v>712</v>
      </c>
      <c r="C151" s="575">
        <v>40456</v>
      </c>
    </row>
    <row r="152" spans="1:3" ht="31.5">
      <c r="A152" s="576" t="s">
        <v>714</v>
      </c>
      <c r="B152" s="577" t="s">
        <v>713</v>
      </c>
      <c r="C152" s="575">
        <v>19448</v>
      </c>
    </row>
    <row r="153" spans="1:3" ht="31.5">
      <c r="A153" s="576" t="s">
        <v>980</v>
      </c>
      <c r="B153" s="577" t="s">
        <v>979</v>
      </c>
      <c r="C153" s="575">
        <v>7322</v>
      </c>
    </row>
    <row r="154" spans="1:3">
      <c r="A154" s="576" t="s">
        <v>716</v>
      </c>
      <c r="B154" s="577" t="s">
        <v>715</v>
      </c>
      <c r="C154" s="575">
        <v>8917</v>
      </c>
    </row>
    <row r="155" spans="1:3">
      <c r="A155" s="576" t="s">
        <v>718</v>
      </c>
      <c r="B155" s="577" t="s">
        <v>717</v>
      </c>
      <c r="C155" s="575">
        <v>4769</v>
      </c>
    </row>
    <row r="156" spans="1:3">
      <c r="A156" s="576" t="s">
        <v>371</v>
      </c>
      <c r="B156" s="577" t="s">
        <v>671</v>
      </c>
      <c r="C156" s="575">
        <v>174039</v>
      </c>
    </row>
    <row r="157" spans="1:3" ht="31.5">
      <c r="A157" s="576" t="s">
        <v>642</v>
      </c>
      <c r="B157" s="577" t="s">
        <v>677</v>
      </c>
      <c r="C157" s="575">
        <v>174039</v>
      </c>
    </row>
    <row r="158" spans="1:3">
      <c r="A158" s="574" t="s">
        <v>866</v>
      </c>
      <c r="B158" s="578"/>
      <c r="C158" s="575">
        <v>394891</v>
      </c>
    </row>
    <row r="159" spans="1:3">
      <c r="A159" s="576"/>
      <c r="B159" s="577"/>
      <c r="C159" s="575"/>
    </row>
    <row r="160" spans="1:3">
      <c r="A160" s="574" t="s">
        <v>1215</v>
      </c>
      <c r="B160" s="574"/>
      <c r="C160" s="575">
        <v>394891</v>
      </c>
    </row>
    <row r="161" spans="1:3">
      <c r="A161" s="576"/>
      <c r="B161" s="573"/>
      <c r="C161" s="575"/>
    </row>
    <row r="162" spans="1:3">
      <c r="A162" s="574" t="s">
        <v>698</v>
      </c>
      <c r="B162" s="578"/>
      <c r="C162" s="578"/>
    </row>
    <row r="163" spans="1:3" ht="31.5">
      <c r="A163" s="576" t="s">
        <v>345</v>
      </c>
      <c r="B163" s="577" t="s">
        <v>3</v>
      </c>
      <c r="C163" s="575">
        <v>17948519</v>
      </c>
    </row>
    <row r="164" spans="1:3" ht="31.5">
      <c r="A164" s="576" t="s">
        <v>707</v>
      </c>
      <c r="B164" s="577" t="s">
        <v>706</v>
      </c>
      <c r="C164" s="575">
        <v>17948519</v>
      </c>
    </row>
    <row r="165" spans="1:3">
      <c r="A165" s="576" t="s">
        <v>361</v>
      </c>
      <c r="B165" s="577" t="s">
        <v>712</v>
      </c>
      <c r="C165" s="575">
        <v>3879461</v>
      </c>
    </row>
    <row r="166" spans="1:3" ht="31.5">
      <c r="A166" s="576" t="s">
        <v>714</v>
      </c>
      <c r="B166" s="577" t="s">
        <v>713</v>
      </c>
      <c r="C166" s="575">
        <v>1974562</v>
      </c>
    </row>
    <row r="167" spans="1:3" ht="31.5">
      <c r="A167" s="576" t="s">
        <v>980</v>
      </c>
      <c r="B167" s="577" t="s">
        <v>979</v>
      </c>
      <c r="C167" s="575">
        <v>641928</v>
      </c>
    </row>
    <row r="168" spans="1:3">
      <c r="A168" s="576" t="s">
        <v>716</v>
      </c>
      <c r="B168" s="577" t="s">
        <v>715</v>
      </c>
      <c r="C168" s="575">
        <v>827608</v>
      </c>
    </row>
    <row r="169" spans="1:3">
      <c r="A169" s="576" t="s">
        <v>718</v>
      </c>
      <c r="B169" s="577" t="s">
        <v>717</v>
      </c>
      <c r="C169" s="575">
        <v>435363</v>
      </c>
    </row>
    <row r="170" spans="1:3">
      <c r="A170" s="576" t="s">
        <v>371</v>
      </c>
      <c r="B170" s="577" t="s">
        <v>671</v>
      </c>
      <c r="C170" s="575">
        <v>4092160</v>
      </c>
    </row>
    <row r="171" spans="1:3" ht="31.5">
      <c r="A171" s="576" t="s">
        <v>642</v>
      </c>
      <c r="B171" s="577" t="s">
        <v>677</v>
      </c>
      <c r="C171" s="575">
        <v>4092160</v>
      </c>
    </row>
    <row r="172" spans="1:3">
      <c r="A172" s="576" t="s">
        <v>644</v>
      </c>
      <c r="B172" s="577" t="s">
        <v>699</v>
      </c>
      <c r="C172" s="575">
        <v>455456</v>
      </c>
    </row>
    <row r="173" spans="1:3">
      <c r="A173" s="574" t="s">
        <v>866</v>
      </c>
      <c r="B173" s="578"/>
      <c r="C173" s="575">
        <v>26375596</v>
      </c>
    </row>
    <row r="174" spans="1:3">
      <c r="A174" s="576"/>
      <c r="B174" s="577"/>
      <c r="C174" s="575"/>
    </row>
    <row r="175" spans="1:3">
      <c r="A175" s="576" t="s">
        <v>988</v>
      </c>
      <c r="B175" s="577" t="s">
        <v>987</v>
      </c>
      <c r="C175" s="575">
        <v>1156058</v>
      </c>
    </row>
    <row r="176" spans="1:3">
      <c r="A176" s="576" t="s">
        <v>645</v>
      </c>
      <c r="B176" s="577" t="s">
        <v>986</v>
      </c>
      <c r="C176" s="575">
        <v>1156058</v>
      </c>
    </row>
    <row r="177" spans="1:3">
      <c r="A177" s="574" t="s">
        <v>930</v>
      </c>
      <c r="B177" s="578"/>
      <c r="C177" s="575">
        <v>1156058</v>
      </c>
    </row>
    <row r="178" spans="1:3">
      <c r="A178" s="576"/>
      <c r="B178" s="577"/>
      <c r="C178" s="575"/>
    </row>
    <row r="179" spans="1:3">
      <c r="A179" s="576" t="s">
        <v>647</v>
      </c>
      <c r="B179" s="577" t="s">
        <v>688</v>
      </c>
      <c r="C179" s="575">
        <v>297275</v>
      </c>
    </row>
    <row r="180" spans="1:3">
      <c r="A180" s="576" t="s">
        <v>648</v>
      </c>
      <c r="B180" s="577" t="s">
        <v>689</v>
      </c>
      <c r="C180" s="575">
        <v>61765</v>
      </c>
    </row>
    <row r="181" spans="1:3">
      <c r="A181" s="576" t="s">
        <v>240</v>
      </c>
      <c r="B181" s="577" t="s">
        <v>721</v>
      </c>
      <c r="C181" s="575">
        <v>56725</v>
      </c>
    </row>
    <row r="182" spans="1:3">
      <c r="A182" s="576" t="s">
        <v>941</v>
      </c>
      <c r="B182" s="577" t="s">
        <v>940</v>
      </c>
      <c r="C182" s="575">
        <v>5040</v>
      </c>
    </row>
    <row r="183" spans="1:3">
      <c r="A183" s="574" t="s">
        <v>862</v>
      </c>
      <c r="B183" s="578"/>
      <c r="C183" s="575">
        <v>359040</v>
      </c>
    </row>
    <row r="184" spans="1:3">
      <c r="A184" s="576"/>
      <c r="B184" s="577"/>
      <c r="C184" s="575"/>
    </row>
    <row r="185" spans="1:3" ht="31.5">
      <c r="A185" s="574" t="s">
        <v>875</v>
      </c>
      <c r="B185" s="574"/>
      <c r="C185" s="575">
        <v>27890694</v>
      </c>
    </row>
    <row r="186" spans="1:3">
      <c r="A186" s="576"/>
      <c r="B186" s="573"/>
      <c r="C186" s="575"/>
    </row>
    <row r="187" spans="1:3">
      <c r="A187" s="574" t="s">
        <v>700</v>
      </c>
      <c r="B187" s="578"/>
      <c r="C187" s="578"/>
    </row>
    <row r="188" spans="1:3" ht="31.5">
      <c r="A188" s="576" t="s">
        <v>345</v>
      </c>
      <c r="B188" s="577" t="s">
        <v>3</v>
      </c>
      <c r="C188" s="575">
        <v>1080000</v>
      </c>
    </row>
    <row r="189" spans="1:3" ht="31.5">
      <c r="A189" s="576" t="s">
        <v>707</v>
      </c>
      <c r="B189" s="577" t="s">
        <v>706</v>
      </c>
      <c r="C189" s="575">
        <v>1080000</v>
      </c>
    </row>
    <row r="190" spans="1:3">
      <c r="A190" s="576" t="s">
        <v>351</v>
      </c>
      <c r="B190" s="577" t="s">
        <v>668</v>
      </c>
      <c r="C190" s="575">
        <v>41200</v>
      </c>
    </row>
    <row r="191" spans="1:3" ht="31.5">
      <c r="A191" s="576" t="s">
        <v>1063</v>
      </c>
      <c r="B191" s="577" t="s">
        <v>1062</v>
      </c>
      <c r="C191" s="575">
        <v>37700</v>
      </c>
    </row>
    <row r="192" spans="1:3">
      <c r="A192" s="576" t="s">
        <v>711</v>
      </c>
      <c r="B192" s="577" t="s">
        <v>710</v>
      </c>
      <c r="C192" s="575">
        <v>3500</v>
      </c>
    </row>
    <row r="193" spans="1:3">
      <c r="A193" s="576" t="s">
        <v>361</v>
      </c>
      <c r="B193" s="577" t="s">
        <v>712</v>
      </c>
      <c r="C193" s="575">
        <v>246600</v>
      </c>
    </row>
    <row r="194" spans="1:3" ht="31.5">
      <c r="A194" s="576" t="s">
        <v>714</v>
      </c>
      <c r="B194" s="577" t="s">
        <v>713</v>
      </c>
      <c r="C194" s="575">
        <v>126800</v>
      </c>
    </row>
    <row r="195" spans="1:3" ht="31.5">
      <c r="A195" s="576" t="s">
        <v>980</v>
      </c>
      <c r="B195" s="577" t="s">
        <v>979</v>
      </c>
      <c r="C195" s="575">
        <v>40600</v>
      </c>
    </row>
    <row r="196" spans="1:3">
      <c r="A196" s="576" t="s">
        <v>716</v>
      </c>
      <c r="B196" s="577" t="s">
        <v>715</v>
      </c>
      <c r="C196" s="575">
        <v>52000</v>
      </c>
    </row>
    <row r="197" spans="1:3">
      <c r="A197" s="576" t="s">
        <v>718</v>
      </c>
      <c r="B197" s="577" t="s">
        <v>717</v>
      </c>
      <c r="C197" s="575">
        <v>27200</v>
      </c>
    </row>
    <row r="198" spans="1:3">
      <c r="A198" s="576" t="s">
        <v>371</v>
      </c>
      <c r="B198" s="577" t="s">
        <v>671</v>
      </c>
      <c r="C198" s="575">
        <v>200186</v>
      </c>
    </row>
    <row r="199" spans="1:3">
      <c r="A199" s="576" t="s">
        <v>732</v>
      </c>
      <c r="B199" s="577" t="s">
        <v>731</v>
      </c>
      <c r="C199" s="575">
        <v>3000</v>
      </c>
    </row>
    <row r="200" spans="1:3">
      <c r="A200" s="576" t="s">
        <v>734</v>
      </c>
      <c r="B200" s="577" t="s">
        <v>733</v>
      </c>
      <c r="C200" s="575">
        <v>1200</v>
      </c>
    </row>
    <row r="201" spans="1:3">
      <c r="A201" s="576" t="s">
        <v>724</v>
      </c>
      <c r="B201" s="577" t="s">
        <v>723</v>
      </c>
      <c r="C201" s="575">
        <v>3250</v>
      </c>
    </row>
    <row r="202" spans="1:3">
      <c r="A202" s="576" t="s">
        <v>638</v>
      </c>
      <c r="B202" s="577" t="s">
        <v>672</v>
      </c>
      <c r="C202" s="575">
        <v>9870</v>
      </c>
    </row>
    <row r="203" spans="1:3">
      <c r="A203" s="576" t="s">
        <v>639</v>
      </c>
      <c r="B203" s="577" t="s">
        <v>725</v>
      </c>
      <c r="C203" s="575">
        <v>40000</v>
      </c>
    </row>
    <row r="204" spans="1:3">
      <c r="A204" s="576" t="s">
        <v>685</v>
      </c>
      <c r="B204" s="577" t="s">
        <v>684</v>
      </c>
      <c r="C204" s="575">
        <v>15000</v>
      </c>
    </row>
    <row r="205" spans="1:3">
      <c r="A205" s="576" t="s">
        <v>674</v>
      </c>
      <c r="B205" s="577" t="s">
        <v>673</v>
      </c>
      <c r="C205" s="575">
        <v>1000</v>
      </c>
    </row>
    <row r="206" spans="1:3">
      <c r="A206" s="576" t="s">
        <v>694</v>
      </c>
      <c r="B206" s="577" t="s">
        <v>693</v>
      </c>
      <c r="C206" s="575">
        <v>3300</v>
      </c>
    </row>
    <row r="207" spans="1:3" ht="31.5">
      <c r="A207" s="576" t="s">
        <v>676</v>
      </c>
      <c r="B207" s="577" t="s">
        <v>675</v>
      </c>
      <c r="C207" s="575">
        <v>21800</v>
      </c>
    </row>
    <row r="208" spans="1:3" ht="31.5">
      <c r="A208" s="576" t="s">
        <v>642</v>
      </c>
      <c r="B208" s="577" t="s">
        <v>677</v>
      </c>
      <c r="C208" s="575">
        <v>101766</v>
      </c>
    </row>
    <row r="209" spans="1:3">
      <c r="A209" s="576" t="s">
        <v>248</v>
      </c>
      <c r="B209" s="577" t="s">
        <v>735</v>
      </c>
      <c r="C209" s="575">
        <v>2100</v>
      </c>
    </row>
    <row r="210" spans="1:3" ht="31.5">
      <c r="A210" s="576" t="s">
        <v>243</v>
      </c>
      <c r="B210" s="577" t="s">
        <v>750</v>
      </c>
      <c r="C210" s="575">
        <v>2100</v>
      </c>
    </row>
    <row r="211" spans="1:3">
      <c r="A211" s="576" t="s">
        <v>644</v>
      </c>
      <c r="B211" s="577" t="s">
        <v>699</v>
      </c>
      <c r="C211" s="575">
        <v>18481</v>
      </c>
    </row>
    <row r="212" spans="1:3">
      <c r="A212" s="574" t="s">
        <v>866</v>
      </c>
      <c r="B212" s="578"/>
      <c r="C212" s="575">
        <v>1588567</v>
      </c>
    </row>
    <row r="213" spans="1:3">
      <c r="A213" s="576"/>
      <c r="B213" s="577"/>
      <c r="C213" s="575"/>
    </row>
    <row r="214" spans="1:3">
      <c r="A214" s="574" t="s">
        <v>1216</v>
      </c>
      <c r="B214" s="574"/>
      <c r="C214" s="575">
        <v>1588567</v>
      </c>
    </row>
    <row r="215" spans="1:3">
      <c r="A215" s="576"/>
      <c r="B215" s="573"/>
      <c r="C215" s="575"/>
    </row>
    <row r="216" spans="1:3" ht="31.5">
      <c r="A216" s="574" t="s">
        <v>701</v>
      </c>
      <c r="B216" s="578"/>
      <c r="C216" s="578"/>
    </row>
    <row r="217" spans="1:3" ht="31.5">
      <c r="A217" s="576" t="s">
        <v>345</v>
      </c>
      <c r="B217" s="577" t="s">
        <v>3</v>
      </c>
      <c r="C217" s="575">
        <v>531896</v>
      </c>
    </row>
    <row r="218" spans="1:3" ht="31.5">
      <c r="A218" s="576" t="s">
        <v>707</v>
      </c>
      <c r="B218" s="577" t="s">
        <v>706</v>
      </c>
      <c r="C218" s="575">
        <v>531896</v>
      </c>
    </row>
    <row r="219" spans="1:3">
      <c r="A219" s="576" t="s">
        <v>351</v>
      </c>
      <c r="B219" s="577" t="s">
        <v>668</v>
      </c>
      <c r="C219" s="575">
        <v>20243</v>
      </c>
    </row>
    <row r="220" spans="1:3" ht="31.5">
      <c r="A220" s="576" t="s">
        <v>1063</v>
      </c>
      <c r="B220" s="577" t="s">
        <v>1062</v>
      </c>
      <c r="C220" s="575">
        <v>18772</v>
      </c>
    </row>
    <row r="221" spans="1:3">
      <c r="A221" s="576" t="s">
        <v>711</v>
      </c>
      <c r="B221" s="577" t="s">
        <v>710</v>
      </c>
      <c r="C221" s="575">
        <v>1471</v>
      </c>
    </row>
    <row r="222" spans="1:3">
      <c r="A222" s="576" t="s">
        <v>361</v>
      </c>
      <c r="B222" s="577" t="s">
        <v>712</v>
      </c>
      <c r="C222" s="575">
        <v>126459</v>
      </c>
    </row>
    <row r="223" spans="1:3" ht="31.5">
      <c r="A223" s="576" t="s">
        <v>714</v>
      </c>
      <c r="B223" s="577" t="s">
        <v>713</v>
      </c>
      <c r="C223" s="575">
        <v>63496</v>
      </c>
    </row>
    <row r="224" spans="1:3" ht="31.5">
      <c r="A224" s="576" t="s">
        <v>980</v>
      </c>
      <c r="B224" s="577" t="s">
        <v>979</v>
      </c>
      <c r="C224" s="575">
        <v>21709</v>
      </c>
    </row>
    <row r="225" spans="1:3">
      <c r="A225" s="576" t="s">
        <v>716</v>
      </c>
      <c r="B225" s="577" t="s">
        <v>715</v>
      </c>
      <c r="C225" s="575">
        <v>26525</v>
      </c>
    </row>
    <row r="226" spans="1:3">
      <c r="A226" s="576" t="s">
        <v>718</v>
      </c>
      <c r="B226" s="577" t="s">
        <v>717</v>
      </c>
      <c r="C226" s="575">
        <v>14729</v>
      </c>
    </row>
    <row r="227" spans="1:3">
      <c r="A227" s="576" t="s">
        <v>371</v>
      </c>
      <c r="B227" s="577" t="s">
        <v>671</v>
      </c>
      <c r="C227" s="575">
        <v>875313</v>
      </c>
    </row>
    <row r="228" spans="1:3" ht="31.5">
      <c r="A228" s="576" t="s">
        <v>642</v>
      </c>
      <c r="B228" s="577" t="s">
        <v>677</v>
      </c>
      <c r="C228" s="575">
        <v>875313</v>
      </c>
    </row>
    <row r="229" spans="1:3">
      <c r="A229" s="576" t="s">
        <v>644</v>
      </c>
      <c r="B229" s="577" t="s">
        <v>699</v>
      </c>
      <c r="C229" s="575">
        <v>40546</v>
      </c>
    </row>
    <row r="230" spans="1:3">
      <c r="A230" s="574" t="s">
        <v>866</v>
      </c>
      <c r="B230" s="578"/>
      <c r="C230" s="575">
        <v>1594457</v>
      </c>
    </row>
    <row r="231" spans="1:3">
      <c r="A231" s="576"/>
      <c r="B231" s="577"/>
      <c r="C231" s="575"/>
    </row>
    <row r="232" spans="1:3" ht="31.5">
      <c r="A232" s="574" t="s">
        <v>1217</v>
      </c>
      <c r="B232" s="574"/>
      <c r="C232" s="575">
        <v>1594457</v>
      </c>
    </row>
    <row r="233" spans="1:3">
      <c r="A233" s="576"/>
      <c r="B233" s="573"/>
      <c r="C233" s="575"/>
    </row>
    <row r="234" spans="1:3">
      <c r="A234" s="574" t="s">
        <v>702</v>
      </c>
      <c r="B234" s="578"/>
      <c r="C234" s="578"/>
    </row>
    <row r="235" spans="1:3" ht="31.5">
      <c r="A235" s="576" t="s">
        <v>345</v>
      </c>
      <c r="B235" s="577" t="s">
        <v>3</v>
      </c>
      <c r="C235" s="575">
        <v>334800</v>
      </c>
    </row>
    <row r="236" spans="1:3" ht="31.5">
      <c r="A236" s="576" t="s">
        <v>707</v>
      </c>
      <c r="B236" s="577" t="s">
        <v>706</v>
      </c>
      <c r="C236" s="575">
        <v>334800</v>
      </c>
    </row>
    <row r="237" spans="1:3">
      <c r="A237" s="576" t="s">
        <v>351</v>
      </c>
      <c r="B237" s="577" t="s">
        <v>668</v>
      </c>
      <c r="C237" s="575">
        <v>17900</v>
      </c>
    </row>
    <row r="238" spans="1:3" ht="31.5">
      <c r="A238" s="576" t="s">
        <v>1063</v>
      </c>
      <c r="B238" s="577" t="s">
        <v>1062</v>
      </c>
      <c r="C238" s="575">
        <v>15000</v>
      </c>
    </row>
    <row r="239" spans="1:3">
      <c r="A239" s="576" t="s">
        <v>709</v>
      </c>
      <c r="B239" s="577" t="s">
        <v>708</v>
      </c>
      <c r="C239" s="575">
        <v>1400</v>
      </c>
    </row>
    <row r="240" spans="1:3">
      <c r="A240" s="576" t="s">
        <v>711</v>
      </c>
      <c r="B240" s="577" t="s">
        <v>710</v>
      </c>
      <c r="C240" s="575">
        <v>1500</v>
      </c>
    </row>
    <row r="241" spans="1:3">
      <c r="A241" s="576" t="s">
        <v>361</v>
      </c>
      <c r="B241" s="577" t="s">
        <v>712</v>
      </c>
      <c r="C241" s="575">
        <v>73500</v>
      </c>
    </row>
    <row r="242" spans="1:3" ht="31.5">
      <c r="A242" s="576" t="s">
        <v>714</v>
      </c>
      <c r="B242" s="577" t="s">
        <v>713</v>
      </c>
      <c r="C242" s="575">
        <v>39200</v>
      </c>
    </row>
    <row r="243" spans="1:3" ht="31.5">
      <c r="A243" s="576" t="s">
        <v>980</v>
      </c>
      <c r="B243" s="577" t="s">
        <v>979</v>
      </c>
      <c r="C243" s="575">
        <v>10600</v>
      </c>
    </row>
    <row r="244" spans="1:3">
      <c r="A244" s="576" t="s">
        <v>716</v>
      </c>
      <c r="B244" s="577" t="s">
        <v>715</v>
      </c>
      <c r="C244" s="575">
        <v>16600</v>
      </c>
    </row>
    <row r="245" spans="1:3">
      <c r="A245" s="576" t="s">
        <v>718</v>
      </c>
      <c r="B245" s="577" t="s">
        <v>717</v>
      </c>
      <c r="C245" s="575">
        <v>7100</v>
      </c>
    </row>
    <row r="246" spans="1:3">
      <c r="A246" s="576" t="s">
        <v>371</v>
      </c>
      <c r="B246" s="577" t="s">
        <v>671</v>
      </c>
      <c r="C246" s="575">
        <v>563044</v>
      </c>
    </row>
    <row r="247" spans="1:3">
      <c r="A247" s="576" t="s">
        <v>734</v>
      </c>
      <c r="B247" s="577" t="s">
        <v>733</v>
      </c>
      <c r="C247" s="575">
        <v>1200</v>
      </c>
    </row>
    <row r="248" spans="1:3">
      <c r="A248" s="576" t="s">
        <v>724</v>
      </c>
      <c r="B248" s="577" t="s">
        <v>723</v>
      </c>
      <c r="C248" s="575">
        <v>2325</v>
      </c>
    </row>
    <row r="249" spans="1:3">
      <c r="A249" s="576" t="s">
        <v>638</v>
      </c>
      <c r="B249" s="577" t="s">
        <v>672</v>
      </c>
      <c r="C249" s="575">
        <v>40005</v>
      </c>
    </row>
    <row r="250" spans="1:3">
      <c r="A250" s="576" t="s">
        <v>639</v>
      </c>
      <c r="B250" s="577" t="s">
        <v>725</v>
      </c>
      <c r="C250" s="575">
        <v>68000</v>
      </c>
    </row>
    <row r="251" spans="1:3">
      <c r="A251" s="576" t="s">
        <v>685</v>
      </c>
      <c r="B251" s="577" t="s">
        <v>684</v>
      </c>
      <c r="C251" s="575">
        <v>20000</v>
      </c>
    </row>
    <row r="252" spans="1:3">
      <c r="A252" s="576" t="s">
        <v>687</v>
      </c>
      <c r="B252" s="577" t="s">
        <v>686</v>
      </c>
      <c r="C252" s="575">
        <v>76971</v>
      </c>
    </row>
    <row r="253" spans="1:3">
      <c r="A253" s="576" t="s">
        <v>674</v>
      </c>
      <c r="B253" s="577" t="s">
        <v>673</v>
      </c>
      <c r="C253" s="575">
        <v>1500</v>
      </c>
    </row>
    <row r="254" spans="1:3">
      <c r="A254" s="576" t="s">
        <v>694</v>
      </c>
      <c r="B254" s="577" t="s">
        <v>693</v>
      </c>
      <c r="C254" s="575">
        <v>1000</v>
      </c>
    </row>
    <row r="255" spans="1:3" ht="31.5">
      <c r="A255" s="576" t="s">
        <v>676</v>
      </c>
      <c r="B255" s="577" t="s">
        <v>675</v>
      </c>
      <c r="C255" s="575">
        <v>3200</v>
      </c>
    </row>
    <row r="256" spans="1:3" ht="31.5">
      <c r="A256" s="576" t="s">
        <v>642</v>
      </c>
      <c r="B256" s="577" t="s">
        <v>677</v>
      </c>
      <c r="C256" s="575">
        <v>348843</v>
      </c>
    </row>
    <row r="257" spans="1:3">
      <c r="A257" s="576" t="s">
        <v>248</v>
      </c>
      <c r="B257" s="577" t="s">
        <v>735</v>
      </c>
      <c r="C257" s="575">
        <v>346</v>
      </c>
    </row>
    <row r="258" spans="1:3" ht="31.5">
      <c r="A258" s="576" t="s">
        <v>243</v>
      </c>
      <c r="B258" s="577" t="s">
        <v>750</v>
      </c>
      <c r="C258" s="575">
        <v>346</v>
      </c>
    </row>
    <row r="259" spans="1:3">
      <c r="A259" s="574" t="s">
        <v>866</v>
      </c>
      <c r="B259" s="578"/>
      <c r="C259" s="575">
        <v>989590</v>
      </c>
    </row>
    <row r="260" spans="1:3">
      <c r="A260" s="576"/>
      <c r="B260" s="577"/>
      <c r="C260" s="575"/>
    </row>
    <row r="261" spans="1:3">
      <c r="A261" s="576" t="s">
        <v>648</v>
      </c>
      <c r="B261" s="577" t="s">
        <v>689</v>
      </c>
      <c r="C261" s="575">
        <v>3000</v>
      </c>
    </row>
    <row r="262" spans="1:3">
      <c r="A262" s="576" t="s">
        <v>240</v>
      </c>
      <c r="B262" s="577" t="s">
        <v>721</v>
      </c>
      <c r="C262" s="575">
        <v>3000</v>
      </c>
    </row>
    <row r="263" spans="1:3">
      <c r="A263" s="574" t="s">
        <v>862</v>
      </c>
      <c r="B263" s="578"/>
      <c r="C263" s="575">
        <v>3000</v>
      </c>
    </row>
    <row r="264" spans="1:3">
      <c r="A264" s="576"/>
      <c r="B264" s="577"/>
      <c r="C264" s="575"/>
    </row>
    <row r="265" spans="1:3">
      <c r="A265" s="574" t="s">
        <v>1218</v>
      </c>
      <c r="B265" s="574"/>
      <c r="C265" s="575">
        <v>992590</v>
      </c>
    </row>
    <row r="266" spans="1:3">
      <c r="A266" s="574" t="s">
        <v>703</v>
      </c>
      <c r="B266" s="578"/>
      <c r="C266" s="578"/>
    </row>
    <row r="267" spans="1:3" ht="31.5">
      <c r="A267" s="576" t="s">
        <v>345</v>
      </c>
      <c r="B267" s="577" t="s">
        <v>3</v>
      </c>
      <c r="C267" s="575">
        <v>340283</v>
      </c>
    </row>
    <row r="268" spans="1:3" ht="31.5">
      <c r="A268" s="576" t="s">
        <v>707</v>
      </c>
      <c r="B268" s="577" t="s">
        <v>706</v>
      </c>
      <c r="C268" s="575">
        <v>340283</v>
      </c>
    </row>
    <row r="269" spans="1:3">
      <c r="A269" s="576" t="s">
        <v>351</v>
      </c>
      <c r="B269" s="577" t="s">
        <v>668</v>
      </c>
      <c r="C269" s="575">
        <v>12562</v>
      </c>
    </row>
    <row r="270" spans="1:3" ht="31.5">
      <c r="A270" s="576" t="s">
        <v>1063</v>
      </c>
      <c r="B270" s="577" t="s">
        <v>1062</v>
      </c>
      <c r="C270" s="575">
        <v>12562</v>
      </c>
    </row>
    <row r="271" spans="1:3">
      <c r="A271" s="576" t="s">
        <v>361</v>
      </c>
      <c r="B271" s="577" t="s">
        <v>712</v>
      </c>
      <c r="C271" s="575">
        <v>73853</v>
      </c>
    </row>
    <row r="272" spans="1:3" ht="31.5">
      <c r="A272" s="576" t="s">
        <v>714</v>
      </c>
      <c r="B272" s="577" t="s">
        <v>713</v>
      </c>
      <c r="C272" s="575">
        <v>43150</v>
      </c>
    </row>
    <row r="273" spans="1:3" ht="31.5">
      <c r="A273" s="576" t="s">
        <v>980</v>
      </c>
      <c r="B273" s="577" t="s">
        <v>979</v>
      </c>
      <c r="C273" s="575">
        <v>8001</v>
      </c>
    </row>
    <row r="274" spans="1:3">
      <c r="A274" s="576" t="s">
        <v>716</v>
      </c>
      <c r="B274" s="577" t="s">
        <v>715</v>
      </c>
      <c r="C274" s="575">
        <v>15098</v>
      </c>
    </row>
    <row r="275" spans="1:3">
      <c r="A275" s="576" t="s">
        <v>718</v>
      </c>
      <c r="B275" s="577" t="s">
        <v>717</v>
      </c>
      <c r="C275" s="575">
        <v>7604</v>
      </c>
    </row>
    <row r="276" spans="1:3">
      <c r="A276" s="576" t="s">
        <v>371</v>
      </c>
      <c r="B276" s="577" t="s">
        <v>671</v>
      </c>
      <c r="C276" s="575">
        <v>91249</v>
      </c>
    </row>
    <row r="277" spans="1:3">
      <c r="A277" s="576" t="s">
        <v>687</v>
      </c>
      <c r="B277" s="577" t="s">
        <v>686</v>
      </c>
      <c r="C277" s="575">
        <v>35000</v>
      </c>
    </row>
    <row r="278" spans="1:3" ht="31.5">
      <c r="A278" s="576" t="s">
        <v>642</v>
      </c>
      <c r="B278" s="577" t="s">
        <v>677</v>
      </c>
      <c r="C278" s="575">
        <v>56249</v>
      </c>
    </row>
    <row r="279" spans="1:3">
      <c r="A279" s="574" t="s">
        <v>866</v>
      </c>
      <c r="B279" s="578"/>
      <c r="C279" s="575">
        <v>517947</v>
      </c>
    </row>
    <row r="280" spans="1:3">
      <c r="A280" s="576"/>
      <c r="B280" s="577"/>
      <c r="C280" s="575"/>
    </row>
    <row r="281" spans="1:3">
      <c r="A281" s="574" t="s">
        <v>970</v>
      </c>
      <c r="B281" s="574"/>
      <c r="C281" s="575">
        <v>517947</v>
      </c>
    </row>
    <row r="282" spans="1:3">
      <c r="A282" s="576"/>
      <c r="B282" s="573"/>
      <c r="C282" s="575"/>
    </row>
    <row r="283" spans="1:3">
      <c r="A283" s="574" t="s">
        <v>704</v>
      </c>
      <c r="B283" s="578"/>
      <c r="C283" s="578"/>
    </row>
    <row r="284" spans="1:3" ht="31.5">
      <c r="A284" s="576" t="s">
        <v>345</v>
      </c>
      <c r="B284" s="577" t="s">
        <v>3</v>
      </c>
      <c r="C284" s="575">
        <v>254406</v>
      </c>
    </row>
    <row r="285" spans="1:3" ht="31.5">
      <c r="A285" s="576" t="s">
        <v>707</v>
      </c>
      <c r="B285" s="577" t="s">
        <v>706</v>
      </c>
      <c r="C285" s="575">
        <v>254406</v>
      </c>
    </row>
    <row r="286" spans="1:3">
      <c r="A286" s="576" t="s">
        <v>351</v>
      </c>
      <c r="B286" s="577" t="s">
        <v>668</v>
      </c>
      <c r="C286" s="575">
        <v>18771</v>
      </c>
    </row>
    <row r="287" spans="1:3" ht="31.5">
      <c r="A287" s="576" t="s">
        <v>1063</v>
      </c>
      <c r="B287" s="577" t="s">
        <v>1062</v>
      </c>
      <c r="C287" s="575">
        <v>18327</v>
      </c>
    </row>
    <row r="288" spans="1:3">
      <c r="A288" s="576" t="s">
        <v>711</v>
      </c>
      <c r="B288" s="577" t="s">
        <v>710</v>
      </c>
      <c r="C288" s="575">
        <v>444</v>
      </c>
    </row>
    <row r="289" spans="1:3">
      <c r="A289" s="576" t="s">
        <v>361</v>
      </c>
      <c r="B289" s="577" t="s">
        <v>712</v>
      </c>
      <c r="C289" s="575">
        <v>60516</v>
      </c>
    </row>
    <row r="290" spans="1:3" ht="31.5">
      <c r="A290" s="576" t="s">
        <v>714</v>
      </c>
      <c r="B290" s="577" t="s">
        <v>713</v>
      </c>
      <c r="C290" s="575">
        <v>30979</v>
      </c>
    </row>
    <row r="291" spans="1:3" ht="31.5">
      <c r="A291" s="576" t="s">
        <v>980</v>
      </c>
      <c r="B291" s="577" t="s">
        <v>979</v>
      </c>
      <c r="C291" s="575">
        <v>11137</v>
      </c>
    </row>
    <row r="292" spans="1:3">
      <c r="A292" s="576" t="s">
        <v>716</v>
      </c>
      <c r="B292" s="577" t="s">
        <v>715</v>
      </c>
      <c r="C292" s="575">
        <v>12520</v>
      </c>
    </row>
    <row r="293" spans="1:3">
      <c r="A293" s="576" t="s">
        <v>718</v>
      </c>
      <c r="B293" s="577" t="s">
        <v>717</v>
      </c>
      <c r="C293" s="575">
        <v>5880</v>
      </c>
    </row>
    <row r="294" spans="1:3">
      <c r="A294" s="576" t="s">
        <v>371</v>
      </c>
      <c r="B294" s="577" t="s">
        <v>671</v>
      </c>
      <c r="C294" s="575">
        <v>309252</v>
      </c>
    </row>
    <row r="295" spans="1:3" ht="31.5">
      <c r="A295" s="576" t="s">
        <v>642</v>
      </c>
      <c r="B295" s="577" t="s">
        <v>677</v>
      </c>
      <c r="C295" s="575">
        <v>309252</v>
      </c>
    </row>
    <row r="296" spans="1:3">
      <c r="A296" s="574" t="s">
        <v>866</v>
      </c>
      <c r="B296" s="578"/>
      <c r="C296" s="575">
        <v>642945</v>
      </c>
    </row>
    <row r="297" spans="1:3">
      <c r="A297" s="576"/>
      <c r="B297" s="577"/>
      <c r="C297" s="575"/>
    </row>
    <row r="298" spans="1:3">
      <c r="A298" s="574" t="s">
        <v>1219</v>
      </c>
      <c r="B298" s="574"/>
      <c r="C298" s="575">
        <v>642945</v>
      </c>
    </row>
    <row r="299" spans="1:3">
      <c r="A299" s="576"/>
      <c r="B299" s="573"/>
      <c r="C299" s="575"/>
    </row>
    <row r="300" spans="1:3">
      <c r="A300" s="574" t="s">
        <v>967</v>
      </c>
      <c r="B300" s="578"/>
      <c r="C300" s="578"/>
    </row>
    <row r="301" spans="1:3">
      <c r="A301" s="576" t="s">
        <v>371</v>
      </c>
      <c r="B301" s="577" t="s">
        <v>671</v>
      </c>
      <c r="C301" s="575">
        <v>73619</v>
      </c>
    </row>
    <row r="302" spans="1:3" ht="31.5">
      <c r="A302" s="576" t="s">
        <v>642</v>
      </c>
      <c r="B302" s="577" t="s">
        <v>677</v>
      </c>
      <c r="C302" s="575">
        <v>73619</v>
      </c>
    </row>
    <row r="303" spans="1:3">
      <c r="A303" s="574" t="s">
        <v>866</v>
      </c>
      <c r="B303" s="578"/>
      <c r="C303" s="575">
        <v>73619</v>
      </c>
    </row>
    <row r="304" spans="1:3">
      <c r="A304" s="576"/>
      <c r="B304" s="577"/>
      <c r="C304" s="575"/>
    </row>
    <row r="305" spans="1:3">
      <c r="A305" s="574" t="s">
        <v>966</v>
      </c>
      <c r="B305" s="574"/>
      <c r="C305" s="575">
        <v>73619</v>
      </c>
    </row>
    <row r="306" spans="1:3">
      <c r="A306" s="576"/>
      <c r="B306" s="573"/>
      <c r="C306" s="575"/>
    </row>
    <row r="307" spans="1:3">
      <c r="A307" s="574" t="s">
        <v>1070</v>
      </c>
      <c r="B307" s="574"/>
      <c r="C307" s="575">
        <v>46743507</v>
      </c>
    </row>
    <row r="308" spans="1:3">
      <c r="A308" s="574" t="s">
        <v>1056</v>
      </c>
      <c r="B308" s="578"/>
      <c r="C308" s="578"/>
    </row>
    <row r="309" spans="1:3">
      <c r="A309" s="574" t="s">
        <v>876</v>
      </c>
      <c r="B309" s="578"/>
      <c r="C309" s="578"/>
    </row>
    <row r="310" spans="1:3">
      <c r="A310" s="574" t="s">
        <v>705</v>
      </c>
      <c r="B310" s="578"/>
      <c r="C310" s="578"/>
    </row>
    <row r="311" spans="1:3" ht="31.5">
      <c r="A311" s="576" t="s">
        <v>345</v>
      </c>
      <c r="B311" s="577" t="s">
        <v>3</v>
      </c>
      <c r="C311" s="575">
        <v>2426566</v>
      </c>
    </row>
    <row r="312" spans="1:3" ht="31.5">
      <c r="A312" s="576" t="s">
        <v>707</v>
      </c>
      <c r="B312" s="577" t="s">
        <v>706</v>
      </c>
      <c r="C312" s="575">
        <v>2426566</v>
      </c>
    </row>
    <row r="313" spans="1:3">
      <c r="A313" s="576" t="s">
        <v>351</v>
      </c>
      <c r="B313" s="577" t="s">
        <v>668</v>
      </c>
      <c r="C313" s="575">
        <v>169529</v>
      </c>
    </row>
    <row r="314" spans="1:3" ht="31.5">
      <c r="A314" s="576" t="s">
        <v>1063</v>
      </c>
      <c r="B314" s="577" t="s">
        <v>1062</v>
      </c>
      <c r="C314" s="575">
        <v>69542</v>
      </c>
    </row>
    <row r="315" spans="1:3">
      <c r="A315" s="576" t="s">
        <v>709</v>
      </c>
      <c r="B315" s="577" t="s">
        <v>708</v>
      </c>
      <c r="C315" s="575">
        <v>99987</v>
      </c>
    </row>
    <row r="316" spans="1:3">
      <c r="A316" s="576" t="s">
        <v>361</v>
      </c>
      <c r="B316" s="577" t="s">
        <v>712</v>
      </c>
      <c r="C316" s="575">
        <v>443606</v>
      </c>
    </row>
    <row r="317" spans="1:3" ht="31.5">
      <c r="A317" s="576" t="s">
        <v>714</v>
      </c>
      <c r="B317" s="577" t="s">
        <v>713</v>
      </c>
      <c r="C317" s="575">
        <v>266629</v>
      </c>
    </row>
    <row r="318" spans="1:3" ht="31.5">
      <c r="A318" s="576" t="s">
        <v>980</v>
      </c>
      <c r="B318" s="577" t="s">
        <v>979</v>
      </c>
      <c r="C318" s="575">
        <v>2590</v>
      </c>
    </row>
    <row r="319" spans="1:3">
      <c r="A319" s="576" t="s">
        <v>716</v>
      </c>
      <c r="B319" s="577" t="s">
        <v>715</v>
      </c>
      <c r="C319" s="575">
        <v>110139</v>
      </c>
    </row>
    <row r="320" spans="1:3">
      <c r="A320" s="576" t="s">
        <v>718</v>
      </c>
      <c r="B320" s="577" t="s">
        <v>717</v>
      </c>
      <c r="C320" s="575">
        <v>64248</v>
      </c>
    </row>
    <row r="321" spans="1:3">
      <c r="A321" s="576" t="s">
        <v>371</v>
      </c>
      <c r="B321" s="577" t="s">
        <v>671</v>
      </c>
      <c r="C321" s="575">
        <v>1072514</v>
      </c>
    </row>
    <row r="322" spans="1:3">
      <c r="A322" s="576" t="s">
        <v>732</v>
      </c>
      <c r="B322" s="577" t="s">
        <v>731</v>
      </c>
      <c r="C322" s="575">
        <v>113279</v>
      </c>
    </row>
    <row r="323" spans="1:3">
      <c r="A323" s="576" t="s">
        <v>734</v>
      </c>
      <c r="B323" s="577" t="s">
        <v>733</v>
      </c>
      <c r="C323" s="575">
        <v>1000</v>
      </c>
    </row>
    <row r="324" spans="1:3">
      <c r="A324" s="576" t="s">
        <v>724</v>
      </c>
      <c r="B324" s="577" t="s">
        <v>723</v>
      </c>
      <c r="C324" s="575">
        <v>61004</v>
      </c>
    </row>
    <row r="325" spans="1:3">
      <c r="A325" s="576" t="s">
        <v>638</v>
      </c>
      <c r="B325" s="577" t="s">
        <v>672</v>
      </c>
      <c r="C325" s="575">
        <v>54546</v>
      </c>
    </row>
    <row r="326" spans="1:3">
      <c r="A326" s="576" t="s">
        <v>639</v>
      </c>
      <c r="B326" s="577" t="s">
        <v>725</v>
      </c>
      <c r="C326" s="575">
        <v>180378</v>
      </c>
    </row>
    <row r="327" spans="1:3">
      <c r="A327" s="576" t="s">
        <v>685</v>
      </c>
      <c r="B327" s="577" t="s">
        <v>684</v>
      </c>
      <c r="C327" s="575">
        <v>656750</v>
      </c>
    </row>
    <row r="328" spans="1:3">
      <c r="A328" s="576" t="s">
        <v>674</v>
      </c>
      <c r="B328" s="577" t="s">
        <v>673</v>
      </c>
      <c r="C328" s="575">
        <v>160</v>
      </c>
    </row>
    <row r="329" spans="1:3">
      <c r="A329" s="576" t="s">
        <v>694</v>
      </c>
      <c r="B329" s="577" t="s">
        <v>693</v>
      </c>
      <c r="C329" s="575">
        <v>5237</v>
      </c>
    </row>
    <row r="330" spans="1:3" ht="31.5">
      <c r="A330" s="576" t="s">
        <v>641</v>
      </c>
      <c r="B330" s="577" t="s">
        <v>1162</v>
      </c>
      <c r="C330" s="575">
        <v>160</v>
      </c>
    </row>
    <row r="331" spans="1:3">
      <c r="A331" s="576" t="s">
        <v>248</v>
      </c>
      <c r="B331" s="577" t="s">
        <v>735</v>
      </c>
      <c r="C331" s="575">
        <v>3177</v>
      </c>
    </row>
    <row r="332" spans="1:3" ht="31.5">
      <c r="A332" s="576" t="s">
        <v>242</v>
      </c>
      <c r="B332" s="577" t="s">
        <v>736</v>
      </c>
      <c r="C332" s="575">
        <v>194</v>
      </c>
    </row>
    <row r="333" spans="1:3" ht="31.5">
      <c r="A333" s="576" t="s">
        <v>243</v>
      </c>
      <c r="B333" s="577" t="s">
        <v>750</v>
      </c>
      <c r="C333" s="575">
        <v>2983</v>
      </c>
    </row>
    <row r="334" spans="1:3">
      <c r="A334" s="574" t="s">
        <v>866</v>
      </c>
      <c r="B334" s="578"/>
      <c r="C334" s="575">
        <v>4115392</v>
      </c>
    </row>
    <row r="335" spans="1:3">
      <c r="A335" s="576"/>
      <c r="B335" s="577"/>
      <c r="C335" s="575"/>
    </row>
    <row r="336" spans="1:3">
      <c r="A336" s="576" t="s">
        <v>647</v>
      </c>
      <c r="B336" s="577" t="s">
        <v>688</v>
      </c>
      <c r="C336" s="575">
        <v>255422</v>
      </c>
    </row>
    <row r="337" spans="1:3">
      <c r="A337" s="576" t="s">
        <v>648</v>
      </c>
      <c r="B337" s="577" t="s">
        <v>689</v>
      </c>
      <c r="C337" s="575">
        <v>100094</v>
      </c>
    </row>
    <row r="338" spans="1:3">
      <c r="A338" s="576" t="s">
        <v>240</v>
      </c>
      <c r="B338" s="577" t="s">
        <v>721</v>
      </c>
      <c r="C338" s="575">
        <v>10201</v>
      </c>
    </row>
    <row r="339" spans="1:3">
      <c r="A339" s="576" t="s">
        <v>245</v>
      </c>
      <c r="B339" s="577" t="s">
        <v>719</v>
      </c>
      <c r="C339" s="575">
        <v>23442</v>
      </c>
    </row>
    <row r="340" spans="1:3">
      <c r="A340" s="576" t="s">
        <v>941</v>
      </c>
      <c r="B340" s="577" t="s">
        <v>940</v>
      </c>
      <c r="C340" s="575">
        <v>66451</v>
      </c>
    </row>
    <row r="341" spans="1:3">
      <c r="A341" s="574" t="s">
        <v>862</v>
      </c>
      <c r="B341" s="578"/>
      <c r="C341" s="575">
        <v>355516</v>
      </c>
    </row>
    <row r="342" spans="1:3">
      <c r="A342" s="576"/>
      <c r="B342" s="577"/>
      <c r="C342" s="575"/>
    </row>
    <row r="343" spans="1:3" ht="31.5">
      <c r="A343" s="574" t="s">
        <v>963</v>
      </c>
      <c r="B343" s="574"/>
      <c r="C343" s="575">
        <v>4470908</v>
      </c>
    </row>
    <row r="344" spans="1:3">
      <c r="A344" s="576"/>
      <c r="B344" s="573"/>
      <c r="C344" s="575"/>
    </row>
    <row r="345" spans="1:3">
      <c r="A345" s="574" t="s">
        <v>720</v>
      </c>
      <c r="B345" s="578"/>
      <c r="C345" s="578"/>
    </row>
    <row r="346" spans="1:3" ht="31.5">
      <c r="A346" s="576" t="s">
        <v>345</v>
      </c>
      <c r="B346" s="577" t="s">
        <v>3</v>
      </c>
      <c r="C346" s="575">
        <v>931476</v>
      </c>
    </row>
    <row r="347" spans="1:3" ht="31.5">
      <c r="A347" s="576" t="s">
        <v>707</v>
      </c>
      <c r="B347" s="577" t="s">
        <v>706</v>
      </c>
      <c r="C347" s="575">
        <v>931476</v>
      </c>
    </row>
    <row r="348" spans="1:3">
      <c r="A348" s="576" t="s">
        <v>351</v>
      </c>
      <c r="B348" s="577" t="s">
        <v>668</v>
      </c>
      <c r="C348" s="575">
        <v>87424</v>
      </c>
    </row>
    <row r="349" spans="1:3" ht="31.5">
      <c r="A349" s="576" t="s">
        <v>1063</v>
      </c>
      <c r="B349" s="577" t="s">
        <v>1062</v>
      </c>
      <c r="C349" s="575">
        <v>27944</v>
      </c>
    </row>
    <row r="350" spans="1:3">
      <c r="A350" s="576" t="s">
        <v>709</v>
      </c>
      <c r="B350" s="577" t="s">
        <v>708</v>
      </c>
      <c r="C350" s="575">
        <v>59480</v>
      </c>
    </row>
    <row r="351" spans="1:3">
      <c r="A351" s="576" t="s">
        <v>361</v>
      </c>
      <c r="B351" s="577" t="s">
        <v>712</v>
      </c>
      <c r="C351" s="575">
        <v>179030</v>
      </c>
    </row>
    <row r="352" spans="1:3" ht="31.5">
      <c r="A352" s="576" t="s">
        <v>714</v>
      </c>
      <c r="B352" s="577" t="s">
        <v>713</v>
      </c>
      <c r="C352" s="575">
        <v>108238</v>
      </c>
    </row>
    <row r="353" spans="1:3">
      <c r="A353" s="576" t="s">
        <v>716</v>
      </c>
      <c r="B353" s="577" t="s">
        <v>715</v>
      </c>
      <c r="C353" s="575">
        <v>44711</v>
      </c>
    </row>
    <row r="354" spans="1:3">
      <c r="A354" s="576" t="s">
        <v>718</v>
      </c>
      <c r="B354" s="577" t="s">
        <v>717</v>
      </c>
      <c r="C354" s="575">
        <v>26081</v>
      </c>
    </row>
    <row r="355" spans="1:3">
      <c r="A355" s="576" t="s">
        <v>371</v>
      </c>
      <c r="B355" s="577" t="s">
        <v>671</v>
      </c>
      <c r="C355" s="575">
        <v>57570</v>
      </c>
    </row>
    <row r="356" spans="1:3">
      <c r="A356" s="576" t="s">
        <v>734</v>
      </c>
      <c r="B356" s="577" t="s">
        <v>733</v>
      </c>
      <c r="C356" s="575">
        <v>9000</v>
      </c>
    </row>
    <row r="357" spans="1:3">
      <c r="A357" s="576" t="s">
        <v>724</v>
      </c>
      <c r="B357" s="577" t="s">
        <v>723</v>
      </c>
      <c r="C357" s="575">
        <v>18660</v>
      </c>
    </row>
    <row r="358" spans="1:3">
      <c r="A358" s="576" t="s">
        <v>638</v>
      </c>
      <c r="B358" s="577" t="s">
        <v>672</v>
      </c>
      <c r="C358" s="575">
        <v>14710</v>
      </c>
    </row>
    <row r="359" spans="1:3">
      <c r="A359" s="576" t="s">
        <v>685</v>
      </c>
      <c r="B359" s="577" t="s">
        <v>684</v>
      </c>
      <c r="C359" s="575">
        <v>15000</v>
      </c>
    </row>
    <row r="360" spans="1:3">
      <c r="A360" s="576" t="s">
        <v>674</v>
      </c>
      <c r="B360" s="577" t="s">
        <v>673</v>
      </c>
      <c r="C360" s="575">
        <v>200</v>
      </c>
    </row>
    <row r="361" spans="1:3">
      <c r="A361" s="574" t="s">
        <v>866</v>
      </c>
      <c r="B361" s="578"/>
      <c r="C361" s="575">
        <v>1255500</v>
      </c>
    </row>
    <row r="362" spans="1:3">
      <c r="A362" s="576"/>
      <c r="B362" s="577"/>
      <c r="C362" s="575"/>
    </row>
    <row r="363" spans="1:3">
      <c r="A363" s="574" t="s">
        <v>1220</v>
      </c>
      <c r="B363" s="574"/>
      <c r="C363" s="575">
        <v>1255500</v>
      </c>
    </row>
    <row r="364" spans="1:3">
      <c r="A364" s="576"/>
      <c r="B364" s="573"/>
      <c r="C364" s="575"/>
    </row>
    <row r="365" spans="1:3">
      <c r="A365" s="574" t="s">
        <v>722</v>
      </c>
      <c r="B365" s="578"/>
      <c r="C365" s="578"/>
    </row>
    <row r="366" spans="1:3" ht="31.5">
      <c r="A366" s="576" t="s">
        <v>345</v>
      </c>
      <c r="B366" s="577" t="s">
        <v>3</v>
      </c>
      <c r="C366" s="575">
        <v>119513</v>
      </c>
    </row>
    <row r="367" spans="1:3" ht="31.5">
      <c r="A367" s="576" t="s">
        <v>707</v>
      </c>
      <c r="B367" s="577" t="s">
        <v>706</v>
      </c>
      <c r="C367" s="575">
        <v>119513</v>
      </c>
    </row>
    <row r="368" spans="1:3">
      <c r="A368" s="576" t="s">
        <v>351</v>
      </c>
      <c r="B368" s="577" t="s">
        <v>668</v>
      </c>
      <c r="C368" s="575">
        <v>3416</v>
      </c>
    </row>
    <row r="369" spans="1:3" ht="31.5">
      <c r="A369" s="576" t="s">
        <v>1063</v>
      </c>
      <c r="B369" s="577" t="s">
        <v>1062</v>
      </c>
      <c r="C369" s="575">
        <v>3416</v>
      </c>
    </row>
    <row r="370" spans="1:3">
      <c r="A370" s="576" t="s">
        <v>361</v>
      </c>
      <c r="B370" s="577" t="s">
        <v>712</v>
      </c>
      <c r="C370" s="575">
        <v>21674</v>
      </c>
    </row>
    <row r="371" spans="1:3" ht="31.5">
      <c r="A371" s="576" t="s">
        <v>714</v>
      </c>
      <c r="B371" s="577" t="s">
        <v>713</v>
      </c>
      <c r="C371" s="575">
        <v>13103</v>
      </c>
    </row>
    <row r="372" spans="1:3">
      <c r="A372" s="576" t="s">
        <v>716</v>
      </c>
      <c r="B372" s="577" t="s">
        <v>715</v>
      </c>
      <c r="C372" s="575">
        <v>5413</v>
      </c>
    </row>
    <row r="373" spans="1:3">
      <c r="A373" s="576" t="s">
        <v>718</v>
      </c>
      <c r="B373" s="577" t="s">
        <v>717</v>
      </c>
      <c r="C373" s="575">
        <v>3158</v>
      </c>
    </row>
    <row r="374" spans="1:3">
      <c r="A374" s="576" t="s">
        <v>371</v>
      </c>
      <c r="B374" s="577" t="s">
        <v>671</v>
      </c>
      <c r="C374" s="575">
        <v>40164</v>
      </c>
    </row>
    <row r="375" spans="1:3">
      <c r="A375" s="576" t="s">
        <v>724</v>
      </c>
      <c r="B375" s="577" t="s">
        <v>723</v>
      </c>
      <c r="C375" s="575">
        <v>880</v>
      </c>
    </row>
    <row r="376" spans="1:3">
      <c r="A376" s="576" t="s">
        <v>638</v>
      </c>
      <c r="B376" s="577" t="s">
        <v>672</v>
      </c>
      <c r="C376" s="575">
        <v>7019</v>
      </c>
    </row>
    <row r="377" spans="1:3">
      <c r="A377" s="576" t="s">
        <v>639</v>
      </c>
      <c r="B377" s="577" t="s">
        <v>725</v>
      </c>
      <c r="C377" s="575">
        <v>3000</v>
      </c>
    </row>
    <row r="378" spans="1:3">
      <c r="A378" s="576" t="s">
        <v>685</v>
      </c>
      <c r="B378" s="577" t="s">
        <v>684</v>
      </c>
      <c r="C378" s="575">
        <v>6958</v>
      </c>
    </row>
    <row r="379" spans="1:3">
      <c r="A379" s="576" t="s">
        <v>674</v>
      </c>
      <c r="B379" s="577" t="s">
        <v>673</v>
      </c>
      <c r="C379" s="575">
        <v>50</v>
      </c>
    </row>
    <row r="380" spans="1:3" ht="31.5">
      <c r="A380" s="576" t="s">
        <v>642</v>
      </c>
      <c r="B380" s="577" t="s">
        <v>677</v>
      </c>
      <c r="C380" s="575">
        <v>22257</v>
      </c>
    </row>
    <row r="381" spans="1:3">
      <c r="A381" s="574" t="s">
        <v>866</v>
      </c>
      <c r="B381" s="578"/>
      <c r="C381" s="575">
        <v>184767</v>
      </c>
    </row>
    <row r="382" spans="1:3">
      <c r="A382" s="576"/>
      <c r="B382" s="577"/>
      <c r="C382" s="575"/>
    </row>
    <row r="383" spans="1:3">
      <c r="A383" s="576" t="s">
        <v>647</v>
      </c>
      <c r="B383" s="577" t="s">
        <v>688</v>
      </c>
      <c r="C383" s="575">
        <v>170901</v>
      </c>
    </row>
    <row r="384" spans="1:3">
      <c r="A384" s="576" t="s">
        <v>648</v>
      </c>
      <c r="B384" s="577" t="s">
        <v>689</v>
      </c>
      <c r="C384" s="575">
        <v>3138</v>
      </c>
    </row>
    <row r="385" spans="1:3">
      <c r="A385" s="576" t="s">
        <v>240</v>
      </c>
      <c r="B385" s="577" t="s">
        <v>721</v>
      </c>
      <c r="C385" s="575">
        <v>3138</v>
      </c>
    </row>
    <row r="386" spans="1:3">
      <c r="A386" s="574" t="s">
        <v>862</v>
      </c>
      <c r="B386" s="578"/>
      <c r="C386" s="575">
        <v>174039</v>
      </c>
    </row>
    <row r="387" spans="1:3">
      <c r="A387" s="576"/>
      <c r="B387" s="577"/>
      <c r="C387" s="575"/>
    </row>
    <row r="388" spans="1:3">
      <c r="A388" s="574" t="s">
        <v>962</v>
      </c>
      <c r="B388" s="574"/>
      <c r="C388" s="575">
        <v>358806</v>
      </c>
    </row>
    <row r="389" spans="1:3">
      <c r="A389" s="576"/>
      <c r="B389" s="573"/>
      <c r="C389" s="575"/>
    </row>
    <row r="390" spans="1:3">
      <c r="A390" s="574" t="s">
        <v>1082</v>
      </c>
      <c r="B390" s="574"/>
      <c r="C390" s="575">
        <v>6085214</v>
      </c>
    </row>
    <row r="391" spans="1:3">
      <c r="A391" s="576"/>
      <c r="B391" s="573"/>
      <c r="C391" s="575"/>
    </row>
    <row r="392" spans="1:3">
      <c r="A392" s="574" t="s">
        <v>726</v>
      </c>
      <c r="B392" s="578"/>
      <c r="C392" s="578"/>
    </row>
    <row r="393" spans="1:3" ht="31.5">
      <c r="A393" s="574" t="s">
        <v>1221</v>
      </c>
      <c r="B393" s="578"/>
      <c r="C393" s="578"/>
    </row>
    <row r="394" spans="1:3">
      <c r="A394" s="574" t="s">
        <v>985</v>
      </c>
      <c r="B394" s="578"/>
      <c r="C394" s="578"/>
    </row>
    <row r="395" spans="1:3">
      <c r="A395" s="576" t="s">
        <v>371</v>
      </c>
      <c r="B395" s="577" t="s">
        <v>671</v>
      </c>
      <c r="C395" s="575">
        <v>605274</v>
      </c>
    </row>
    <row r="396" spans="1:3">
      <c r="A396" s="576" t="s">
        <v>685</v>
      </c>
      <c r="B396" s="577" t="s">
        <v>684</v>
      </c>
      <c r="C396" s="575">
        <v>605274</v>
      </c>
    </row>
    <row r="397" spans="1:3">
      <c r="A397" s="574" t="s">
        <v>866</v>
      </c>
      <c r="B397" s="578"/>
      <c r="C397" s="575">
        <v>605274</v>
      </c>
    </row>
    <row r="398" spans="1:3">
      <c r="A398" s="574" t="s">
        <v>1222</v>
      </c>
      <c r="B398" s="574"/>
      <c r="C398" s="575">
        <v>605274</v>
      </c>
    </row>
    <row r="399" spans="1:3">
      <c r="A399" s="574" t="s">
        <v>727</v>
      </c>
      <c r="B399" s="578"/>
      <c r="C399" s="578"/>
    </row>
    <row r="400" spans="1:3" ht="31.5">
      <c r="A400" s="576" t="s">
        <v>345</v>
      </c>
      <c r="B400" s="577" t="s">
        <v>3</v>
      </c>
      <c r="C400" s="575">
        <v>430804</v>
      </c>
    </row>
    <row r="401" spans="1:3" ht="31.5">
      <c r="A401" s="576" t="s">
        <v>707</v>
      </c>
      <c r="B401" s="577" t="s">
        <v>706</v>
      </c>
      <c r="C401" s="575">
        <v>430804</v>
      </c>
    </row>
    <row r="402" spans="1:3">
      <c r="A402" s="576" t="s">
        <v>351</v>
      </c>
      <c r="B402" s="577" t="s">
        <v>668</v>
      </c>
      <c r="C402" s="575">
        <v>13284</v>
      </c>
    </row>
    <row r="403" spans="1:3">
      <c r="A403" s="576" t="s">
        <v>670</v>
      </c>
      <c r="B403" s="577" t="s">
        <v>669</v>
      </c>
      <c r="C403" s="575">
        <v>720</v>
      </c>
    </row>
    <row r="404" spans="1:3" ht="31.5">
      <c r="A404" s="576" t="s">
        <v>1063</v>
      </c>
      <c r="B404" s="577" t="s">
        <v>1062</v>
      </c>
      <c r="C404" s="575">
        <v>12564</v>
      </c>
    </row>
    <row r="405" spans="1:3">
      <c r="A405" s="576" t="s">
        <v>361</v>
      </c>
      <c r="B405" s="577" t="s">
        <v>712</v>
      </c>
      <c r="C405" s="575">
        <v>84917</v>
      </c>
    </row>
    <row r="406" spans="1:3" ht="31.5">
      <c r="A406" s="576" t="s">
        <v>714</v>
      </c>
      <c r="B406" s="577" t="s">
        <v>713</v>
      </c>
      <c r="C406" s="575">
        <v>51167</v>
      </c>
    </row>
    <row r="407" spans="1:3">
      <c r="A407" s="576" t="s">
        <v>716</v>
      </c>
      <c r="B407" s="577" t="s">
        <v>715</v>
      </c>
      <c r="C407" s="575">
        <v>21316</v>
      </c>
    </row>
    <row r="408" spans="1:3">
      <c r="A408" s="576" t="s">
        <v>718</v>
      </c>
      <c r="B408" s="577" t="s">
        <v>717</v>
      </c>
      <c r="C408" s="575">
        <v>12434</v>
      </c>
    </row>
    <row r="409" spans="1:3">
      <c r="A409" s="576" t="s">
        <v>371</v>
      </c>
      <c r="B409" s="577" t="s">
        <v>671</v>
      </c>
      <c r="C409" s="575">
        <v>239123</v>
      </c>
    </row>
    <row r="410" spans="1:3">
      <c r="A410" s="576" t="s">
        <v>732</v>
      </c>
      <c r="B410" s="577" t="s">
        <v>731</v>
      </c>
      <c r="C410" s="575">
        <v>25595</v>
      </c>
    </row>
    <row r="411" spans="1:3">
      <c r="A411" s="576" t="s">
        <v>734</v>
      </c>
      <c r="B411" s="577" t="s">
        <v>733</v>
      </c>
      <c r="C411" s="575">
        <v>1090</v>
      </c>
    </row>
    <row r="412" spans="1:3">
      <c r="A412" s="576" t="s">
        <v>724</v>
      </c>
      <c r="B412" s="577" t="s">
        <v>723</v>
      </c>
      <c r="C412" s="575">
        <v>1010</v>
      </c>
    </row>
    <row r="413" spans="1:3">
      <c r="A413" s="576" t="s">
        <v>965</v>
      </c>
      <c r="B413" s="577" t="s">
        <v>964</v>
      </c>
      <c r="C413" s="575">
        <v>400</v>
      </c>
    </row>
    <row r="414" spans="1:3">
      <c r="A414" s="576" t="s">
        <v>638</v>
      </c>
      <c r="B414" s="577" t="s">
        <v>672</v>
      </c>
      <c r="C414" s="575">
        <v>24578</v>
      </c>
    </row>
    <row r="415" spans="1:3">
      <c r="A415" s="576" t="s">
        <v>639</v>
      </c>
      <c r="B415" s="577" t="s">
        <v>725</v>
      </c>
      <c r="C415" s="575">
        <v>58702</v>
      </c>
    </row>
    <row r="416" spans="1:3">
      <c r="A416" s="576" t="s">
        <v>685</v>
      </c>
      <c r="B416" s="577" t="s">
        <v>684</v>
      </c>
      <c r="C416" s="575">
        <v>124172</v>
      </c>
    </row>
    <row r="417" spans="1:3">
      <c r="A417" s="576" t="s">
        <v>674</v>
      </c>
      <c r="B417" s="577" t="s">
        <v>673</v>
      </c>
      <c r="C417" s="575">
        <v>640</v>
      </c>
    </row>
    <row r="418" spans="1:3">
      <c r="A418" s="576" t="s">
        <v>694</v>
      </c>
      <c r="B418" s="577" t="s">
        <v>693</v>
      </c>
      <c r="C418" s="575">
        <v>2700</v>
      </c>
    </row>
    <row r="419" spans="1:3" ht="31.5">
      <c r="A419" s="576" t="s">
        <v>642</v>
      </c>
      <c r="B419" s="577" t="s">
        <v>677</v>
      </c>
      <c r="C419" s="575">
        <v>236</v>
      </c>
    </row>
    <row r="420" spans="1:3">
      <c r="A420" s="576" t="s">
        <v>248</v>
      </c>
      <c r="B420" s="577" t="s">
        <v>735</v>
      </c>
      <c r="C420" s="575">
        <v>1428</v>
      </c>
    </row>
    <row r="421" spans="1:3" ht="31.5">
      <c r="A421" s="576" t="s">
        <v>242</v>
      </c>
      <c r="B421" s="577" t="s">
        <v>736</v>
      </c>
      <c r="C421" s="575">
        <v>300</v>
      </c>
    </row>
    <row r="422" spans="1:3" ht="31.5">
      <c r="A422" s="576" t="s">
        <v>243</v>
      </c>
      <c r="B422" s="577" t="s">
        <v>750</v>
      </c>
      <c r="C422" s="575">
        <v>1128</v>
      </c>
    </row>
    <row r="423" spans="1:3">
      <c r="A423" s="576" t="s">
        <v>249</v>
      </c>
      <c r="B423" s="577" t="s">
        <v>728</v>
      </c>
      <c r="C423" s="575">
        <v>29051</v>
      </c>
    </row>
    <row r="424" spans="1:3">
      <c r="A424" s="576" t="s">
        <v>244</v>
      </c>
      <c r="B424" s="577" t="s">
        <v>729</v>
      </c>
      <c r="C424" s="575">
        <v>29051</v>
      </c>
    </row>
    <row r="425" spans="1:3">
      <c r="A425" s="574" t="s">
        <v>866</v>
      </c>
      <c r="B425" s="578"/>
      <c r="C425" s="575">
        <v>798607</v>
      </c>
    </row>
    <row r="426" spans="1:3">
      <c r="A426" s="576"/>
      <c r="B426" s="577"/>
      <c r="C426" s="575"/>
    </row>
    <row r="427" spans="1:3">
      <c r="A427" s="574" t="s">
        <v>874</v>
      </c>
      <c r="B427" s="574"/>
      <c r="C427" s="575">
        <v>798607</v>
      </c>
    </row>
    <row r="428" spans="1:3">
      <c r="A428" s="576"/>
      <c r="B428" s="573"/>
      <c r="C428" s="575"/>
    </row>
    <row r="429" spans="1:3">
      <c r="A429" s="574" t="s">
        <v>730</v>
      </c>
      <c r="B429" s="578"/>
      <c r="C429" s="578"/>
    </row>
    <row r="430" spans="1:3" ht="31.5">
      <c r="A430" s="576" t="s">
        <v>345</v>
      </c>
      <c r="B430" s="577" t="s">
        <v>3</v>
      </c>
      <c r="C430" s="575">
        <v>1224194</v>
      </c>
    </row>
    <row r="431" spans="1:3" ht="31.5">
      <c r="A431" s="576" t="s">
        <v>707</v>
      </c>
      <c r="B431" s="577" t="s">
        <v>706</v>
      </c>
      <c r="C431" s="575">
        <v>1224194</v>
      </c>
    </row>
    <row r="432" spans="1:3">
      <c r="A432" s="576" t="s">
        <v>351</v>
      </c>
      <c r="B432" s="577" t="s">
        <v>668</v>
      </c>
      <c r="C432" s="575">
        <v>71537</v>
      </c>
    </row>
    <row r="433" spans="1:3">
      <c r="A433" s="576" t="s">
        <v>670</v>
      </c>
      <c r="B433" s="577" t="s">
        <v>669</v>
      </c>
      <c r="C433" s="575">
        <v>13360</v>
      </c>
    </row>
    <row r="434" spans="1:3" ht="31.5">
      <c r="A434" s="576" t="s">
        <v>1063</v>
      </c>
      <c r="B434" s="577" t="s">
        <v>1062</v>
      </c>
      <c r="C434" s="575">
        <v>36726</v>
      </c>
    </row>
    <row r="435" spans="1:3">
      <c r="A435" s="576" t="s">
        <v>709</v>
      </c>
      <c r="B435" s="577" t="s">
        <v>708</v>
      </c>
      <c r="C435" s="575">
        <v>21451</v>
      </c>
    </row>
    <row r="436" spans="1:3">
      <c r="A436" s="576" t="s">
        <v>361</v>
      </c>
      <c r="B436" s="577" t="s">
        <v>712</v>
      </c>
      <c r="C436" s="575">
        <v>229738</v>
      </c>
    </row>
    <row r="437" spans="1:3" ht="31.5">
      <c r="A437" s="576" t="s">
        <v>714</v>
      </c>
      <c r="B437" s="577" t="s">
        <v>713</v>
      </c>
      <c r="C437" s="575">
        <v>126246</v>
      </c>
    </row>
    <row r="438" spans="1:3" ht="31.5">
      <c r="A438" s="576" t="s">
        <v>980</v>
      </c>
      <c r="B438" s="577" t="s">
        <v>979</v>
      </c>
      <c r="C438" s="575">
        <v>6280</v>
      </c>
    </row>
    <row r="439" spans="1:3">
      <c r="A439" s="576" t="s">
        <v>716</v>
      </c>
      <c r="B439" s="577" t="s">
        <v>715</v>
      </c>
      <c r="C439" s="575">
        <v>61397</v>
      </c>
    </row>
    <row r="440" spans="1:3">
      <c r="A440" s="576" t="s">
        <v>718</v>
      </c>
      <c r="B440" s="577" t="s">
        <v>717</v>
      </c>
      <c r="C440" s="575">
        <v>35815</v>
      </c>
    </row>
    <row r="441" spans="1:3">
      <c r="A441" s="576" t="s">
        <v>371</v>
      </c>
      <c r="B441" s="577" t="s">
        <v>671</v>
      </c>
      <c r="C441" s="575">
        <v>1146650</v>
      </c>
    </row>
    <row r="442" spans="1:3">
      <c r="A442" s="576" t="s">
        <v>732</v>
      </c>
      <c r="B442" s="577" t="s">
        <v>731</v>
      </c>
      <c r="C442" s="575">
        <v>126274</v>
      </c>
    </row>
    <row r="443" spans="1:3">
      <c r="A443" s="576" t="s">
        <v>734</v>
      </c>
      <c r="B443" s="577" t="s">
        <v>733</v>
      </c>
      <c r="C443" s="575">
        <v>6582</v>
      </c>
    </row>
    <row r="444" spans="1:3">
      <c r="A444" s="576" t="s">
        <v>724</v>
      </c>
      <c r="B444" s="577" t="s">
        <v>723</v>
      </c>
      <c r="C444" s="575">
        <v>21000</v>
      </c>
    </row>
    <row r="445" spans="1:3">
      <c r="A445" s="576" t="s">
        <v>965</v>
      </c>
      <c r="B445" s="577" t="s">
        <v>964</v>
      </c>
      <c r="C445" s="575">
        <v>1700</v>
      </c>
    </row>
    <row r="446" spans="1:3">
      <c r="A446" s="576" t="s">
        <v>638</v>
      </c>
      <c r="B446" s="577" t="s">
        <v>672</v>
      </c>
      <c r="C446" s="575">
        <v>76474</v>
      </c>
    </row>
    <row r="447" spans="1:3">
      <c r="A447" s="576" t="s">
        <v>639</v>
      </c>
      <c r="B447" s="577" t="s">
        <v>725</v>
      </c>
      <c r="C447" s="575">
        <v>270596</v>
      </c>
    </row>
    <row r="448" spans="1:3">
      <c r="A448" s="576" t="s">
        <v>685</v>
      </c>
      <c r="B448" s="577" t="s">
        <v>684</v>
      </c>
      <c r="C448" s="575">
        <v>636744</v>
      </c>
    </row>
    <row r="449" spans="1:3">
      <c r="A449" s="576" t="s">
        <v>674</v>
      </c>
      <c r="B449" s="577" t="s">
        <v>673</v>
      </c>
      <c r="C449" s="575">
        <v>2890</v>
      </c>
    </row>
    <row r="450" spans="1:3">
      <c r="A450" s="576" t="s">
        <v>694</v>
      </c>
      <c r="B450" s="577" t="s">
        <v>693</v>
      </c>
      <c r="C450" s="575">
        <v>4340</v>
      </c>
    </row>
    <row r="451" spans="1:3" ht="31.5">
      <c r="A451" s="576" t="s">
        <v>641</v>
      </c>
      <c r="B451" s="577" t="s">
        <v>1162</v>
      </c>
      <c r="C451" s="575">
        <v>50</v>
      </c>
    </row>
    <row r="452" spans="1:3">
      <c r="A452" s="576" t="s">
        <v>248</v>
      </c>
      <c r="B452" s="577" t="s">
        <v>735</v>
      </c>
      <c r="C452" s="575">
        <v>12526</v>
      </c>
    </row>
    <row r="453" spans="1:3" ht="31.5">
      <c r="A453" s="576" t="s">
        <v>242</v>
      </c>
      <c r="B453" s="577" t="s">
        <v>736</v>
      </c>
      <c r="C453" s="575">
        <v>900</v>
      </c>
    </row>
    <row r="454" spans="1:3" ht="31.5">
      <c r="A454" s="576" t="s">
        <v>243</v>
      </c>
      <c r="B454" s="577" t="s">
        <v>750</v>
      </c>
      <c r="C454" s="575">
        <v>11626</v>
      </c>
    </row>
    <row r="455" spans="1:3">
      <c r="A455" s="576" t="s">
        <v>249</v>
      </c>
      <c r="B455" s="577" t="s">
        <v>728</v>
      </c>
      <c r="C455" s="575">
        <v>98967</v>
      </c>
    </row>
    <row r="456" spans="1:3">
      <c r="A456" s="576" t="s">
        <v>244</v>
      </c>
      <c r="B456" s="577" t="s">
        <v>729</v>
      </c>
      <c r="C456" s="575">
        <v>98967</v>
      </c>
    </row>
    <row r="457" spans="1:3">
      <c r="A457" s="574" t="s">
        <v>866</v>
      </c>
      <c r="B457" s="578"/>
      <c r="C457" s="575">
        <v>2783612</v>
      </c>
    </row>
    <row r="458" spans="1:3">
      <c r="A458" s="576"/>
      <c r="B458" s="577"/>
      <c r="C458" s="575"/>
    </row>
    <row r="459" spans="1:3">
      <c r="A459" s="576" t="s">
        <v>648</v>
      </c>
      <c r="B459" s="577" t="s">
        <v>689</v>
      </c>
      <c r="C459" s="575">
        <v>106411</v>
      </c>
    </row>
    <row r="460" spans="1:3">
      <c r="A460" s="576" t="s">
        <v>245</v>
      </c>
      <c r="B460" s="577" t="s">
        <v>719</v>
      </c>
      <c r="C460" s="575">
        <v>22482</v>
      </c>
    </row>
    <row r="461" spans="1:3">
      <c r="A461" s="576" t="s">
        <v>251</v>
      </c>
      <c r="B461" s="577" t="s">
        <v>942</v>
      </c>
      <c r="C461" s="575">
        <v>70500</v>
      </c>
    </row>
    <row r="462" spans="1:3">
      <c r="A462" s="576" t="s">
        <v>941</v>
      </c>
      <c r="B462" s="577" t="s">
        <v>940</v>
      </c>
      <c r="C462" s="575">
        <v>13429</v>
      </c>
    </row>
    <row r="463" spans="1:3">
      <c r="A463" s="574" t="s">
        <v>862</v>
      </c>
      <c r="B463" s="578"/>
      <c r="C463" s="575">
        <v>106411</v>
      </c>
    </row>
    <row r="464" spans="1:3">
      <c r="A464" s="576"/>
      <c r="B464" s="577"/>
      <c r="C464" s="575"/>
    </row>
    <row r="465" spans="1:3">
      <c r="A465" s="574" t="s">
        <v>873</v>
      </c>
      <c r="B465" s="574"/>
      <c r="C465" s="575">
        <v>2890023</v>
      </c>
    </row>
    <row r="466" spans="1:3">
      <c r="A466" s="576"/>
      <c r="B466" s="573"/>
      <c r="C466" s="575"/>
    </row>
    <row r="467" spans="1:3">
      <c r="A467" s="574" t="s">
        <v>737</v>
      </c>
      <c r="B467" s="578"/>
      <c r="C467" s="578"/>
    </row>
    <row r="468" spans="1:3">
      <c r="A468" s="576" t="s">
        <v>351</v>
      </c>
      <c r="B468" s="577" t="s">
        <v>668</v>
      </c>
      <c r="C468" s="575">
        <v>8943</v>
      </c>
    </row>
    <row r="469" spans="1:3">
      <c r="A469" s="576" t="s">
        <v>739</v>
      </c>
      <c r="B469" s="577" t="s">
        <v>738</v>
      </c>
      <c r="C469" s="575">
        <v>8859</v>
      </c>
    </row>
    <row r="470" spans="1:3">
      <c r="A470" s="576" t="s">
        <v>711</v>
      </c>
      <c r="B470" s="577" t="s">
        <v>710</v>
      </c>
      <c r="C470" s="575">
        <v>84</v>
      </c>
    </row>
    <row r="471" spans="1:3">
      <c r="A471" s="576" t="s">
        <v>361</v>
      </c>
      <c r="B471" s="577" t="s">
        <v>712</v>
      </c>
      <c r="C471" s="575">
        <v>1686</v>
      </c>
    </row>
    <row r="472" spans="1:3" ht="31.5">
      <c r="A472" s="576" t="s">
        <v>714</v>
      </c>
      <c r="B472" s="577" t="s">
        <v>713</v>
      </c>
      <c r="C472" s="575">
        <v>1029</v>
      </c>
    </row>
    <row r="473" spans="1:3">
      <c r="A473" s="576" t="s">
        <v>716</v>
      </c>
      <c r="B473" s="577" t="s">
        <v>715</v>
      </c>
      <c r="C473" s="575">
        <v>421</v>
      </c>
    </row>
    <row r="474" spans="1:3">
      <c r="A474" s="576" t="s">
        <v>718</v>
      </c>
      <c r="B474" s="577" t="s">
        <v>717</v>
      </c>
      <c r="C474" s="575">
        <v>236</v>
      </c>
    </row>
    <row r="475" spans="1:3">
      <c r="A475" s="574" t="s">
        <v>866</v>
      </c>
      <c r="B475" s="578"/>
      <c r="C475" s="575">
        <v>10629</v>
      </c>
    </row>
    <row r="476" spans="1:3">
      <c r="A476" s="576"/>
      <c r="B476" s="577"/>
      <c r="C476" s="575"/>
    </row>
    <row r="477" spans="1:3">
      <c r="A477" s="574" t="s">
        <v>872</v>
      </c>
      <c r="B477" s="574"/>
      <c r="C477" s="575">
        <v>10629</v>
      </c>
    </row>
    <row r="478" spans="1:3">
      <c r="A478" s="576"/>
      <c r="B478" s="573"/>
      <c r="C478" s="575"/>
    </row>
    <row r="479" spans="1:3">
      <c r="A479" s="574" t="s">
        <v>984</v>
      </c>
      <c r="B479" s="578"/>
      <c r="C479" s="578"/>
    </row>
    <row r="480" spans="1:3">
      <c r="A480" s="576" t="s">
        <v>371</v>
      </c>
      <c r="B480" s="577" t="s">
        <v>671</v>
      </c>
      <c r="C480" s="575">
        <v>49182</v>
      </c>
    </row>
    <row r="481" spans="1:3">
      <c r="A481" s="576" t="s">
        <v>685</v>
      </c>
      <c r="B481" s="577" t="s">
        <v>684</v>
      </c>
      <c r="C481" s="575">
        <v>37223</v>
      </c>
    </row>
    <row r="482" spans="1:3" ht="31.5">
      <c r="A482" s="576" t="s">
        <v>642</v>
      </c>
      <c r="B482" s="577" t="s">
        <v>677</v>
      </c>
      <c r="C482" s="575">
        <v>11959</v>
      </c>
    </row>
    <row r="483" spans="1:3">
      <c r="A483" s="574" t="s">
        <v>866</v>
      </c>
      <c r="B483" s="578"/>
      <c r="C483" s="575">
        <v>49182</v>
      </c>
    </row>
    <row r="484" spans="1:3">
      <c r="A484" s="576"/>
      <c r="B484" s="577"/>
      <c r="C484" s="575"/>
    </row>
    <row r="485" spans="1:3">
      <c r="A485" s="574" t="s">
        <v>1223</v>
      </c>
      <c r="B485" s="574"/>
      <c r="C485" s="575">
        <v>49182</v>
      </c>
    </row>
    <row r="486" spans="1:3">
      <c r="A486" s="576"/>
      <c r="B486" s="573"/>
      <c r="C486" s="575"/>
    </row>
    <row r="487" spans="1:3">
      <c r="A487" s="574" t="s">
        <v>983</v>
      </c>
      <c r="B487" s="578"/>
      <c r="C487" s="578"/>
    </row>
    <row r="488" spans="1:3" ht="31.5">
      <c r="A488" s="576" t="s">
        <v>345</v>
      </c>
      <c r="B488" s="577" t="s">
        <v>3</v>
      </c>
      <c r="C488" s="575">
        <v>54158</v>
      </c>
    </row>
    <row r="489" spans="1:3" ht="31.5">
      <c r="A489" s="576" t="s">
        <v>707</v>
      </c>
      <c r="B489" s="577" t="s">
        <v>706</v>
      </c>
      <c r="C489" s="575">
        <v>54158</v>
      </c>
    </row>
    <row r="490" spans="1:3">
      <c r="A490" s="576" t="s">
        <v>351</v>
      </c>
      <c r="B490" s="577" t="s">
        <v>668</v>
      </c>
      <c r="C490" s="575">
        <v>2493</v>
      </c>
    </row>
    <row r="491" spans="1:3">
      <c r="A491" s="576" t="s">
        <v>670</v>
      </c>
      <c r="B491" s="577" t="s">
        <v>669</v>
      </c>
      <c r="C491" s="575">
        <v>919</v>
      </c>
    </row>
    <row r="492" spans="1:3" ht="31.5">
      <c r="A492" s="576" t="s">
        <v>1063</v>
      </c>
      <c r="B492" s="577" t="s">
        <v>1062</v>
      </c>
      <c r="C492" s="575">
        <v>1574</v>
      </c>
    </row>
    <row r="493" spans="1:3">
      <c r="A493" s="576" t="s">
        <v>361</v>
      </c>
      <c r="B493" s="577" t="s">
        <v>712</v>
      </c>
      <c r="C493" s="575">
        <v>10888</v>
      </c>
    </row>
    <row r="494" spans="1:3" ht="31.5">
      <c r="A494" s="576" t="s">
        <v>714</v>
      </c>
      <c r="B494" s="577" t="s">
        <v>713</v>
      </c>
      <c r="C494" s="575">
        <v>6583</v>
      </c>
    </row>
    <row r="495" spans="1:3">
      <c r="A495" s="576" t="s">
        <v>716</v>
      </c>
      <c r="B495" s="577" t="s">
        <v>715</v>
      </c>
      <c r="C495" s="575">
        <v>2719</v>
      </c>
    </row>
    <row r="496" spans="1:3">
      <c r="A496" s="576" t="s">
        <v>718</v>
      </c>
      <c r="B496" s="577" t="s">
        <v>717</v>
      </c>
      <c r="C496" s="575">
        <v>1586</v>
      </c>
    </row>
    <row r="497" spans="1:3">
      <c r="A497" s="576" t="s">
        <v>371</v>
      </c>
      <c r="B497" s="577" t="s">
        <v>671</v>
      </c>
      <c r="C497" s="575">
        <v>39287</v>
      </c>
    </row>
    <row r="498" spans="1:3">
      <c r="A498" s="576" t="s">
        <v>732</v>
      </c>
      <c r="B498" s="577" t="s">
        <v>731</v>
      </c>
      <c r="C498" s="575">
        <v>11755</v>
      </c>
    </row>
    <row r="499" spans="1:3">
      <c r="A499" s="576" t="s">
        <v>724</v>
      </c>
      <c r="B499" s="577" t="s">
        <v>723</v>
      </c>
      <c r="C499" s="575">
        <v>563</v>
      </c>
    </row>
    <row r="500" spans="1:3">
      <c r="A500" s="576" t="s">
        <v>638</v>
      </c>
      <c r="B500" s="577" t="s">
        <v>672</v>
      </c>
      <c r="C500" s="575">
        <v>1419</v>
      </c>
    </row>
    <row r="501" spans="1:3">
      <c r="A501" s="576" t="s">
        <v>639</v>
      </c>
      <c r="B501" s="577" t="s">
        <v>725</v>
      </c>
      <c r="C501" s="575">
        <v>11652</v>
      </c>
    </row>
    <row r="502" spans="1:3">
      <c r="A502" s="576" t="s">
        <v>685</v>
      </c>
      <c r="B502" s="577" t="s">
        <v>684</v>
      </c>
      <c r="C502" s="575">
        <v>3538</v>
      </c>
    </row>
    <row r="503" spans="1:3">
      <c r="A503" s="576" t="s">
        <v>674</v>
      </c>
      <c r="B503" s="577" t="s">
        <v>673</v>
      </c>
      <c r="C503" s="575">
        <v>10</v>
      </c>
    </row>
    <row r="504" spans="1:3" ht="31.5">
      <c r="A504" s="576" t="s">
        <v>642</v>
      </c>
      <c r="B504" s="577" t="s">
        <v>677</v>
      </c>
      <c r="C504" s="575">
        <v>10350</v>
      </c>
    </row>
    <row r="505" spans="1:3">
      <c r="A505" s="574" t="s">
        <v>866</v>
      </c>
      <c r="B505" s="578"/>
      <c r="C505" s="575">
        <v>106826</v>
      </c>
    </row>
    <row r="506" spans="1:3">
      <c r="A506" s="576"/>
      <c r="B506" s="577"/>
      <c r="C506" s="575"/>
    </row>
    <row r="507" spans="1:3">
      <c r="A507" s="576" t="s">
        <v>648</v>
      </c>
      <c r="B507" s="577" t="s">
        <v>689</v>
      </c>
      <c r="C507" s="575">
        <v>720</v>
      </c>
    </row>
    <row r="508" spans="1:3">
      <c r="A508" s="576" t="s">
        <v>240</v>
      </c>
      <c r="B508" s="577" t="s">
        <v>721</v>
      </c>
      <c r="C508" s="575">
        <v>720</v>
      </c>
    </row>
    <row r="509" spans="1:3">
      <c r="A509" s="574" t="s">
        <v>862</v>
      </c>
      <c r="B509" s="578"/>
      <c r="C509" s="575">
        <v>720</v>
      </c>
    </row>
    <row r="510" spans="1:3">
      <c r="A510" s="576"/>
      <c r="B510" s="577"/>
      <c r="C510" s="575"/>
    </row>
    <row r="511" spans="1:3">
      <c r="A511" s="574" t="s">
        <v>1224</v>
      </c>
      <c r="B511" s="574"/>
      <c r="C511" s="575">
        <v>107546</v>
      </c>
    </row>
    <row r="512" spans="1:3">
      <c r="A512" s="576"/>
      <c r="B512" s="573"/>
      <c r="C512" s="575"/>
    </row>
    <row r="513" spans="1:3">
      <c r="A513" s="574" t="s">
        <v>740</v>
      </c>
      <c r="B513" s="578"/>
      <c r="C513" s="578"/>
    </row>
    <row r="514" spans="1:3" ht="31.5">
      <c r="A514" s="576" t="s">
        <v>345</v>
      </c>
      <c r="B514" s="577" t="s">
        <v>3</v>
      </c>
      <c r="C514" s="575">
        <v>1056590</v>
      </c>
    </row>
    <row r="515" spans="1:3" ht="31.5">
      <c r="A515" s="576" t="s">
        <v>707</v>
      </c>
      <c r="B515" s="577" t="s">
        <v>706</v>
      </c>
      <c r="C515" s="575">
        <v>1056590</v>
      </c>
    </row>
    <row r="516" spans="1:3">
      <c r="A516" s="576" t="s">
        <v>351</v>
      </c>
      <c r="B516" s="577" t="s">
        <v>668</v>
      </c>
      <c r="C516" s="575">
        <v>61211</v>
      </c>
    </row>
    <row r="517" spans="1:3">
      <c r="A517" s="576" t="s">
        <v>670</v>
      </c>
      <c r="B517" s="577" t="s">
        <v>669</v>
      </c>
      <c r="C517" s="575">
        <v>7800</v>
      </c>
    </row>
    <row r="518" spans="1:3" ht="31.5">
      <c r="A518" s="576" t="s">
        <v>1063</v>
      </c>
      <c r="B518" s="577" t="s">
        <v>1062</v>
      </c>
      <c r="C518" s="575">
        <v>30910</v>
      </c>
    </row>
    <row r="519" spans="1:3">
      <c r="A519" s="576" t="s">
        <v>709</v>
      </c>
      <c r="B519" s="577" t="s">
        <v>708</v>
      </c>
      <c r="C519" s="575">
        <v>22501</v>
      </c>
    </row>
    <row r="520" spans="1:3">
      <c r="A520" s="576" t="s">
        <v>361</v>
      </c>
      <c r="B520" s="577" t="s">
        <v>712</v>
      </c>
      <c r="C520" s="575">
        <v>198030</v>
      </c>
    </row>
    <row r="521" spans="1:3" ht="31.5">
      <c r="A521" s="576" t="s">
        <v>714</v>
      </c>
      <c r="B521" s="577" t="s">
        <v>713</v>
      </c>
      <c r="C521" s="575">
        <v>119725</v>
      </c>
    </row>
    <row r="522" spans="1:3">
      <c r="A522" s="576" t="s">
        <v>716</v>
      </c>
      <c r="B522" s="577" t="s">
        <v>715</v>
      </c>
      <c r="C522" s="575">
        <v>49456</v>
      </c>
    </row>
    <row r="523" spans="1:3">
      <c r="A523" s="576" t="s">
        <v>718</v>
      </c>
      <c r="B523" s="577" t="s">
        <v>717</v>
      </c>
      <c r="C523" s="575">
        <v>28849</v>
      </c>
    </row>
    <row r="524" spans="1:3">
      <c r="A524" s="576" t="s">
        <v>371</v>
      </c>
      <c r="B524" s="577" t="s">
        <v>671</v>
      </c>
      <c r="C524" s="575">
        <v>779389</v>
      </c>
    </row>
    <row r="525" spans="1:3">
      <c r="A525" s="576" t="s">
        <v>732</v>
      </c>
      <c r="B525" s="577" t="s">
        <v>731</v>
      </c>
      <c r="C525" s="575">
        <v>248384</v>
      </c>
    </row>
    <row r="526" spans="1:3">
      <c r="A526" s="576" t="s">
        <v>734</v>
      </c>
      <c r="B526" s="577" t="s">
        <v>733</v>
      </c>
      <c r="C526" s="575">
        <v>3000</v>
      </c>
    </row>
    <row r="527" spans="1:3">
      <c r="A527" s="576" t="s">
        <v>724</v>
      </c>
      <c r="B527" s="577" t="s">
        <v>723</v>
      </c>
      <c r="C527" s="575">
        <v>19650</v>
      </c>
    </row>
    <row r="528" spans="1:3">
      <c r="A528" s="576" t="s">
        <v>638</v>
      </c>
      <c r="B528" s="577" t="s">
        <v>672</v>
      </c>
      <c r="C528" s="575">
        <v>88929</v>
      </c>
    </row>
    <row r="529" spans="1:3">
      <c r="A529" s="576" t="s">
        <v>639</v>
      </c>
      <c r="B529" s="577" t="s">
        <v>725</v>
      </c>
      <c r="C529" s="575">
        <v>278248</v>
      </c>
    </row>
    <row r="530" spans="1:3">
      <c r="A530" s="576" t="s">
        <v>685</v>
      </c>
      <c r="B530" s="577" t="s">
        <v>684</v>
      </c>
      <c r="C530" s="575">
        <v>96472</v>
      </c>
    </row>
    <row r="531" spans="1:3">
      <c r="A531" s="576" t="s">
        <v>674</v>
      </c>
      <c r="B531" s="577" t="s">
        <v>673</v>
      </c>
      <c r="C531" s="575">
        <v>1121</v>
      </c>
    </row>
    <row r="532" spans="1:3">
      <c r="A532" s="576" t="s">
        <v>694</v>
      </c>
      <c r="B532" s="577" t="s">
        <v>693</v>
      </c>
      <c r="C532" s="575">
        <v>3076</v>
      </c>
    </row>
    <row r="533" spans="1:3" ht="31.5">
      <c r="A533" s="576" t="s">
        <v>642</v>
      </c>
      <c r="B533" s="577" t="s">
        <v>677</v>
      </c>
      <c r="C533" s="575">
        <v>40509</v>
      </c>
    </row>
    <row r="534" spans="1:3">
      <c r="A534" s="576" t="s">
        <v>248</v>
      </c>
      <c r="B534" s="577" t="s">
        <v>735</v>
      </c>
      <c r="C534" s="575">
        <v>1343</v>
      </c>
    </row>
    <row r="535" spans="1:3" ht="31.5">
      <c r="A535" s="576" t="s">
        <v>242</v>
      </c>
      <c r="B535" s="577" t="s">
        <v>736</v>
      </c>
      <c r="C535" s="575">
        <v>97</v>
      </c>
    </row>
    <row r="536" spans="1:3" ht="31.5">
      <c r="A536" s="576" t="s">
        <v>243</v>
      </c>
      <c r="B536" s="577" t="s">
        <v>750</v>
      </c>
      <c r="C536" s="575">
        <v>1246</v>
      </c>
    </row>
    <row r="537" spans="1:3">
      <c r="A537" s="574" t="s">
        <v>866</v>
      </c>
      <c r="B537" s="578"/>
      <c r="C537" s="575">
        <v>2096563</v>
      </c>
    </row>
    <row r="538" spans="1:3">
      <c r="A538" s="576"/>
      <c r="B538" s="577"/>
      <c r="C538" s="575"/>
    </row>
    <row r="539" spans="1:3">
      <c r="A539" s="576" t="s">
        <v>648</v>
      </c>
      <c r="B539" s="577" t="s">
        <v>689</v>
      </c>
      <c r="C539" s="575">
        <v>14998</v>
      </c>
    </row>
    <row r="540" spans="1:3">
      <c r="A540" s="576" t="s">
        <v>245</v>
      </c>
      <c r="B540" s="577" t="s">
        <v>719</v>
      </c>
      <c r="C540" s="575">
        <v>14998</v>
      </c>
    </row>
    <row r="541" spans="1:3">
      <c r="A541" s="574" t="s">
        <v>862</v>
      </c>
      <c r="B541" s="578"/>
      <c r="C541" s="575">
        <v>14998</v>
      </c>
    </row>
    <row r="542" spans="1:3">
      <c r="A542" s="576"/>
      <c r="B542" s="577"/>
      <c r="C542" s="575"/>
    </row>
    <row r="543" spans="1:3">
      <c r="A543" s="574" t="s">
        <v>871</v>
      </c>
      <c r="B543" s="574"/>
      <c r="C543" s="575">
        <v>2111561</v>
      </c>
    </row>
    <row r="544" spans="1:3">
      <c r="A544" s="576"/>
      <c r="B544" s="573"/>
      <c r="C544" s="575"/>
    </row>
    <row r="545" spans="1:3">
      <c r="A545" s="574" t="s">
        <v>1498</v>
      </c>
      <c r="B545" s="578"/>
      <c r="C545" s="578"/>
    </row>
    <row r="546" spans="1:3" ht="31.5">
      <c r="A546" s="576" t="s">
        <v>345</v>
      </c>
      <c r="B546" s="577" t="s">
        <v>3</v>
      </c>
      <c r="C546" s="575">
        <v>997634</v>
      </c>
    </row>
    <row r="547" spans="1:3" ht="31.5">
      <c r="A547" s="576" t="s">
        <v>707</v>
      </c>
      <c r="B547" s="577" t="s">
        <v>706</v>
      </c>
      <c r="C547" s="575">
        <v>997634</v>
      </c>
    </row>
    <row r="548" spans="1:3">
      <c r="A548" s="576" t="s">
        <v>351</v>
      </c>
      <c r="B548" s="577" t="s">
        <v>668</v>
      </c>
      <c r="C548" s="575">
        <v>37436</v>
      </c>
    </row>
    <row r="549" spans="1:3" ht="31.5">
      <c r="A549" s="576" t="s">
        <v>1063</v>
      </c>
      <c r="B549" s="577" t="s">
        <v>1062</v>
      </c>
      <c r="C549" s="575">
        <v>29226</v>
      </c>
    </row>
    <row r="550" spans="1:3">
      <c r="A550" s="576" t="s">
        <v>709</v>
      </c>
      <c r="B550" s="577" t="s">
        <v>708</v>
      </c>
      <c r="C550" s="575">
        <v>8210</v>
      </c>
    </row>
    <row r="551" spans="1:3">
      <c r="A551" s="576" t="s">
        <v>361</v>
      </c>
      <c r="B551" s="577" t="s">
        <v>712</v>
      </c>
      <c r="C551" s="575">
        <v>187242</v>
      </c>
    </row>
    <row r="552" spans="1:3" ht="31.5">
      <c r="A552" s="576" t="s">
        <v>714</v>
      </c>
      <c r="B552" s="577" t="s">
        <v>713</v>
      </c>
      <c r="C552" s="575">
        <v>113202</v>
      </c>
    </row>
    <row r="553" spans="1:3">
      <c r="A553" s="576" t="s">
        <v>716</v>
      </c>
      <c r="B553" s="577" t="s">
        <v>715</v>
      </c>
      <c r="C553" s="575">
        <v>46762</v>
      </c>
    </row>
    <row r="554" spans="1:3">
      <c r="A554" s="576" t="s">
        <v>718</v>
      </c>
      <c r="B554" s="577" t="s">
        <v>717</v>
      </c>
      <c r="C554" s="575">
        <v>27278</v>
      </c>
    </row>
    <row r="555" spans="1:3">
      <c r="A555" s="576" t="s">
        <v>371</v>
      </c>
      <c r="B555" s="577" t="s">
        <v>671</v>
      </c>
      <c r="C555" s="575">
        <v>583772</v>
      </c>
    </row>
    <row r="556" spans="1:3">
      <c r="A556" s="576" t="s">
        <v>732</v>
      </c>
      <c r="B556" s="577" t="s">
        <v>731</v>
      </c>
      <c r="C556" s="575">
        <v>148287</v>
      </c>
    </row>
    <row r="557" spans="1:3">
      <c r="A557" s="576" t="s">
        <v>734</v>
      </c>
      <c r="B557" s="577" t="s">
        <v>733</v>
      </c>
      <c r="C557" s="575">
        <v>390</v>
      </c>
    </row>
    <row r="558" spans="1:3">
      <c r="A558" s="576" t="s">
        <v>724</v>
      </c>
      <c r="B558" s="577" t="s">
        <v>723</v>
      </c>
      <c r="C558" s="575">
        <v>8700</v>
      </c>
    </row>
    <row r="559" spans="1:3">
      <c r="A559" s="576" t="s">
        <v>638</v>
      </c>
      <c r="B559" s="577" t="s">
        <v>672</v>
      </c>
      <c r="C559" s="575">
        <v>17600</v>
      </c>
    </row>
    <row r="560" spans="1:3">
      <c r="A560" s="576" t="s">
        <v>639</v>
      </c>
      <c r="B560" s="577" t="s">
        <v>725</v>
      </c>
      <c r="C560" s="575">
        <v>329638</v>
      </c>
    </row>
    <row r="561" spans="1:3">
      <c r="A561" s="576" t="s">
        <v>685</v>
      </c>
      <c r="B561" s="577" t="s">
        <v>684</v>
      </c>
      <c r="C561" s="575">
        <v>44642</v>
      </c>
    </row>
    <row r="562" spans="1:3">
      <c r="A562" s="576" t="s">
        <v>674</v>
      </c>
      <c r="B562" s="577" t="s">
        <v>673</v>
      </c>
      <c r="C562" s="575">
        <v>651</v>
      </c>
    </row>
    <row r="563" spans="1:3">
      <c r="A563" s="576" t="s">
        <v>694</v>
      </c>
      <c r="B563" s="577" t="s">
        <v>693</v>
      </c>
      <c r="C563" s="575">
        <v>3476</v>
      </c>
    </row>
    <row r="564" spans="1:3" ht="31.5">
      <c r="A564" s="576" t="s">
        <v>642</v>
      </c>
      <c r="B564" s="577" t="s">
        <v>677</v>
      </c>
      <c r="C564" s="575">
        <v>30388</v>
      </c>
    </row>
    <row r="565" spans="1:3">
      <c r="A565" s="576" t="s">
        <v>248</v>
      </c>
      <c r="B565" s="577" t="s">
        <v>735</v>
      </c>
      <c r="C565" s="575">
        <v>2830</v>
      </c>
    </row>
    <row r="566" spans="1:3" ht="31.5">
      <c r="A566" s="576" t="s">
        <v>242</v>
      </c>
      <c r="B566" s="577" t="s">
        <v>736</v>
      </c>
      <c r="C566" s="575">
        <v>1430</v>
      </c>
    </row>
    <row r="567" spans="1:3" ht="31.5">
      <c r="A567" s="576" t="s">
        <v>243</v>
      </c>
      <c r="B567" s="577" t="s">
        <v>750</v>
      </c>
      <c r="C567" s="575">
        <v>1400</v>
      </c>
    </row>
    <row r="568" spans="1:3">
      <c r="A568" s="574" t="s">
        <v>866</v>
      </c>
      <c r="B568" s="578"/>
      <c r="C568" s="575">
        <v>1808914</v>
      </c>
    </row>
    <row r="569" spans="1:3">
      <c r="A569" s="576"/>
      <c r="B569" s="577"/>
      <c r="C569" s="575"/>
    </row>
    <row r="570" spans="1:3">
      <c r="A570" s="576" t="s">
        <v>648</v>
      </c>
      <c r="B570" s="577" t="s">
        <v>689</v>
      </c>
      <c r="C570" s="575">
        <v>33089</v>
      </c>
    </row>
    <row r="571" spans="1:3">
      <c r="A571" s="576" t="s">
        <v>240</v>
      </c>
      <c r="B571" s="577" t="s">
        <v>721</v>
      </c>
      <c r="C571" s="575">
        <v>2040</v>
      </c>
    </row>
    <row r="572" spans="1:3">
      <c r="A572" s="576" t="s">
        <v>245</v>
      </c>
      <c r="B572" s="577" t="s">
        <v>719</v>
      </c>
      <c r="C572" s="575">
        <v>3605</v>
      </c>
    </row>
    <row r="573" spans="1:3">
      <c r="A573" s="576" t="s">
        <v>941</v>
      </c>
      <c r="B573" s="577" t="s">
        <v>940</v>
      </c>
      <c r="C573" s="575">
        <v>27444</v>
      </c>
    </row>
    <row r="574" spans="1:3">
      <c r="A574" s="574" t="s">
        <v>862</v>
      </c>
      <c r="B574" s="578"/>
      <c r="C574" s="575">
        <v>33089</v>
      </c>
    </row>
    <row r="575" spans="1:3">
      <c r="A575" s="576"/>
      <c r="B575" s="577"/>
      <c r="C575" s="575"/>
    </row>
    <row r="576" spans="1:3">
      <c r="A576" s="574" t="s">
        <v>1497</v>
      </c>
      <c r="B576" s="574"/>
      <c r="C576" s="575">
        <v>1842003</v>
      </c>
    </row>
    <row r="577" spans="1:3">
      <c r="A577" s="576"/>
      <c r="B577" s="573"/>
      <c r="C577" s="575"/>
    </row>
    <row r="578" spans="1:3">
      <c r="A578" s="574" t="s">
        <v>981</v>
      </c>
      <c r="B578" s="578"/>
      <c r="C578" s="578"/>
    </row>
    <row r="579" spans="1:3">
      <c r="A579" s="576" t="s">
        <v>371</v>
      </c>
      <c r="B579" s="577" t="s">
        <v>671</v>
      </c>
      <c r="C579" s="575">
        <v>61460</v>
      </c>
    </row>
    <row r="580" spans="1:3">
      <c r="A580" s="576" t="s">
        <v>685</v>
      </c>
      <c r="B580" s="577" t="s">
        <v>684</v>
      </c>
      <c r="C580" s="575">
        <v>61460</v>
      </c>
    </row>
    <row r="581" spans="1:3">
      <c r="A581" s="574" t="s">
        <v>866</v>
      </c>
      <c r="B581" s="578"/>
      <c r="C581" s="575">
        <v>61460</v>
      </c>
    </row>
    <row r="582" spans="1:3">
      <c r="A582" s="574" t="s">
        <v>1225</v>
      </c>
      <c r="B582" s="574"/>
      <c r="C582" s="575">
        <v>61460</v>
      </c>
    </row>
    <row r="583" spans="1:3">
      <c r="A583" s="574" t="s">
        <v>741</v>
      </c>
      <c r="B583" s="578"/>
      <c r="C583" s="578"/>
    </row>
    <row r="584" spans="1:3" ht="31.5">
      <c r="A584" s="576" t="s">
        <v>345</v>
      </c>
      <c r="B584" s="577" t="s">
        <v>3</v>
      </c>
      <c r="C584" s="575">
        <v>280664</v>
      </c>
    </row>
    <row r="585" spans="1:3" ht="31.5">
      <c r="A585" s="576" t="s">
        <v>707</v>
      </c>
      <c r="B585" s="577" t="s">
        <v>706</v>
      </c>
      <c r="C585" s="575">
        <v>280664</v>
      </c>
    </row>
    <row r="586" spans="1:3">
      <c r="A586" s="576" t="s">
        <v>351</v>
      </c>
      <c r="B586" s="577" t="s">
        <v>668</v>
      </c>
      <c r="C586" s="575">
        <v>22818</v>
      </c>
    </row>
    <row r="587" spans="1:3">
      <c r="A587" s="576" t="s">
        <v>670</v>
      </c>
      <c r="B587" s="577" t="s">
        <v>669</v>
      </c>
      <c r="C587" s="575">
        <v>4720</v>
      </c>
    </row>
    <row r="588" spans="1:3" ht="31.5">
      <c r="A588" s="576" t="s">
        <v>1063</v>
      </c>
      <c r="B588" s="577" t="s">
        <v>1062</v>
      </c>
      <c r="C588" s="575">
        <v>8420</v>
      </c>
    </row>
    <row r="589" spans="1:3">
      <c r="A589" s="576" t="s">
        <v>709</v>
      </c>
      <c r="B589" s="577" t="s">
        <v>708</v>
      </c>
      <c r="C589" s="575">
        <v>9678</v>
      </c>
    </row>
    <row r="590" spans="1:3">
      <c r="A590" s="576" t="s">
        <v>361</v>
      </c>
      <c r="B590" s="577" t="s">
        <v>712</v>
      </c>
      <c r="C590" s="575">
        <v>53589</v>
      </c>
    </row>
    <row r="591" spans="1:3" ht="31.5">
      <c r="A591" s="576" t="s">
        <v>714</v>
      </c>
      <c r="B591" s="577" t="s">
        <v>713</v>
      </c>
      <c r="C591" s="575">
        <v>32399</v>
      </c>
    </row>
    <row r="592" spans="1:3">
      <c r="A592" s="576" t="s">
        <v>716</v>
      </c>
      <c r="B592" s="577" t="s">
        <v>715</v>
      </c>
      <c r="C592" s="575">
        <v>13383</v>
      </c>
    </row>
    <row r="593" spans="1:3">
      <c r="A593" s="576" t="s">
        <v>718</v>
      </c>
      <c r="B593" s="577" t="s">
        <v>717</v>
      </c>
      <c r="C593" s="575">
        <v>7807</v>
      </c>
    </row>
    <row r="594" spans="1:3">
      <c r="A594" s="576" t="s">
        <v>371</v>
      </c>
      <c r="B594" s="577" t="s">
        <v>671</v>
      </c>
      <c r="C594" s="575">
        <v>289179</v>
      </c>
    </row>
    <row r="595" spans="1:3">
      <c r="A595" s="576" t="s">
        <v>734</v>
      </c>
      <c r="B595" s="577" t="s">
        <v>733</v>
      </c>
      <c r="C595" s="575">
        <v>400</v>
      </c>
    </row>
    <row r="596" spans="1:3">
      <c r="A596" s="576" t="s">
        <v>724</v>
      </c>
      <c r="B596" s="577" t="s">
        <v>723</v>
      </c>
      <c r="C596" s="575">
        <v>6000</v>
      </c>
    </row>
    <row r="597" spans="1:3">
      <c r="A597" s="576" t="s">
        <v>638</v>
      </c>
      <c r="B597" s="577" t="s">
        <v>672</v>
      </c>
      <c r="C597" s="575">
        <v>9000</v>
      </c>
    </row>
    <row r="598" spans="1:3">
      <c r="A598" s="576" t="s">
        <v>639</v>
      </c>
      <c r="B598" s="577" t="s">
        <v>725</v>
      </c>
      <c r="C598" s="575">
        <v>30432</v>
      </c>
    </row>
    <row r="599" spans="1:3">
      <c r="A599" s="576" t="s">
        <v>685</v>
      </c>
      <c r="B599" s="577" t="s">
        <v>684</v>
      </c>
      <c r="C599" s="575">
        <v>217063</v>
      </c>
    </row>
    <row r="600" spans="1:3">
      <c r="A600" s="576" t="s">
        <v>674</v>
      </c>
      <c r="B600" s="577" t="s">
        <v>673</v>
      </c>
      <c r="C600" s="575">
        <v>400</v>
      </c>
    </row>
    <row r="601" spans="1:3">
      <c r="A601" s="576" t="s">
        <v>694</v>
      </c>
      <c r="B601" s="577" t="s">
        <v>693</v>
      </c>
      <c r="C601" s="575">
        <v>2300</v>
      </c>
    </row>
    <row r="602" spans="1:3" ht="31.5">
      <c r="A602" s="576" t="s">
        <v>642</v>
      </c>
      <c r="B602" s="577" t="s">
        <v>677</v>
      </c>
      <c r="C602" s="575">
        <v>23584</v>
      </c>
    </row>
    <row r="603" spans="1:3">
      <c r="A603" s="576" t="s">
        <v>248</v>
      </c>
      <c r="B603" s="577" t="s">
        <v>735</v>
      </c>
      <c r="C603" s="575">
        <v>2022</v>
      </c>
    </row>
    <row r="604" spans="1:3" ht="31.5">
      <c r="A604" s="576" t="s">
        <v>242</v>
      </c>
      <c r="B604" s="577" t="s">
        <v>736</v>
      </c>
      <c r="C604" s="575">
        <v>150</v>
      </c>
    </row>
    <row r="605" spans="1:3" ht="31.5">
      <c r="A605" s="576" t="s">
        <v>243</v>
      </c>
      <c r="B605" s="577" t="s">
        <v>750</v>
      </c>
      <c r="C605" s="575">
        <v>1872</v>
      </c>
    </row>
    <row r="606" spans="1:3">
      <c r="A606" s="574" t="s">
        <v>866</v>
      </c>
      <c r="B606" s="578"/>
      <c r="C606" s="575">
        <v>648272</v>
      </c>
    </row>
    <row r="607" spans="1:3">
      <c r="A607" s="576"/>
      <c r="B607" s="577"/>
      <c r="C607" s="575"/>
    </row>
    <row r="608" spans="1:3">
      <c r="A608" s="576" t="s">
        <v>648</v>
      </c>
      <c r="B608" s="577" t="s">
        <v>689</v>
      </c>
      <c r="C608" s="575">
        <v>10132</v>
      </c>
    </row>
    <row r="609" spans="1:3">
      <c r="A609" s="576" t="s">
        <v>240</v>
      </c>
      <c r="B609" s="577" t="s">
        <v>721</v>
      </c>
      <c r="C609" s="575">
        <v>1889</v>
      </c>
    </row>
    <row r="610" spans="1:3">
      <c r="A610" s="576" t="s">
        <v>245</v>
      </c>
      <c r="B610" s="577" t="s">
        <v>719</v>
      </c>
      <c r="C610" s="575">
        <v>8243</v>
      </c>
    </row>
    <row r="611" spans="1:3">
      <c r="A611" s="574" t="s">
        <v>862</v>
      </c>
      <c r="B611" s="578"/>
      <c r="C611" s="575">
        <v>10132</v>
      </c>
    </row>
    <row r="612" spans="1:3">
      <c r="A612" s="574" t="s">
        <v>1226</v>
      </c>
      <c r="B612" s="574"/>
      <c r="C612" s="575">
        <v>658404</v>
      </c>
    </row>
    <row r="613" spans="1:3">
      <c r="A613" s="576"/>
      <c r="B613" s="573"/>
      <c r="C613" s="575"/>
    </row>
    <row r="614" spans="1:3">
      <c r="A614" s="574" t="s">
        <v>742</v>
      </c>
      <c r="B614" s="578"/>
      <c r="C614" s="578"/>
    </row>
    <row r="615" spans="1:3" ht="31.5">
      <c r="A615" s="576" t="s">
        <v>345</v>
      </c>
      <c r="B615" s="577" t="s">
        <v>3</v>
      </c>
      <c r="C615" s="575">
        <v>254460</v>
      </c>
    </row>
    <row r="616" spans="1:3" ht="31.5">
      <c r="A616" s="576" t="s">
        <v>707</v>
      </c>
      <c r="B616" s="577" t="s">
        <v>706</v>
      </c>
      <c r="C616" s="575">
        <v>254460</v>
      </c>
    </row>
    <row r="617" spans="1:3">
      <c r="A617" s="576" t="s">
        <v>351</v>
      </c>
      <c r="B617" s="577" t="s">
        <v>668</v>
      </c>
      <c r="C617" s="575">
        <v>16885</v>
      </c>
    </row>
    <row r="618" spans="1:3">
      <c r="A618" s="576" t="s">
        <v>670</v>
      </c>
      <c r="B618" s="577" t="s">
        <v>669</v>
      </c>
      <c r="C618" s="575">
        <v>9420</v>
      </c>
    </row>
    <row r="619" spans="1:3" ht="31.5">
      <c r="A619" s="576" t="s">
        <v>1063</v>
      </c>
      <c r="B619" s="577" t="s">
        <v>1062</v>
      </c>
      <c r="C619" s="575">
        <v>7465</v>
      </c>
    </row>
    <row r="620" spans="1:3">
      <c r="A620" s="576" t="s">
        <v>361</v>
      </c>
      <c r="B620" s="577" t="s">
        <v>712</v>
      </c>
      <c r="C620" s="575">
        <v>67076</v>
      </c>
    </row>
    <row r="621" spans="1:3" ht="31.5">
      <c r="A621" s="576" t="s">
        <v>714</v>
      </c>
      <c r="B621" s="577" t="s">
        <v>713</v>
      </c>
      <c r="C621" s="575">
        <v>46453</v>
      </c>
    </row>
    <row r="622" spans="1:3">
      <c r="A622" s="576" t="s">
        <v>716</v>
      </c>
      <c r="B622" s="577" t="s">
        <v>715</v>
      </c>
      <c r="C622" s="575">
        <v>13025</v>
      </c>
    </row>
    <row r="623" spans="1:3">
      <c r="A623" s="576" t="s">
        <v>718</v>
      </c>
      <c r="B623" s="577" t="s">
        <v>717</v>
      </c>
      <c r="C623" s="575">
        <v>7598</v>
      </c>
    </row>
    <row r="624" spans="1:3">
      <c r="A624" s="576" t="s">
        <v>371</v>
      </c>
      <c r="B624" s="577" t="s">
        <v>671</v>
      </c>
      <c r="C624" s="575">
        <v>483153</v>
      </c>
    </row>
    <row r="625" spans="1:3">
      <c r="A625" s="576" t="s">
        <v>732</v>
      </c>
      <c r="B625" s="577" t="s">
        <v>731</v>
      </c>
      <c r="C625" s="575">
        <v>10251</v>
      </c>
    </row>
    <row r="626" spans="1:3">
      <c r="A626" s="576" t="s">
        <v>734</v>
      </c>
      <c r="B626" s="577" t="s">
        <v>733</v>
      </c>
      <c r="C626" s="575">
        <v>300</v>
      </c>
    </row>
    <row r="627" spans="1:3">
      <c r="A627" s="576" t="s">
        <v>724</v>
      </c>
      <c r="B627" s="577" t="s">
        <v>723</v>
      </c>
      <c r="C627" s="575">
        <v>4000</v>
      </c>
    </row>
    <row r="628" spans="1:3">
      <c r="A628" s="576" t="s">
        <v>965</v>
      </c>
      <c r="B628" s="577" t="s">
        <v>964</v>
      </c>
      <c r="C628" s="575">
        <v>1000</v>
      </c>
    </row>
    <row r="629" spans="1:3">
      <c r="A629" s="576" t="s">
        <v>638</v>
      </c>
      <c r="B629" s="577" t="s">
        <v>672</v>
      </c>
      <c r="C629" s="575">
        <v>17500</v>
      </c>
    </row>
    <row r="630" spans="1:3">
      <c r="A630" s="576" t="s">
        <v>639</v>
      </c>
      <c r="B630" s="577" t="s">
        <v>725</v>
      </c>
      <c r="C630" s="575">
        <v>22688</v>
      </c>
    </row>
    <row r="631" spans="1:3">
      <c r="A631" s="576" t="s">
        <v>685</v>
      </c>
      <c r="B631" s="577" t="s">
        <v>684</v>
      </c>
      <c r="C631" s="575">
        <v>389670</v>
      </c>
    </row>
    <row r="632" spans="1:3">
      <c r="A632" s="576" t="s">
        <v>687</v>
      </c>
      <c r="B632" s="577" t="s">
        <v>686</v>
      </c>
      <c r="C632" s="575">
        <v>2700</v>
      </c>
    </row>
    <row r="633" spans="1:3">
      <c r="A633" s="576" t="s">
        <v>674</v>
      </c>
      <c r="B633" s="577" t="s">
        <v>673</v>
      </c>
      <c r="C633" s="575">
        <v>1200</v>
      </c>
    </row>
    <row r="634" spans="1:3">
      <c r="A634" s="576" t="s">
        <v>694</v>
      </c>
      <c r="B634" s="577" t="s">
        <v>693</v>
      </c>
      <c r="C634" s="575">
        <v>1200</v>
      </c>
    </row>
    <row r="635" spans="1:3" ht="31.5">
      <c r="A635" s="576" t="s">
        <v>642</v>
      </c>
      <c r="B635" s="577" t="s">
        <v>677</v>
      </c>
      <c r="C635" s="575">
        <v>32644</v>
      </c>
    </row>
    <row r="636" spans="1:3">
      <c r="A636" s="576" t="s">
        <v>248</v>
      </c>
      <c r="B636" s="577" t="s">
        <v>735</v>
      </c>
      <c r="C636" s="575">
        <v>1400</v>
      </c>
    </row>
    <row r="637" spans="1:3" ht="31.5">
      <c r="A637" s="576" t="s">
        <v>242</v>
      </c>
      <c r="B637" s="577" t="s">
        <v>736</v>
      </c>
      <c r="C637" s="575">
        <v>250</v>
      </c>
    </row>
    <row r="638" spans="1:3" ht="31.5">
      <c r="A638" s="576" t="s">
        <v>243</v>
      </c>
      <c r="B638" s="577" t="s">
        <v>750</v>
      </c>
      <c r="C638" s="575">
        <v>1150</v>
      </c>
    </row>
    <row r="639" spans="1:3">
      <c r="A639" s="574" t="s">
        <v>866</v>
      </c>
      <c r="B639" s="578"/>
      <c r="C639" s="575">
        <v>822974</v>
      </c>
    </row>
    <row r="640" spans="1:3">
      <c r="A640" s="576"/>
      <c r="B640" s="577"/>
      <c r="C640" s="575"/>
    </row>
    <row r="641" spans="1:3">
      <c r="A641" s="576" t="s">
        <v>647</v>
      </c>
      <c r="B641" s="577" t="s">
        <v>688</v>
      </c>
      <c r="C641" s="575">
        <v>181656</v>
      </c>
    </row>
    <row r="642" spans="1:3">
      <c r="A642" s="576" t="s">
        <v>648</v>
      </c>
      <c r="B642" s="577" t="s">
        <v>689</v>
      </c>
      <c r="C642" s="575">
        <v>6414</v>
      </c>
    </row>
    <row r="643" spans="1:3">
      <c r="A643" s="576" t="s">
        <v>245</v>
      </c>
      <c r="B643" s="577" t="s">
        <v>719</v>
      </c>
      <c r="C643" s="575">
        <v>6414</v>
      </c>
    </row>
    <row r="644" spans="1:3">
      <c r="A644" s="574" t="s">
        <v>862</v>
      </c>
      <c r="B644" s="578"/>
      <c r="C644" s="575">
        <v>188070</v>
      </c>
    </row>
    <row r="645" spans="1:3">
      <c r="A645" s="574" t="s">
        <v>1227</v>
      </c>
      <c r="B645" s="574"/>
      <c r="C645" s="575">
        <v>1011044</v>
      </c>
    </row>
    <row r="646" spans="1:3">
      <c r="A646" s="576"/>
      <c r="B646" s="573"/>
      <c r="C646" s="575"/>
    </row>
    <row r="647" spans="1:3">
      <c r="A647" s="574" t="s">
        <v>743</v>
      </c>
      <c r="B647" s="578"/>
      <c r="C647" s="578"/>
    </row>
    <row r="648" spans="1:3" ht="31.5">
      <c r="A648" s="576" t="s">
        <v>345</v>
      </c>
      <c r="B648" s="577" t="s">
        <v>3</v>
      </c>
      <c r="C648" s="575">
        <v>229080</v>
      </c>
    </row>
    <row r="649" spans="1:3" ht="31.5">
      <c r="A649" s="576" t="s">
        <v>707</v>
      </c>
      <c r="B649" s="577" t="s">
        <v>706</v>
      </c>
      <c r="C649" s="575">
        <v>229080</v>
      </c>
    </row>
    <row r="650" spans="1:3">
      <c r="A650" s="576" t="s">
        <v>351</v>
      </c>
      <c r="B650" s="577" t="s">
        <v>668</v>
      </c>
      <c r="C650" s="575">
        <v>10906</v>
      </c>
    </row>
    <row r="651" spans="1:3">
      <c r="A651" s="576" t="s">
        <v>670</v>
      </c>
      <c r="B651" s="577" t="s">
        <v>669</v>
      </c>
      <c r="C651" s="575">
        <v>1740</v>
      </c>
    </row>
    <row r="652" spans="1:3" ht="31.5">
      <c r="A652" s="576" t="s">
        <v>1063</v>
      </c>
      <c r="B652" s="577" t="s">
        <v>1062</v>
      </c>
      <c r="C652" s="575">
        <v>6872</v>
      </c>
    </row>
    <row r="653" spans="1:3">
      <c r="A653" s="576" t="s">
        <v>709</v>
      </c>
      <c r="B653" s="577" t="s">
        <v>708</v>
      </c>
      <c r="C653" s="575">
        <v>2294</v>
      </c>
    </row>
    <row r="654" spans="1:3">
      <c r="A654" s="576" t="s">
        <v>361</v>
      </c>
      <c r="B654" s="577" t="s">
        <v>712</v>
      </c>
      <c r="C654" s="575">
        <v>45684</v>
      </c>
    </row>
    <row r="655" spans="1:3" ht="31.5">
      <c r="A655" s="576" t="s">
        <v>714</v>
      </c>
      <c r="B655" s="577" t="s">
        <v>713</v>
      </c>
      <c r="C655" s="575">
        <v>27620</v>
      </c>
    </row>
    <row r="656" spans="1:3">
      <c r="A656" s="576" t="s">
        <v>716</v>
      </c>
      <c r="B656" s="577" t="s">
        <v>715</v>
      </c>
      <c r="C656" s="575">
        <v>11409</v>
      </c>
    </row>
    <row r="657" spans="1:3">
      <c r="A657" s="576" t="s">
        <v>718</v>
      </c>
      <c r="B657" s="577" t="s">
        <v>717</v>
      </c>
      <c r="C657" s="575">
        <v>6655</v>
      </c>
    </row>
    <row r="658" spans="1:3">
      <c r="A658" s="576" t="s">
        <v>371</v>
      </c>
      <c r="B658" s="577" t="s">
        <v>671</v>
      </c>
      <c r="C658" s="575">
        <v>92358</v>
      </c>
    </row>
    <row r="659" spans="1:3">
      <c r="A659" s="576" t="s">
        <v>732</v>
      </c>
      <c r="B659" s="577" t="s">
        <v>731</v>
      </c>
      <c r="C659" s="575">
        <v>23916</v>
      </c>
    </row>
    <row r="660" spans="1:3">
      <c r="A660" s="576" t="s">
        <v>734</v>
      </c>
      <c r="B660" s="577" t="s">
        <v>733</v>
      </c>
      <c r="C660" s="575">
        <v>292</v>
      </c>
    </row>
    <row r="661" spans="1:3">
      <c r="A661" s="576" t="s">
        <v>724</v>
      </c>
      <c r="B661" s="577" t="s">
        <v>723</v>
      </c>
      <c r="C661" s="575">
        <v>1294</v>
      </c>
    </row>
    <row r="662" spans="1:3">
      <c r="A662" s="576" t="s">
        <v>638</v>
      </c>
      <c r="B662" s="577" t="s">
        <v>672</v>
      </c>
      <c r="C662" s="575">
        <v>3511</v>
      </c>
    </row>
    <row r="663" spans="1:3">
      <c r="A663" s="576" t="s">
        <v>639</v>
      </c>
      <c r="B663" s="577" t="s">
        <v>725</v>
      </c>
      <c r="C663" s="575">
        <v>49407</v>
      </c>
    </row>
    <row r="664" spans="1:3">
      <c r="A664" s="576" t="s">
        <v>685</v>
      </c>
      <c r="B664" s="577" t="s">
        <v>684</v>
      </c>
      <c r="C664" s="575">
        <v>12236</v>
      </c>
    </row>
    <row r="665" spans="1:3">
      <c r="A665" s="576" t="s">
        <v>674</v>
      </c>
      <c r="B665" s="577" t="s">
        <v>673</v>
      </c>
      <c r="C665" s="575">
        <v>1402</v>
      </c>
    </row>
    <row r="666" spans="1:3">
      <c r="A666" s="576" t="s">
        <v>694</v>
      </c>
      <c r="B666" s="577" t="s">
        <v>693</v>
      </c>
      <c r="C666" s="575">
        <v>300</v>
      </c>
    </row>
    <row r="667" spans="1:3">
      <c r="A667" s="574" t="s">
        <v>866</v>
      </c>
      <c r="B667" s="578"/>
      <c r="C667" s="575">
        <v>378028</v>
      </c>
    </row>
    <row r="668" spans="1:3">
      <c r="A668" s="574" t="s">
        <v>1228</v>
      </c>
      <c r="B668" s="574"/>
      <c r="C668" s="575">
        <v>378028</v>
      </c>
    </row>
    <row r="669" spans="1:3">
      <c r="A669" s="576"/>
      <c r="B669" s="573"/>
      <c r="C669" s="575"/>
    </row>
    <row r="670" spans="1:3">
      <c r="A670" s="574" t="s">
        <v>1505</v>
      </c>
      <c r="B670" s="578"/>
      <c r="C670" s="578"/>
    </row>
    <row r="671" spans="1:3" ht="31.5">
      <c r="A671" s="576" t="s">
        <v>345</v>
      </c>
      <c r="B671" s="577" t="s">
        <v>3</v>
      </c>
      <c r="C671" s="575">
        <v>798392</v>
      </c>
    </row>
    <row r="672" spans="1:3" ht="31.5">
      <c r="A672" s="576" t="s">
        <v>707</v>
      </c>
      <c r="B672" s="577" t="s">
        <v>706</v>
      </c>
      <c r="C672" s="575">
        <v>798392</v>
      </c>
    </row>
    <row r="673" spans="1:3">
      <c r="A673" s="576" t="s">
        <v>351</v>
      </c>
      <c r="B673" s="577" t="s">
        <v>668</v>
      </c>
      <c r="C673" s="575">
        <v>25102</v>
      </c>
    </row>
    <row r="674" spans="1:3" ht="31.5">
      <c r="A674" s="576" t="s">
        <v>1063</v>
      </c>
      <c r="B674" s="577" t="s">
        <v>1062</v>
      </c>
      <c r="C674" s="575">
        <v>23176</v>
      </c>
    </row>
    <row r="675" spans="1:3">
      <c r="A675" s="576" t="s">
        <v>709</v>
      </c>
      <c r="B675" s="577" t="s">
        <v>708</v>
      </c>
      <c r="C675" s="575">
        <v>1926</v>
      </c>
    </row>
    <row r="676" spans="1:3">
      <c r="A676" s="576" t="s">
        <v>361</v>
      </c>
      <c r="B676" s="577" t="s">
        <v>712</v>
      </c>
      <c r="C676" s="575">
        <v>157905</v>
      </c>
    </row>
    <row r="677" spans="1:3" ht="31.5">
      <c r="A677" s="576" t="s">
        <v>714</v>
      </c>
      <c r="B677" s="577" t="s">
        <v>713</v>
      </c>
      <c r="C677" s="575">
        <v>95466</v>
      </c>
    </row>
    <row r="678" spans="1:3">
      <c r="A678" s="576" t="s">
        <v>716</v>
      </c>
      <c r="B678" s="577" t="s">
        <v>715</v>
      </c>
      <c r="C678" s="575">
        <v>39435</v>
      </c>
    </row>
    <row r="679" spans="1:3">
      <c r="A679" s="576" t="s">
        <v>718</v>
      </c>
      <c r="B679" s="577" t="s">
        <v>717</v>
      </c>
      <c r="C679" s="575">
        <v>23004</v>
      </c>
    </row>
    <row r="680" spans="1:3">
      <c r="A680" s="576" t="s">
        <v>371</v>
      </c>
      <c r="B680" s="577" t="s">
        <v>671</v>
      </c>
      <c r="C680" s="575">
        <v>62365</v>
      </c>
    </row>
    <row r="681" spans="1:3">
      <c r="A681" s="576" t="s">
        <v>724</v>
      </c>
      <c r="B681" s="577" t="s">
        <v>723</v>
      </c>
      <c r="C681" s="575">
        <v>5015</v>
      </c>
    </row>
    <row r="682" spans="1:3">
      <c r="A682" s="576" t="s">
        <v>638</v>
      </c>
      <c r="B682" s="577" t="s">
        <v>672</v>
      </c>
      <c r="C682" s="575">
        <v>7202</v>
      </c>
    </row>
    <row r="683" spans="1:3" ht="27" customHeight="1">
      <c r="A683" s="576" t="s">
        <v>642</v>
      </c>
      <c r="B683" s="577" t="s">
        <v>677</v>
      </c>
      <c r="C683" s="575">
        <v>50148</v>
      </c>
    </row>
    <row r="684" spans="1:3">
      <c r="A684" s="574" t="s">
        <v>866</v>
      </c>
      <c r="B684" s="578"/>
      <c r="C684" s="575">
        <v>1043764</v>
      </c>
    </row>
    <row r="685" spans="1:3">
      <c r="A685" s="576" t="s">
        <v>648</v>
      </c>
      <c r="B685" s="577" t="s">
        <v>689</v>
      </c>
      <c r="C685" s="575">
        <v>1994</v>
      </c>
    </row>
    <row r="686" spans="1:3">
      <c r="A686" s="576" t="s">
        <v>240</v>
      </c>
      <c r="B686" s="577" t="s">
        <v>721</v>
      </c>
      <c r="C686" s="575">
        <v>1994</v>
      </c>
    </row>
    <row r="687" spans="1:3">
      <c r="A687" s="574" t="s">
        <v>862</v>
      </c>
      <c r="B687" s="578"/>
      <c r="C687" s="575">
        <v>1994</v>
      </c>
    </row>
    <row r="688" spans="1:3">
      <c r="A688" s="574" t="s">
        <v>1504</v>
      </c>
      <c r="B688" s="574"/>
      <c r="C688" s="575">
        <v>1045758</v>
      </c>
    </row>
    <row r="689" spans="1:3">
      <c r="A689" s="576"/>
      <c r="B689" s="573"/>
      <c r="C689" s="575"/>
    </row>
    <row r="690" spans="1:3">
      <c r="A690" s="574" t="s">
        <v>1084</v>
      </c>
      <c r="B690" s="578"/>
      <c r="C690" s="578"/>
    </row>
    <row r="691" spans="1:3">
      <c r="A691" s="576" t="s">
        <v>351</v>
      </c>
      <c r="B691" s="577" t="s">
        <v>668</v>
      </c>
      <c r="C691" s="575">
        <v>16184</v>
      </c>
    </row>
    <row r="692" spans="1:3">
      <c r="A692" s="576" t="s">
        <v>739</v>
      </c>
      <c r="B692" s="577" t="s">
        <v>738</v>
      </c>
      <c r="C692" s="575">
        <v>16184</v>
      </c>
    </row>
    <row r="693" spans="1:3">
      <c r="A693" s="574" t="s">
        <v>866</v>
      </c>
      <c r="B693" s="578"/>
      <c r="C693" s="575">
        <v>16184</v>
      </c>
    </row>
    <row r="694" spans="1:3">
      <c r="A694" s="574" t="s">
        <v>1230</v>
      </c>
      <c r="B694" s="574"/>
      <c r="C694" s="575">
        <v>16184</v>
      </c>
    </row>
    <row r="695" spans="1:3">
      <c r="A695" s="576"/>
      <c r="B695" s="573"/>
      <c r="C695" s="575"/>
    </row>
    <row r="696" spans="1:3" ht="31.5">
      <c r="A696" s="574" t="s">
        <v>744</v>
      </c>
      <c r="B696" s="578"/>
      <c r="C696" s="578"/>
    </row>
    <row r="697" spans="1:3">
      <c r="A697" s="576" t="s">
        <v>371</v>
      </c>
      <c r="B697" s="577" t="s">
        <v>671</v>
      </c>
      <c r="C697" s="575">
        <v>11639</v>
      </c>
    </row>
    <row r="698" spans="1:3">
      <c r="A698" s="576" t="s">
        <v>732</v>
      </c>
      <c r="B698" s="577" t="s">
        <v>731</v>
      </c>
      <c r="C698" s="575">
        <v>10281</v>
      </c>
    </row>
    <row r="699" spans="1:3">
      <c r="A699" s="576" t="s">
        <v>638</v>
      </c>
      <c r="B699" s="577" t="s">
        <v>672</v>
      </c>
      <c r="C699" s="575">
        <v>784</v>
      </c>
    </row>
    <row r="700" spans="1:3">
      <c r="A700" s="576" t="s">
        <v>639</v>
      </c>
      <c r="B700" s="577" t="s">
        <v>725</v>
      </c>
      <c r="C700" s="575">
        <v>522</v>
      </c>
    </row>
    <row r="701" spans="1:3">
      <c r="A701" s="576" t="s">
        <v>685</v>
      </c>
      <c r="B701" s="577" t="s">
        <v>684</v>
      </c>
      <c r="C701" s="575">
        <v>52</v>
      </c>
    </row>
    <row r="702" spans="1:3">
      <c r="A702" s="576" t="s">
        <v>249</v>
      </c>
      <c r="B702" s="577" t="s">
        <v>728</v>
      </c>
      <c r="C702" s="575">
        <v>27106</v>
      </c>
    </row>
    <row r="703" spans="1:3">
      <c r="A703" s="576" t="s">
        <v>746</v>
      </c>
      <c r="B703" s="577" t="s">
        <v>745</v>
      </c>
      <c r="C703" s="575">
        <v>27106</v>
      </c>
    </row>
    <row r="704" spans="1:3">
      <c r="A704" s="574" t="s">
        <v>866</v>
      </c>
      <c r="B704" s="578"/>
      <c r="C704" s="575">
        <v>38745</v>
      </c>
    </row>
    <row r="705" spans="1:3" ht="31.5">
      <c r="A705" s="574" t="s">
        <v>957</v>
      </c>
      <c r="B705" s="574"/>
      <c r="C705" s="575">
        <v>38745</v>
      </c>
    </row>
    <row r="706" spans="1:3">
      <c r="A706" s="576"/>
      <c r="B706" s="573"/>
      <c r="C706" s="575"/>
    </row>
    <row r="707" spans="1:3" ht="31.5">
      <c r="A707" s="574" t="s">
        <v>868</v>
      </c>
      <c r="B707" s="574"/>
      <c r="C707" s="575">
        <v>11624448</v>
      </c>
    </row>
    <row r="708" spans="1:3">
      <c r="A708" s="576"/>
      <c r="B708" s="573"/>
      <c r="C708" s="575"/>
    </row>
    <row r="709" spans="1:3" ht="31.5">
      <c r="A709" s="574" t="s">
        <v>867</v>
      </c>
      <c r="B709" s="574"/>
      <c r="C709" s="575">
        <v>11624448</v>
      </c>
    </row>
    <row r="710" spans="1:3">
      <c r="A710" s="576"/>
      <c r="B710" s="573"/>
      <c r="C710" s="575"/>
    </row>
    <row r="711" spans="1:3" ht="31.5">
      <c r="A711" s="574" t="s">
        <v>1231</v>
      </c>
      <c r="B711" s="578"/>
      <c r="C711" s="578"/>
    </row>
    <row r="712" spans="1:3">
      <c r="A712" s="574" t="s">
        <v>747</v>
      </c>
      <c r="B712" s="578"/>
      <c r="C712" s="578"/>
    </row>
    <row r="713" spans="1:3">
      <c r="A713" s="574" t="s">
        <v>748</v>
      </c>
      <c r="B713" s="578"/>
      <c r="C713" s="578"/>
    </row>
    <row r="714" spans="1:3">
      <c r="A714" s="576" t="s">
        <v>371</v>
      </c>
      <c r="B714" s="577" t="s">
        <v>671</v>
      </c>
      <c r="C714" s="575">
        <v>41494</v>
      </c>
    </row>
    <row r="715" spans="1:3" ht="31.5">
      <c r="A715" s="576" t="s">
        <v>642</v>
      </c>
      <c r="B715" s="577" t="s">
        <v>677</v>
      </c>
      <c r="C715" s="575">
        <v>41494</v>
      </c>
    </row>
    <row r="716" spans="1:3">
      <c r="A716" s="574" t="s">
        <v>866</v>
      </c>
      <c r="B716" s="578"/>
      <c r="C716" s="575">
        <v>41494</v>
      </c>
    </row>
    <row r="717" spans="1:3">
      <c r="A717" s="576"/>
      <c r="B717" s="577"/>
      <c r="C717" s="575"/>
    </row>
    <row r="718" spans="1:3">
      <c r="A718" s="574" t="s">
        <v>1232</v>
      </c>
      <c r="B718" s="574"/>
      <c r="C718" s="575">
        <v>41494</v>
      </c>
    </row>
    <row r="719" spans="1:3">
      <c r="A719" s="574" t="s">
        <v>928</v>
      </c>
      <c r="B719" s="574"/>
      <c r="C719" s="575">
        <v>41494</v>
      </c>
    </row>
    <row r="720" spans="1:3">
      <c r="A720" s="576"/>
      <c r="B720" s="573"/>
      <c r="C720" s="575"/>
    </row>
    <row r="721" spans="1:3">
      <c r="A721" s="574" t="s">
        <v>749</v>
      </c>
      <c r="B721" s="578"/>
      <c r="C721" s="578"/>
    </row>
    <row r="722" spans="1:3">
      <c r="A722" s="574" t="s">
        <v>978</v>
      </c>
      <c r="B722" s="578"/>
      <c r="C722" s="578"/>
    </row>
    <row r="723" spans="1:3" ht="31.5">
      <c r="A723" s="576" t="s">
        <v>402</v>
      </c>
      <c r="B723" s="577" t="s">
        <v>857</v>
      </c>
      <c r="C723" s="575">
        <v>1200230</v>
      </c>
    </row>
    <row r="724" spans="1:3">
      <c r="A724" s="574" t="s">
        <v>930</v>
      </c>
      <c r="B724" s="578"/>
      <c r="C724" s="575">
        <v>1200230</v>
      </c>
    </row>
    <row r="725" spans="1:3">
      <c r="A725" s="576"/>
      <c r="B725" s="577"/>
      <c r="C725" s="575"/>
    </row>
    <row r="726" spans="1:3">
      <c r="A726" s="574" t="s">
        <v>977</v>
      </c>
      <c r="B726" s="574"/>
      <c r="C726" s="575">
        <v>1200230</v>
      </c>
    </row>
    <row r="727" spans="1:3">
      <c r="A727" s="576"/>
      <c r="B727" s="573"/>
      <c r="C727" s="575"/>
    </row>
    <row r="728" spans="1:3" ht="31.5">
      <c r="A728" s="574" t="s">
        <v>1233</v>
      </c>
      <c r="B728" s="578"/>
      <c r="C728" s="578"/>
    </row>
    <row r="729" spans="1:3" ht="31.5">
      <c r="A729" s="576" t="s">
        <v>345</v>
      </c>
      <c r="B729" s="577" t="s">
        <v>3</v>
      </c>
      <c r="C729" s="575">
        <v>1912621</v>
      </c>
    </row>
    <row r="730" spans="1:3" ht="31.5">
      <c r="A730" s="576" t="s">
        <v>707</v>
      </c>
      <c r="B730" s="577" t="s">
        <v>706</v>
      </c>
      <c r="C730" s="575">
        <v>1912621</v>
      </c>
    </row>
    <row r="731" spans="1:3">
      <c r="A731" s="576" t="s">
        <v>351</v>
      </c>
      <c r="B731" s="577" t="s">
        <v>668</v>
      </c>
      <c r="C731" s="575">
        <v>92382</v>
      </c>
    </row>
    <row r="732" spans="1:3">
      <c r="A732" s="576" t="s">
        <v>670</v>
      </c>
      <c r="B732" s="577" t="s">
        <v>669</v>
      </c>
      <c r="C732" s="575">
        <v>20000</v>
      </c>
    </row>
    <row r="733" spans="1:3" ht="31.5">
      <c r="A733" s="576" t="s">
        <v>1063</v>
      </c>
      <c r="B733" s="577" t="s">
        <v>1062</v>
      </c>
      <c r="C733" s="575">
        <v>42182</v>
      </c>
    </row>
    <row r="734" spans="1:3">
      <c r="A734" s="576" t="s">
        <v>709</v>
      </c>
      <c r="B734" s="577" t="s">
        <v>708</v>
      </c>
      <c r="C734" s="575">
        <v>30200</v>
      </c>
    </row>
    <row r="735" spans="1:3">
      <c r="A735" s="576" t="s">
        <v>361</v>
      </c>
      <c r="B735" s="577" t="s">
        <v>712</v>
      </c>
      <c r="C735" s="575">
        <v>372962</v>
      </c>
    </row>
    <row r="736" spans="1:3" ht="31.5">
      <c r="A736" s="576" t="s">
        <v>714</v>
      </c>
      <c r="B736" s="577" t="s">
        <v>713</v>
      </c>
      <c r="C736" s="575">
        <v>232657</v>
      </c>
    </row>
    <row r="737" spans="1:3">
      <c r="A737" s="576" t="s">
        <v>716</v>
      </c>
      <c r="B737" s="577" t="s">
        <v>715</v>
      </c>
      <c r="C737" s="575">
        <v>93605</v>
      </c>
    </row>
    <row r="738" spans="1:3">
      <c r="A738" s="576" t="s">
        <v>718</v>
      </c>
      <c r="B738" s="577" t="s">
        <v>717</v>
      </c>
      <c r="C738" s="575">
        <v>46700</v>
      </c>
    </row>
    <row r="739" spans="1:3">
      <c r="A739" s="576" t="s">
        <v>371</v>
      </c>
      <c r="B739" s="577" t="s">
        <v>671</v>
      </c>
      <c r="C739" s="575">
        <v>404503</v>
      </c>
    </row>
    <row r="740" spans="1:3">
      <c r="A740" s="576" t="s">
        <v>724</v>
      </c>
      <c r="B740" s="577" t="s">
        <v>723</v>
      </c>
      <c r="C740" s="575">
        <v>43200</v>
      </c>
    </row>
    <row r="741" spans="1:3">
      <c r="A741" s="576" t="s">
        <v>965</v>
      </c>
      <c r="B741" s="577" t="s">
        <v>964</v>
      </c>
      <c r="C741" s="575">
        <v>1100</v>
      </c>
    </row>
    <row r="742" spans="1:3">
      <c r="A742" s="576" t="s">
        <v>638</v>
      </c>
      <c r="B742" s="577" t="s">
        <v>672</v>
      </c>
      <c r="C742" s="575">
        <v>57000</v>
      </c>
    </row>
    <row r="743" spans="1:3">
      <c r="A743" s="576" t="s">
        <v>639</v>
      </c>
      <c r="B743" s="577" t="s">
        <v>725</v>
      </c>
      <c r="C743" s="575">
        <v>200700</v>
      </c>
    </row>
    <row r="744" spans="1:3">
      <c r="A744" s="576" t="s">
        <v>685</v>
      </c>
      <c r="B744" s="577" t="s">
        <v>684</v>
      </c>
      <c r="C744" s="575">
        <v>93900</v>
      </c>
    </row>
    <row r="745" spans="1:3">
      <c r="A745" s="576" t="s">
        <v>674</v>
      </c>
      <c r="B745" s="577" t="s">
        <v>673</v>
      </c>
      <c r="C745" s="575">
        <v>4140</v>
      </c>
    </row>
    <row r="746" spans="1:3">
      <c r="A746" s="576" t="s">
        <v>694</v>
      </c>
      <c r="B746" s="577" t="s">
        <v>693</v>
      </c>
      <c r="C746" s="575">
        <v>4463</v>
      </c>
    </row>
    <row r="747" spans="1:3">
      <c r="A747" s="576" t="s">
        <v>248</v>
      </c>
      <c r="B747" s="577" t="s">
        <v>735</v>
      </c>
      <c r="C747" s="575">
        <v>21570</v>
      </c>
    </row>
    <row r="748" spans="1:3" ht="31.5">
      <c r="A748" s="576" t="s">
        <v>242</v>
      </c>
      <c r="B748" s="577" t="s">
        <v>736</v>
      </c>
      <c r="C748" s="575">
        <v>970</v>
      </c>
    </row>
    <row r="749" spans="1:3" ht="31.5">
      <c r="A749" s="576" t="s">
        <v>243</v>
      </c>
      <c r="B749" s="577" t="s">
        <v>750</v>
      </c>
      <c r="C749" s="575">
        <v>20600</v>
      </c>
    </row>
    <row r="750" spans="1:3">
      <c r="A750" s="574" t="s">
        <v>866</v>
      </c>
      <c r="B750" s="578"/>
      <c r="C750" s="575">
        <v>2804038</v>
      </c>
    </row>
    <row r="751" spans="1:3">
      <c r="A751" s="576" t="s">
        <v>648</v>
      </c>
      <c r="B751" s="577" t="s">
        <v>689</v>
      </c>
      <c r="C751" s="575">
        <v>15060</v>
      </c>
    </row>
    <row r="752" spans="1:3">
      <c r="A752" s="576" t="s">
        <v>240</v>
      </c>
      <c r="B752" s="577" t="s">
        <v>721</v>
      </c>
      <c r="C752" s="575">
        <v>15060</v>
      </c>
    </row>
    <row r="753" spans="1:3">
      <c r="A753" s="574" t="s">
        <v>862</v>
      </c>
      <c r="B753" s="578"/>
      <c r="C753" s="575">
        <v>15060</v>
      </c>
    </row>
    <row r="754" spans="1:3" ht="31.5">
      <c r="A754" s="574" t="s">
        <v>865</v>
      </c>
      <c r="B754" s="574"/>
      <c r="C754" s="575">
        <v>2819098</v>
      </c>
    </row>
    <row r="755" spans="1:3">
      <c r="A755" s="576"/>
      <c r="B755" s="573"/>
      <c r="C755" s="575"/>
    </row>
    <row r="756" spans="1:3">
      <c r="A756" s="574" t="s">
        <v>751</v>
      </c>
      <c r="B756" s="578"/>
      <c r="C756" s="578"/>
    </row>
    <row r="757" spans="1:3" ht="31.5">
      <c r="A757" s="576" t="s">
        <v>345</v>
      </c>
      <c r="B757" s="577" t="s">
        <v>3</v>
      </c>
      <c r="C757" s="575">
        <v>758038</v>
      </c>
    </row>
    <row r="758" spans="1:3" ht="31.5">
      <c r="A758" s="576" t="s">
        <v>707</v>
      </c>
      <c r="B758" s="577" t="s">
        <v>706</v>
      </c>
      <c r="C758" s="575">
        <v>758038</v>
      </c>
    </row>
    <row r="759" spans="1:3">
      <c r="A759" s="576" t="s">
        <v>351</v>
      </c>
      <c r="B759" s="577" t="s">
        <v>668</v>
      </c>
      <c r="C759" s="575">
        <v>46787</v>
      </c>
    </row>
    <row r="760" spans="1:3">
      <c r="A760" s="576" t="s">
        <v>670</v>
      </c>
      <c r="B760" s="577" t="s">
        <v>669</v>
      </c>
      <c r="C760" s="575">
        <v>11400</v>
      </c>
    </row>
    <row r="761" spans="1:3" ht="31.5">
      <c r="A761" s="576" t="s">
        <v>1063</v>
      </c>
      <c r="B761" s="577" t="s">
        <v>1062</v>
      </c>
      <c r="C761" s="575">
        <v>17887</v>
      </c>
    </row>
    <row r="762" spans="1:3">
      <c r="A762" s="576" t="s">
        <v>709</v>
      </c>
      <c r="B762" s="577" t="s">
        <v>708</v>
      </c>
      <c r="C762" s="575">
        <v>17500</v>
      </c>
    </row>
    <row r="763" spans="1:3">
      <c r="A763" s="576" t="s">
        <v>361</v>
      </c>
      <c r="B763" s="577" t="s">
        <v>712</v>
      </c>
      <c r="C763" s="575">
        <v>149749</v>
      </c>
    </row>
    <row r="764" spans="1:3" ht="31.5">
      <c r="A764" s="576" t="s">
        <v>714</v>
      </c>
      <c r="B764" s="577" t="s">
        <v>713</v>
      </c>
      <c r="C764" s="575">
        <v>89912</v>
      </c>
    </row>
    <row r="765" spans="1:3">
      <c r="A765" s="576" t="s">
        <v>716</v>
      </c>
      <c r="B765" s="577" t="s">
        <v>715</v>
      </c>
      <c r="C765" s="575">
        <v>37792</v>
      </c>
    </row>
    <row r="766" spans="1:3">
      <c r="A766" s="576" t="s">
        <v>718</v>
      </c>
      <c r="B766" s="577" t="s">
        <v>717</v>
      </c>
      <c r="C766" s="575">
        <v>22045</v>
      </c>
    </row>
    <row r="767" spans="1:3">
      <c r="A767" s="576" t="s">
        <v>371</v>
      </c>
      <c r="B767" s="577" t="s">
        <v>671</v>
      </c>
      <c r="C767" s="575">
        <v>136914</v>
      </c>
    </row>
    <row r="768" spans="1:3">
      <c r="A768" s="576" t="s">
        <v>724</v>
      </c>
      <c r="B768" s="577" t="s">
        <v>723</v>
      </c>
      <c r="C768" s="575">
        <v>1000</v>
      </c>
    </row>
    <row r="769" spans="1:3">
      <c r="A769" s="576" t="s">
        <v>965</v>
      </c>
      <c r="B769" s="577" t="s">
        <v>964</v>
      </c>
      <c r="C769" s="575">
        <v>17650</v>
      </c>
    </row>
    <row r="770" spans="1:3">
      <c r="A770" s="576" t="s">
        <v>638</v>
      </c>
      <c r="B770" s="577" t="s">
        <v>672</v>
      </c>
      <c r="C770" s="575">
        <v>18894</v>
      </c>
    </row>
    <row r="771" spans="1:3">
      <c r="A771" s="576" t="s">
        <v>639</v>
      </c>
      <c r="B771" s="577" t="s">
        <v>725</v>
      </c>
      <c r="C771" s="575">
        <v>55956</v>
      </c>
    </row>
    <row r="772" spans="1:3">
      <c r="A772" s="576" t="s">
        <v>685</v>
      </c>
      <c r="B772" s="577" t="s">
        <v>684</v>
      </c>
      <c r="C772" s="575">
        <v>10282</v>
      </c>
    </row>
    <row r="773" spans="1:3">
      <c r="A773" s="576" t="s">
        <v>687</v>
      </c>
      <c r="B773" s="577" t="s">
        <v>686</v>
      </c>
      <c r="C773" s="575">
        <v>12000</v>
      </c>
    </row>
    <row r="774" spans="1:3">
      <c r="A774" s="576" t="s">
        <v>674</v>
      </c>
      <c r="B774" s="577" t="s">
        <v>673</v>
      </c>
      <c r="C774" s="575">
        <v>3000</v>
      </c>
    </row>
    <row r="775" spans="1:3">
      <c r="A775" s="576" t="s">
        <v>694</v>
      </c>
      <c r="B775" s="577" t="s">
        <v>693</v>
      </c>
      <c r="C775" s="575">
        <v>4700</v>
      </c>
    </row>
    <row r="776" spans="1:3" ht="31.5">
      <c r="A776" s="576" t="s">
        <v>642</v>
      </c>
      <c r="B776" s="577" t="s">
        <v>677</v>
      </c>
      <c r="C776" s="575">
        <v>13432</v>
      </c>
    </row>
    <row r="777" spans="1:3">
      <c r="A777" s="576" t="s">
        <v>248</v>
      </c>
      <c r="B777" s="577" t="s">
        <v>735</v>
      </c>
      <c r="C777" s="575">
        <v>1400</v>
      </c>
    </row>
    <row r="778" spans="1:3" ht="31.5">
      <c r="A778" s="576" t="s">
        <v>242</v>
      </c>
      <c r="B778" s="577" t="s">
        <v>736</v>
      </c>
      <c r="C778" s="575">
        <v>300</v>
      </c>
    </row>
    <row r="779" spans="1:3" ht="31.5">
      <c r="A779" s="576" t="s">
        <v>243</v>
      </c>
      <c r="B779" s="577" t="s">
        <v>750</v>
      </c>
      <c r="C779" s="575">
        <v>1100</v>
      </c>
    </row>
    <row r="780" spans="1:3">
      <c r="A780" s="574" t="s">
        <v>866</v>
      </c>
      <c r="B780" s="578"/>
      <c r="C780" s="575">
        <v>1092888</v>
      </c>
    </row>
    <row r="781" spans="1:3">
      <c r="A781" s="576"/>
      <c r="B781" s="577"/>
      <c r="C781" s="575"/>
    </row>
    <row r="782" spans="1:3">
      <c r="A782" s="576" t="s">
        <v>647</v>
      </c>
      <c r="B782" s="577" t="s">
        <v>688</v>
      </c>
      <c r="C782" s="575">
        <v>96000</v>
      </c>
    </row>
    <row r="783" spans="1:3">
      <c r="A783" s="576" t="s">
        <v>648</v>
      </c>
      <c r="B783" s="577" t="s">
        <v>689</v>
      </c>
      <c r="C783" s="575">
        <v>12500</v>
      </c>
    </row>
    <row r="784" spans="1:3">
      <c r="A784" s="576" t="s">
        <v>240</v>
      </c>
      <c r="B784" s="577" t="s">
        <v>721</v>
      </c>
      <c r="C784" s="575">
        <v>10500</v>
      </c>
    </row>
    <row r="785" spans="1:3">
      <c r="A785" s="576" t="s">
        <v>941</v>
      </c>
      <c r="B785" s="577" t="s">
        <v>940</v>
      </c>
      <c r="C785" s="575">
        <v>2000</v>
      </c>
    </row>
    <row r="786" spans="1:3">
      <c r="A786" s="576" t="s">
        <v>414</v>
      </c>
      <c r="B786" s="577" t="s">
        <v>864</v>
      </c>
      <c r="C786" s="575">
        <v>2470</v>
      </c>
    </row>
    <row r="787" spans="1:3" ht="31.5">
      <c r="A787" s="576" t="s">
        <v>247</v>
      </c>
      <c r="B787" s="577" t="s">
        <v>863</v>
      </c>
      <c r="C787" s="575">
        <v>2470</v>
      </c>
    </row>
    <row r="788" spans="1:3">
      <c r="A788" s="574" t="s">
        <v>862</v>
      </c>
      <c r="B788" s="578"/>
      <c r="C788" s="575">
        <v>110970</v>
      </c>
    </row>
    <row r="789" spans="1:3">
      <c r="A789" s="574" t="s">
        <v>861</v>
      </c>
      <c r="B789" s="574"/>
      <c r="C789" s="575">
        <v>1203858</v>
      </c>
    </row>
    <row r="790" spans="1:3">
      <c r="A790" s="576"/>
      <c r="B790" s="573"/>
      <c r="C790" s="575"/>
    </row>
    <row r="791" spans="1:3">
      <c r="A791" s="574" t="s">
        <v>752</v>
      </c>
      <c r="B791" s="578"/>
      <c r="C791" s="578"/>
    </row>
    <row r="792" spans="1:3">
      <c r="A792" s="576" t="s">
        <v>371</v>
      </c>
      <c r="B792" s="577" t="s">
        <v>671</v>
      </c>
      <c r="C792" s="575">
        <v>15000</v>
      </c>
    </row>
    <row r="793" spans="1:3">
      <c r="A793" s="576" t="s">
        <v>687</v>
      </c>
      <c r="B793" s="577" t="s">
        <v>686</v>
      </c>
      <c r="C793" s="575">
        <v>15000</v>
      </c>
    </row>
    <row r="794" spans="1:3">
      <c r="A794" s="574" t="s">
        <v>866</v>
      </c>
      <c r="B794" s="578"/>
      <c r="C794" s="575">
        <v>15000</v>
      </c>
    </row>
    <row r="795" spans="1:3">
      <c r="A795" s="574" t="s">
        <v>917</v>
      </c>
      <c r="B795" s="574"/>
      <c r="C795" s="575">
        <v>15000</v>
      </c>
    </row>
    <row r="796" spans="1:3">
      <c r="A796" s="576"/>
      <c r="B796" s="573"/>
      <c r="C796" s="575"/>
    </row>
    <row r="797" spans="1:3">
      <c r="A797" s="574" t="s">
        <v>860</v>
      </c>
      <c r="B797" s="574"/>
      <c r="C797" s="575">
        <v>5238186</v>
      </c>
    </row>
    <row r="798" spans="1:3">
      <c r="A798" s="576"/>
      <c r="B798" s="573"/>
      <c r="C798" s="575"/>
    </row>
    <row r="799" spans="1:3" ht="31.5">
      <c r="A799" s="574" t="s">
        <v>1234</v>
      </c>
      <c r="B799" s="574"/>
      <c r="C799" s="575">
        <v>5279680</v>
      </c>
    </row>
    <row r="800" spans="1:3">
      <c r="A800" s="576"/>
      <c r="B800" s="573"/>
      <c r="C800" s="575"/>
    </row>
    <row r="801" spans="1:3">
      <c r="A801" s="574" t="s">
        <v>1064</v>
      </c>
      <c r="B801" s="578"/>
      <c r="C801" s="578"/>
    </row>
    <row r="802" spans="1:3">
      <c r="A802" s="574" t="s">
        <v>912</v>
      </c>
      <c r="B802" s="578"/>
      <c r="C802" s="578"/>
    </row>
    <row r="803" spans="1:3" ht="31.5">
      <c r="A803" s="574" t="s">
        <v>907</v>
      </c>
      <c r="B803" s="578"/>
      <c r="C803" s="578"/>
    </row>
    <row r="804" spans="1:3">
      <c r="A804" s="576" t="s">
        <v>988</v>
      </c>
      <c r="B804" s="577" t="s">
        <v>987</v>
      </c>
      <c r="C804" s="575">
        <v>112148</v>
      </c>
    </row>
    <row r="805" spans="1:3">
      <c r="A805" s="576" t="s">
        <v>645</v>
      </c>
      <c r="B805" s="577" t="s">
        <v>986</v>
      </c>
      <c r="C805" s="575">
        <v>112148</v>
      </c>
    </row>
    <row r="806" spans="1:3">
      <c r="A806" s="574" t="s">
        <v>930</v>
      </c>
      <c r="B806" s="578"/>
      <c r="C806" s="575">
        <v>112148</v>
      </c>
    </row>
    <row r="807" spans="1:3" ht="31.5">
      <c r="A807" s="574" t="s">
        <v>906</v>
      </c>
      <c r="B807" s="574"/>
      <c r="C807" s="575">
        <v>112148</v>
      </c>
    </row>
    <row r="808" spans="1:3">
      <c r="A808" s="574" t="s">
        <v>905</v>
      </c>
      <c r="B808" s="574"/>
      <c r="C808" s="575">
        <v>112148</v>
      </c>
    </row>
    <row r="809" spans="1:3">
      <c r="A809" s="574" t="s">
        <v>753</v>
      </c>
      <c r="B809" s="578"/>
      <c r="C809" s="578"/>
    </row>
    <row r="810" spans="1:3">
      <c r="A810" s="574" t="s">
        <v>754</v>
      </c>
      <c r="B810" s="578"/>
      <c r="C810" s="578"/>
    </row>
    <row r="811" spans="1:3">
      <c r="A811" s="576" t="s">
        <v>371</v>
      </c>
      <c r="B811" s="577" t="s">
        <v>671</v>
      </c>
      <c r="C811" s="575">
        <v>271</v>
      </c>
    </row>
    <row r="812" spans="1:3">
      <c r="A812" s="576" t="s">
        <v>886</v>
      </c>
      <c r="B812" s="577" t="s">
        <v>885</v>
      </c>
      <c r="C812" s="575">
        <v>271</v>
      </c>
    </row>
    <row r="813" spans="1:3">
      <c r="A813" s="574" t="s">
        <v>866</v>
      </c>
      <c r="B813" s="578"/>
      <c r="C813" s="575">
        <v>271</v>
      </c>
    </row>
    <row r="814" spans="1:3">
      <c r="A814" s="576"/>
      <c r="B814" s="577"/>
      <c r="C814" s="575"/>
    </row>
    <row r="815" spans="1:3">
      <c r="A815" s="574" t="s">
        <v>896</v>
      </c>
      <c r="B815" s="574"/>
      <c r="C815" s="575">
        <v>271</v>
      </c>
    </row>
    <row r="816" spans="1:3">
      <c r="A816" s="576"/>
      <c r="B816" s="573"/>
      <c r="C816" s="575"/>
    </row>
    <row r="817" spans="1:3">
      <c r="A817" s="574" t="s">
        <v>895</v>
      </c>
      <c r="B817" s="574"/>
      <c r="C817" s="575">
        <v>271</v>
      </c>
    </row>
    <row r="818" spans="1:3">
      <c r="A818" s="576"/>
      <c r="B818" s="573"/>
      <c r="C818" s="575"/>
    </row>
    <row r="819" spans="1:3">
      <c r="A819" s="574" t="s">
        <v>1076</v>
      </c>
      <c r="B819" s="574"/>
      <c r="C819" s="575">
        <v>112419</v>
      </c>
    </row>
    <row r="820" spans="1:3">
      <c r="A820" s="576"/>
      <c r="B820" s="573"/>
      <c r="C820" s="575"/>
    </row>
    <row r="821" spans="1:3" s="572" customFormat="1">
      <c r="A821" s="574" t="s">
        <v>1503</v>
      </c>
      <c r="B821" s="573"/>
      <c r="C821" s="573">
        <v>77020881</v>
      </c>
    </row>
    <row r="822" spans="1:3">
      <c r="A822" s="580"/>
      <c r="B822" s="577"/>
      <c r="C822" s="577"/>
    </row>
    <row r="823" spans="1:3">
      <c r="A823" s="579" t="s">
        <v>1235</v>
      </c>
      <c r="B823" s="579"/>
      <c r="C823" s="579"/>
    </row>
    <row r="824" spans="1:3">
      <c r="A824" s="574"/>
      <c r="B824" s="578"/>
      <c r="C824" s="578"/>
    </row>
    <row r="825" spans="1:3">
      <c r="A825" s="574" t="s">
        <v>1073</v>
      </c>
      <c r="B825" s="578"/>
      <c r="C825" s="578"/>
    </row>
    <row r="826" spans="1:3">
      <c r="A826" s="574" t="s">
        <v>884</v>
      </c>
      <c r="B826" s="578"/>
      <c r="C826" s="578"/>
    </row>
    <row r="827" spans="1:3">
      <c r="A827" s="574" t="s">
        <v>883</v>
      </c>
      <c r="B827" s="578"/>
      <c r="C827" s="578"/>
    </row>
    <row r="828" spans="1:3">
      <c r="A828" s="576" t="s">
        <v>371</v>
      </c>
      <c r="B828" s="577" t="s">
        <v>671</v>
      </c>
      <c r="C828" s="575">
        <v>2673413</v>
      </c>
    </row>
    <row r="829" spans="1:3">
      <c r="A829" s="576" t="s">
        <v>734</v>
      </c>
      <c r="B829" s="577" t="s">
        <v>733</v>
      </c>
      <c r="C829" s="575">
        <v>1000</v>
      </c>
    </row>
    <row r="830" spans="1:3">
      <c r="A830" s="576" t="s">
        <v>724</v>
      </c>
      <c r="B830" s="577" t="s">
        <v>723</v>
      </c>
      <c r="C830" s="575">
        <v>19330</v>
      </c>
    </row>
    <row r="831" spans="1:3">
      <c r="A831" s="576" t="s">
        <v>638</v>
      </c>
      <c r="B831" s="577" t="s">
        <v>672</v>
      </c>
      <c r="C831" s="575">
        <v>291300</v>
      </c>
    </row>
    <row r="832" spans="1:3">
      <c r="A832" s="576" t="s">
        <v>639</v>
      </c>
      <c r="B832" s="577" t="s">
        <v>725</v>
      </c>
      <c r="C832" s="575">
        <v>682425</v>
      </c>
    </row>
    <row r="833" spans="1:3">
      <c r="A833" s="576" t="s">
        <v>685</v>
      </c>
      <c r="B833" s="577" t="s">
        <v>684</v>
      </c>
      <c r="C833" s="575">
        <v>1302452</v>
      </c>
    </row>
    <row r="834" spans="1:3">
      <c r="A834" s="576" t="s">
        <v>687</v>
      </c>
      <c r="B834" s="577" t="s">
        <v>686</v>
      </c>
      <c r="C834" s="575">
        <v>122252</v>
      </c>
    </row>
    <row r="835" spans="1:3">
      <c r="A835" s="576" t="s">
        <v>674</v>
      </c>
      <c r="B835" s="577" t="s">
        <v>673</v>
      </c>
      <c r="C835" s="575">
        <v>27520</v>
      </c>
    </row>
    <row r="836" spans="1:3">
      <c r="A836" s="576" t="s">
        <v>898</v>
      </c>
      <c r="B836" s="577" t="s">
        <v>897</v>
      </c>
      <c r="C836" s="575">
        <v>3300</v>
      </c>
    </row>
    <row r="837" spans="1:3">
      <c r="A837" s="576" t="s">
        <v>694</v>
      </c>
      <c r="B837" s="577" t="s">
        <v>693</v>
      </c>
      <c r="C837" s="575">
        <v>19516</v>
      </c>
    </row>
    <row r="838" spans="1:3" ht="31.5">
      <c r="A838" s="576" t="s">
        <v>641</v>
      </c>
      <c r="B838" s="577" t="s">
        <v>1162</v>
      </c>
      <c r="C838" s="575">
        <v>500</v>
      </c>
    </row>
    <row r="839" spans="1:3" ht="31.5">
      <c r="A839" s="576" t="s">
        <v>642</v>
      </c>
      <c r="B839" s="577" t="s">
        <v>677</v>
      </c>
      <c r="C839" s="575">
        <v>203818</v>
      </c>
    </row>
    <row r="840" spans="1:3">
      <c r="A840" s="576" t="s">
        <v>248</v>
      </c>
      <c r="B840" s="577" t="s">
        <v>735</v>
      </c>
      <c r="C840" s="575">
        <v>235805</v>
      </c>
    </row>
    <row r="841" spans="1:3" ht="31.5">
      <c r="A841" s="576" t="s">
        <v>242</v>
      </c>
      <c r="B841" s="577" t="s">
        <v>736</v>
      </c>
      <c r="C841" s="575">
        <v>27497</v>
      </c>
    </row>
    <row r="842" spans="1:3" ht="31.5">
      <c r="A842" s="576" t="s">
        <v>243</v>
      </c>
      <c r="B842" s="577" t="s">
        <v>750</v>
      </c>
      <c r="C842" s="575">
        <v>208308</v>
      </c>
    </row>
    <row r="843" spans="1:3">
      <c r="A843" s="576" t="s">
        <v>249</v>
      </c>
      <c r="B843" s="577" t="s">
        <v>728</v>
      </c>
      <c r="C843" s="575">
        <v>60000</v>
      </c>
    </row>
    <row r="844" spans="1:3">
      <c r="A844" s="576" t="s">
        <v>920</v>
      </c>
      <c r="B844" s="577" t="s">
        <v>919</v>
      </c>
      <c r="C844" s="575">
        <v>60000</v>
      </c>
    </row>
    <row r="845" spans="1:3">
      <c r="A845" s="574" t="s">
        <v>866</v>
      </c>
      <c r="B845" s="578"/>
      <c r="C845" s="575">
        <v>2969218</v>
      </c>
    </row>
    <row r="846" spans="1:3">
      <c r="A846" s="576"/>
      <c r="B846" s="577"/>
      <c r="C846" s="575"/>
    </row>
    <row r="847" spans="1:3" ht="31.5">
      <c r="A847" s="576" t="s">
        <v>646</v>
      </c>
      <c r="B847" s="577" t="s">
        <v>246</v>
      </c>
      <c r="C847" s="575">
        <v>40000</v>
      </c>
    </row>
    <row r="848" spans="1:3">
      <c r="A848" s="574" t="s">
        <v>930</v>
      </c>
      <c r="B848" s="578"/>
      <c r="C848" s="575">
        <v>40000</v>
      </c>
    </row>
    <row r="849" spans="1:3">
      <c r="A849" s="576"/>
      <c r="B849" s="577"/>
      <c r="C849" s="575"/>
    </row>
    <row r="850" spans="1:3">
      <c r="A850" s="576" t="s">
        <v>647</v>
      </c>
      <c r="B850" s="577" t="s">
        <v>688</v>
      </c>
      <c r="C850" s="575">
        <v>407273</v>
      </c>
    </row>
    <row r="851" spans="1:3">
      <c r="A851" s="576" t="s">
        <v>648</v>
      </c>
      <c r="B851" s="577" t="s">
        <v>689</v>
      </c>
      <c r="C851" s="575">
        <v>45788</v>
      </c>
    </row>
    <row r="852" spans="1:3">
      <c r="A852" s="576" t="s">
        <v>240</v>
      </c>
      <c r="B852" s="577" t="s">
        <v>721</v>
      </c>
      <c r="C852" s="575">
        <v>20000</v>
      </c>
    </row>
    <row r="853" spans="1:3">
      <c r="A853" s="576" t="s">
        <v>245</v>
      </c>
      <c r="B853" s="577" t="s">
        <v>719</v>
      </c>
      <c r="C853" s="575">
        <v>25788</v>
      </c>
    </row>
    <row r="854" spans="1:3">
      <c r="A854" s="576" t="s">
        <v>414</v>
      </c>
      <c r="B854" s="577" t="s">
        <v>864</v>
      </c>
      <c r="C854" s="575">
        <v>19020</v>
      </c>
    </row>
    <row r="855" spans="1:3" ht="31.5">
      <c r="A855" s="576" t="s">
        <v>247</v>
      </c>
      <c r="B855" s="577" t="s">
        <v>863</v>
      </c>
      <c r="C855" s="575">
        <v>19020</v>
      </c>
    </row>
    <row r="856" spans="1:3">
      <c r="A856" s="574" t="s">
        <v>862</v>
      </c>
      <c r="B856" s="578"/>
      <c r="C856" s="575">
        <v>472081</v>
      </c>
    </row>
    <row r="857" spans="1:3">
      <c r="A857" s="574" t="s">
        <v>882</v>
      </c>
      <c r="B857" s="574"/>
      <c r="C857" s="575">
        <v>3481299</v>
      </c>
    </row>
    <row r="858" spans="1:3">
      <c r="A858" s="574" t="s">
        <v>976</v>
      </c>
      <c r="B858" s="578"/>
      <c r="C858" s="578"/>
    </row>
    <row r="859" spans="1:3" ht="31.5">
      <c r="A859" s="576" t="s">
        <v>345</v>
      </c>
      <c r="B859" s="577" t="s">
        <v>3</v>
      </c>
      <c r="C859" s="575">
        <v>457006</v>
      </c>
    </row>
    <row r="860" spans="1:3" ht="31.5">
      <c r="A860" s="576" t="s">
        <v>707</v>
      </c>
      <c r="B860" s="577" t="s">
        <v>706</v>
      </c>
      <c r="C860" s="575">
        <v>438785</v>
      </c>
    </row>
    <row r="861" spans="1:3" ht="31.5">
      <c r="A861" s="576" t="s">
        <v>991</v>
      </c>
      <c r="B861" s="577" t="s">
        <v>990</v>
      </c>
      <c r="C861" s="575">
        <v>18221</v>
      </c>
    </row>
    <row r="862" spans="1:3">
      <c r="A862" s="576" t="s">
        <v>351</v>
      </c>
      <c r="B862" s="577" t="s">
        <v>668</v>
      </c>
      <c r="C862" s="575">
        <v>4251</v>
      </c>
    </row>
    <row r="863" spans="1:3" ht="31.5">
      <c r="A863" s="576" t="s">
        <v>1063</v>
      </c>
      <c r="B863" s="577" t="s">
        <v>1062</v>
      </c>
      <c r="C863" s="575">
        <v>4251</v>
      </c>
    </row>
    <row r="864" spans="1:3">
      <c r="A864" s="576" t="s">
        <v>361</v>
      </c>
      <c r="B864" s="577" t="s">
        <v>712</v>
      </c>
      <c r="C864" s="575">
        <v>101327</v>
      </c>
    </row>
    <row r="865" spans="1:3" ht="31.5">
      <c r="A865" s="576" t="s">
        <v>714</v>
      </c>
      <c r="B865" s="577" t="s">
        <v>713</v>
      </c>
      <c r="C865" s="575">
        <v>56151</v>
      </c>
    </row>
    <row r="866" spans="1:3">
      <c r="A866" s="576" t="s">
        <v>716</v>
      </c>
      <c r="B866" s="577" t="s">
        <v>715</v>
      </c>
      <c r="C866" s="575">
        <v>29807</v>
      </c>
    </row>
    <row r="867" spans="1:3">
      <c r="A867" s="576" t="s">
        <v>718</v>
      </c>
      <c r="B867" s="577" t="s">
        <v>717</v>
      </c>
      <c r="C867" s="575">
        <v>15369</v>
      </c>
    </row>
    <row r="868" spans="1:3">
      <c r="A868" s="576" t="s">
        <v>371</v>
      </c>
      <c r="B868" s="577" t="s">
        <v>671</v>
      </c>
      <c r="C868" s="575">
        <v>303600</v>
      </c>
    </row>
    <row r="869" spans="1:3">
      <c r="A869" s="576" t="s">
        <v>638</v>
      </c>
      <c r="B869" s="577" t="s">
        <v>672</v>
      </c>
      <c r="C869" s="575">
        <v>6000</v>
      </c>
    </row>
    <row r="870" spans="1:3">
      <c r="A870" s="576" t="s">
        <v>639</v>
      </c>
      <c r="B870" s="577" t="s">
        <v>725</v>
      </c>
      <c r="C870" s="575">
        <v>45000</v>
      </c>
    </row>
    <row r="871" spans="1:3">
      <c r="A871" s="576" t="s">
        <v>685</v>
      </c>
      <c r="B871" s="577" t="s">
        <v>684</v>
      </c>
      <c r="C871" s="575">
        <v>250000</v>
      </c>
    </row>
    <row r="872" spans="1:3">
      <c r="A872" s="576" t="s">
        <v>674</v>
      </c>
      <c r="B872" s="577" t="s">
        <v>673</v>
      </c>
      <c r="C872" s="575">
        <v>1200</v>
      </c>
    </row>
    <row r="873" spans="1:3">
      <c r="A873" s="576" t="s">
        <v>898</v>
      </c>
      <c r="B873" s="577" t="s">
        <v>897</v>
      </c>
      <c r="C873" s="575">
        <v>1000</v>
      </c>
    </row>
    <row r="874" spans="1:3">
      <c r="A874" s="576" t="s">
        <v>694</v>
      </c>
      <c r="B874" s="577" t="s">
        <v>693</v>
      </c>
      <c r="C874" s="575">
        <v>400</v>
      </c>
    </row>
    <row r="875" spans="1:3">
      <c r="A875" s="576" t="s">
        <v>248</v>
      </c>
      <c r="B875" s="577" t="s">
        <v>735</v>
      </c>
      <c r="C875" s="575">
        <v>320</v>
      </c>
    </row>
    <row r="876" spans="1:3" ht="31.5">
      <c r="A876" s="576" t="s">
        <v>242</v>
      </c>
      <c r="B876" s="577" t="s">
        <v>736</v>
      </c>
      <c r="C876" s="575">
        <v>120</v>
      </c>
    </row>
    <row r="877" spans="1:3" ht="31.5">
      <c r="A877" s="576" t="s">
        <v>243</v>
      </c>
      <c r="B877" s="577" t="s">
        <v>750</v>
      </c>
      <c r="C877" s="575">
        <v>200</v>
      </c>
    </row>
    <row r="878" spans="1:3">
      <c r="A878" s="574" t="s">
        <v>866</v>
      </c>
      <c r="B878" s="578"/>
      <c r="C878" s="575">
        <v>866504</v>
      </c>
    </row>
    <row r="879" spans="1:3">
      <c r="A879" s="576"/>
      <c r="B879" s="577"/>
      <c r="C879" s="575"/>
    </row>
    <row r="880" spans="1:3" ht="31.5">
      <c r="A880" s="576" t="s">
        <v>646</v>
      </c>
      <c r="B880" s="577" t="s">
        <v>246</v>
      </c>
      <c r="C880" s="575">
        <v>1200</v>
      </c>
    </row>
    <row r="881" spans="1:3">
      <c r="A881" s="574" t="s">
        <v>930</v>
      </c>
      <c r="B881" s="578"/>
      <c r="C881" s="575">
        <v>1200</v>
      </c>
    </row>
    <row r="882" spans="1:3">
      <c r="A882" s="576"/>
      <c r="B882" s="577"/>
      <c r="C882" s="575"/>
    </row>
    <row r="883" spans="1:3">
      <c r="A883" s="574" t="s">
        <v>975</v>
      </c>
      <c r="B883" s="574"/>
      <c r="C883" s="575">
        <v>867704</v>
      </c>
    </row>
    <row r="884" spans="1:3">
      <c r="A884" s="576"/>
      <c r="B884" s="573"/>
      <c r="C884" s="575"/>
    </row>
    <row r="885" spans="1:3">
      <c r="A885" s="574" t="s">
        <v>881</v>
      </c>
      <c r="B885" s="574"/>
      <c r="C885" s="575">
        <v>4349003</v>
      </c>
    </row>
    <row r="886" spans="1:3">
      <c r="A886" s="576"/>
      <c r="B886" s="573"/>
      <c r="C886" s="575"/>
    </row>
    <row r="887" spans="1:3">
      <c r="A887" s="574" t="s">
        <v>1072</v>
      </c>
      <c r="B887" s="574"/>
      <c r="C887" s="575">
        <v>4349003</v>
      </c>
    </row>
    <row r="888" spans="1:3">
      <c r="A888" s="576"/>
      <c r="B888" s="573"/>
      <c r="C888" s="575"/>
    </row>
    <row r="889" spans="1:3">
      <c r="A889" s="574" t="s">
        <v>1051</v>
      </c>
      <c r="B889" s="578"/>
      <c r="C889" s="578"/>
    </row>
    <row r="890" spans="1:3" ht="31.5">
      <c r="A890" s="574" t="s">
        <v>681</v>
      </c>
      <c r="B890" s="578"/>
      <c r="C890" s="578"/>
    </row>
    <row r="891" spans="1:3" ht="31.5">
      <c r="A891" s="574" t="s">
        <v>1236</v>
      </c>
      <c r="B891" s="578"/>
      <c r="C891" s="578"/>
    </row>
    <row r="892" spans="1:3">
      <c r="A892" s="576" t="s">
        <v>371</v>
      </c>
      <c r="B892" s="577" t="s">
        <v>671</v>
      </c>
      <c r="C892" s="575">
        <v>56251</v>
      </c>
    </row>
    <row r="893" spans="1:3">
      <c r="A893" s="576" t="s">
        <v>685</v>
      </c>
      <c r="B893" s="577" t="s">
        <v>684</v>
      </c>
      <c r="C893" s="575">
        <v>55851</v>
      </c>
    </row>
    <row r="894" spans="1:3">
      <c r="A894" s="576" t="s">
        <v>694</v>
      </c>
      <c r="B894" s="577" t="s">
        <v>693</v>
      </c>
      <c r="C894" s="575">
        <v>400</v>
      </c>
    </row>
    <row r="895" spans="1:3">
      <c r="A895" s="574" t="s">
        <v>866</v>
      </c>
      <c r="B895" s="578"/>
      <c r="C895" s="575">
        <v>56251</v>
      </c>
    </row>
    <row r="896" spans="1:3">
      <c r="A896" s="576"/>
      <c r="B896" s="577"/>
      <c r="C896" s="575"/>
    </row>
    <row r="897" spans="1:3">
      <c r="A897" s="576" t="s">
        <v>648</v>
      </c>
      <c r="B897" s="577" t="s">
        <v>689</v>
      </c>
      <c r="C897" s="575">
        <v>19744</v>
      </c>
    </row>
    <row r="898" spans="1:3">
      <c r="A898" s="576" t="s">
        <v>239</v>
      </c>
      <c r="B898" s="577" t="s">
        <v>690</v>
      </c>
      <c r="C898" s="575">
        <v>19744</v>
      </c>
    </row>
    <row r="899" spans="1:3">
      <c r="A899" s="574" t="s">
        <v>862</v>
      </c>
      <c r="B899" s="578"/>
      <c r="C899" s="575">
        <v>19744</v>
      </c>
    </row>
    <row r="900" spans="1:3">
      <c r="A900" s="576"/>
      <c r="B900" s="577"/>
      <c r="C900" s="575"/>
    </row>
    <row r="901" spans="1:3" ht="31.5">
      <c r="A901" s="574" t="s">
        <v>974</v>
      </c>
      <c r="B901" s="574"/>
      <c r="C901" s="575">
        <v>75995</v>
      </c>
    </row>
    <row r="902" spans="1:3" ht="31.5">
      <c r="A902" s="574" t="s">
        <v>683</v>
      </c>
      <c r="B902" s="578"/>
      <c r="C902" s="578"/>
    </row>
    <row r="903" spans="1:3">
      <c r="A903" s="576" t="s">
        <v>371</v>
      </c>
      <c r="B903" s="577" t="s">
        <v>671</v>
      </c>
      <c r="C903" s="575">
        <v>50000</v>
      </c>
    </row>
    <row r="904" spans="1:3">
      <c r="A904" s="576" t="s">
        <v>685</v>
      </c>
      <c r="B904" s="577" t="s">
        <v>684</v>
      </c>
      <c r="C904" s="575">
        <v>50000</v>
      </c>
    </row>
    <row r="905" spans="1:3">
      <c r="A905" s="574" t="s">
        <v>866</v>
      </c>
      <c r="B905" s="578"/>
      <c r="C905" s="575">
        <v>50000</v>
      </c>
    </row>
    <row r="906" spans="1:3">
      <c r="A906" s="576"/>
      <c r="B906" s="577"/>
      <c r="C906" s="575"/>
    </row>
    <row r="907" spans="1:3">
      <c r="A907" s="576" t="s">
        <v>647</v>
      </c>
      <c r="B907" s="577" t="s">
        <v>688</v>
      </c>
      <c r="C907" s="575">
        <v>50000</v>
      </c>
    </row>
    <row r="908" spans="1:3">
      <c r="A908" s="574" t="s">
        <v>862</v>
      </c>
      <c r="B908" s="578"/>
      <c r="C908" s="575">
        <v>50000</v>
      </c>
    </row>
    <row r="909" spans="1:3">
      <c r="A909" s="576"/>
      <c r="B909" s="577"/>
      <c r="C909" s="575"/>
    </row>
    <row r="910" spans="1:3" ht="31.5">
      <c r="A910" s="574" t="s">
        <v>878</v>
      </c>
      <c r="B910" s="574"/>
      <c r="C910" s="575">
        <v>100000</v>
      </c>
    </row>
    <row r="911" spans="1:3">
      <c r="A911" s="576"/>
      <c r="B911" s="573"/>
      <c r="C911" s="575"/>
    </row>
    <row r="912" spans="1:3" ht="31.5">
      <c r="A912" s="574" t="s">
        <v>877</v>
      </c>
      <c r="B912" s="574"/>
      <c r="C912" s="575">
        <v>175995</v>
      </c>
    </row>
    <row r="913" spans="1:3">
      <c r="A913" s="576"/>
      <c r="B913" s="573"/>
      <c r="C913" s="575"/>
    </row>
    <row r="914" spans="1:3">
      <c r="A914" s="574" t="s">
        <v>1071</v>
      </c>
      <c r="B914" s="574"/>
      <c r="C914" s="575">
        <v>175995</v>
      </c>
    </row>
    <row r="915" spans="1:3">
      <c r="A915" s="576"/>
      <c r="B915" s="573"/>
      <c r="C915" s="575"/>
    </row>
    <row r="916" spans="1:3">
      <c r="A916" s="574" t="s">
        <v>1054</v>
      </c>
      <c r="B916" s="578"/>
      <c r="C916" s="578"/>
    </row>
    <row r="917" spans="1:3">
      <c r="A917" s="574" t="s">
        <v>876</v>
      </c>
      <c r="B917" s="578"/>
      <c r="C917" s="578"/>
    </row>
    <row r="918" spans="1:3">
      <c r="A918" s="574" t="s">
        <v>696</v>
      </c>
      <c r="B918" s="578"/>
      <c r="C918" s="578"/>
    </row>
    <row r="919" spans="1:3">
      <c r="A919" s="576" t="s">
        <v>371</v>
      </c>
      <c r="B919" s="577" t="s">
        <v>671</v>
      </c>
      <c r="C919" s="575">
        <v>781407</v>
      </c>
    </row>
    <row r="920" spans="1:3">
      <c r="A920" s="576" t="s">
        <v>732</v>
      </c>
      <c r="B920" s="577" t="s">
        <v>731</v>
      </c>
      <c r="C920" s="575">
        <v>180000</v>
      </c>
    </row>
    <row r="921" spans="1:3">
      <c r="A921" s="576" t="s">
        <v>724</v>
      </c>
      <c r="B921" s="577" t="s">
        <v>723</v>
      </c>
      <c r="C921" s="575">
        <v>10000</v>
      </c>
    </row>
    <row r="922" spans="1:3">
      <c r="A922" s="576" t="s">
        <v>965</v>
      </c>
      <c r="B922" s="577" t="s">
        <v>964</v>
      </c>
      <c r="C922" s="575">
        <v>10900</v>
      </c>
    </row>
    <row r="923" spans="1:3">
      <c r="A923" s="576" t="s">
        <v>638</v>
      </c>
      <c r="B923" s="577" t="s">
        <v>672</v>
      </c>
      <c r="C923" s="575">
        <v>50000</v>
      </c>
    </row>
    <row r="924" spans="1:3">
      <c r="A924" s="576" t="s">
        <v>639</v>
      </c>
      <c r="B924" s="577" t="s">
        <v>725</v>
      </c>
      <c r="C924" s="575">
        <v>170000</v>
      </c>
    </row>
    <row r="925" spans="1:3">
      <c r="A925" s="576" t="s">
        <v>685</v>
      </c>
      <c r="B925" s="577" t="s">
        <v>684</v>
      </c>
      <c r="C925" s="575">
        <v>105800</v>
      </c>
    </row>
    <row r="926" spans="1:3">
      <c r="A926" s="576" t="s">
        <v>687</v>
      </c>
      <c r="B926" s="577" t="s">
        <v>686</v>
      </c>
      <c r="C926" s="575">
        <v>246707</v>
      </c>
    </row>
    <row r="927" spans="1:3" ht="31.5">
      <c r="A927" s="576" t="s">
        <v>642</v>
      </c>
      <c r="B927" s="577" t="s">
        <v>677</v>
      </c>
      <c r="C927" s="575">
        <v>8000</v>
      </c>
    </row>
    <row r="928" spans="1:3">
      <c r="A928" s="574" t="s">
        <v>866</v>
      </c>
      <c r="B928" s="578"/>
      <c r="C928" s="575">
        <v>781407</v>
      </c>
    </row>
    <row r="929" spans="1:3">
      <c r="A929" s="576"/>
      <c r="B929" s="577"/>
      <c r="C929" s="575"/>
    </row>
    <row r="930" spans="1:3">
      <c r="A930" s="574" t="s">
        <v>973</v>
      </c>
      <c r="B930" s="574"/>
      <c r="C930" s="575">
        <v>781407</v>
      </c>
    </row>
    <row r="931" spans="1:3">
      <c r="A931" s="576"/>
      <c r="B931" s="573"/>
      <c r="C931" s="575"/>
    </row>
    <row r="932" spans="1:3">
      <c r="A932" s="574" t="s">
        <v>972</v>
      </c>
      <c r="B932" s="578"/>
      <c r="C932" s="578"/>
    </row>
    <row r="933" spans="1:3" ht="31.5">
      <c r="A933" s="576" t="s">
        <v>345</v>
      </c>
      <c r="B933" s="577" t="s">
        <v>3</v>
      </c>
      <c r="C933" s="575">
        <v>147536</v>
      </c>
    </row>
    <row r="934" spans="1:3" ht="31.5">
      <c r="A934" s="576" t="s">
        <v>707</v>
      </c>
      <c r="B934" s="577" t="s">
        <v>706</v>
      </c>
      <c r="C934" s="575">
        <v>147536</v>
      </c>
    </row>
    <row r="935" spans="1:3">
      <c r="A935" s="576" t="s">
        <v>351</v>
      </c>
      <c r="B935" s="577" t="s">
        <v>668</v>
      </c>
      <c r="C935" s="575">
        <v>9588</v>
      </c>
    </row>
    <row r="936" spans="1:3" ht="31.5">
      <c r="A936" s="576" t="s">
        <v>1063</v>
      </c>
      <c r="B936" s="577" t="s">
        <v>1062</v>
      </c>
      <c r="C936" s="575">
        <v>9588</v>
      </c>
    </row>
    <row r="937" spans="1:3">
      <c r="A937" s="576" t="s">
        <v>361</v>
      </c>
      <c r="B937" s="577" t="s">
        <v>712</v>
      </c>
      <c r="C937" s="575">
        <v>28062</v>
      </c>
    </row>
    <row r="938" spans="1:3" ht="31.5">
      <c r="A938" s="576" t="s">
        <v>714</v>
      </c>
      <c r="B938" s="577" t="s">
        <v>713</v>
      </c>
      <c r="C938" s="575">
        <v>18253</v>
      </c>
    </row>
    <row r="939" spans="1:3">
      <c r="A939" s="576" t="s">
        <v>716</v>
      </c>
      <c r="B939" s="577" t="s">
        <v>715</v>
      </c>
      <c r="C939" s="575">
        <v>7082</v>
      </c>
    </row>
    <row r="940" spans="1:3">
      <c r="A940" s="576" t="s">
        <v>718</v>
      </c>
      <c r="B940" s="577" t="s">
        <v>717</v>
      </c>
      <c r="C940" s="575">
        <v>2727</v>
      </c>
    </row>
    <row r="941" spans="1:3">
      <c r="A941" s="576" t="s">
        <v>371</v>
      </c>
      <c r="B941" s="577" t="s">
        <v>671</v>
      </c>
      <c r="C941" s="575">
        <v>61850</v>
      </c>
    </row>
    <row r="942" spans="1:3">
      <c r="A942" s="576" t="s">
        <v>724</v>
      </c>
      <c r="B942" s="577" t="s">
        <v>723</v>
      </c>
      <c r="C942" s="575">
        <v>3600</v>
      </c>
    </row>
    <row r="943" spans="1:3">
      <c r="A943" s="576" t="s">
        <v>638</v>
      </c>
      <c r="B943" s="577" t="s">
        <v>672</v>
      </c>
      <c r="C943" s="575">
        <v>12000</v>
      </c>
    </row>
    <row r="944" spans="1:3">
      <c r="A944" s="576" t="s">
        <v>639</v>
      </c>
      <c r="B944" s="577" t="s">
        <v>725</v>
      </c>
      <c r="C944" s="575">
        <v>35000</v>
      </c>
    </row>
    <row r="945" spans="1:3">
      <c r="A945" s="576" t="s">
        <v>685</v>
      </c>
      <c r="B945" s="577" t="s">
        <v>684</v>
      </c>
      <c r="C945" s="575">
        <v>11000</v>
      </c>
    </row>
    <row r="946" spans="1:3">
      <c r="A946" s="576" t="s">
        <v>674</v>
      </c>
      <c r="B946" s="577" t="s">
        <v>673</v>
      </c>
      <c r="C946" s="575">
        <v>100</v>
      </c>
    </row>
    <row r="947" spans="1:3">
      <c r="A947" s="576" t="s">
        <v>694</v>
      </c>
      <c r="B947" s="577" t="s">
        <v>693</v>
      </c>
      <c r="C947" s="575">
        <v>150</v>
      </c>
    </row>
    <row r="948" spans="1:3">
      <c r="A948" s="576" t="s">
        <v>248</v>
      </c>
      <c r="B948" s="577" t="s">
        <v>735</v>
      </c>
      <c r="C948" s="575">
        <v>100</v>
      </c>
    </row>
    <row r="949" spans="1:3" ht="31.5">
      <c r="A949" s="576" t="s">
        <v>243</v>
      </c>
      <c r="B949" s="577" t="s">
        <v>750</v>
      </c>
      <c r="C949" s="575">
        <v>100</v>
      </c>
    </row>
    <row r="950" spans="1:3">
      <c r="A950" s="574" t="s">
        <v>866</v>
      </c>
      <c r="B950" s="578"/>
      <c r="C950" s="575">
        <v>247136</v>
      </c>
    </row>
    <row r="951" spans="1:3">
      <c r="A951" s="576"/>
      <c r="B951" s="577"/>
      <c r="C951" s="575"/>
    </row>
    <row r="952" spans="1:3">
      <c r="A952" s="574" t="s">
        <v>971</v>
      </c>
      <c r="B952" s="574"/>
      <c r="C952" s="575">
        <v>247136</v>
      </c>
    </row>
    <row r="953" spans="1:3">
      <c r="A953" s="576"/>
      <c r="B953" s="573"/>
      <c r="C953" s="575"/>
    </row>
    <row r="954" spans="1:3">
      <c r="A954" s="574" t="s">
        <v>703</v>
      </c>
      <c r="B954" s="578"/>
      <c r="C954" s="578"/>
    </row>
    <row r="955" spans="1:3">
      <c r="A955" s="576" t="s">
        <v>371</v>
      </c>
      <c r="B955" s="577" t="s">
        <v>671</v>
      </c>
      <c r="C955" s="575">
        <v>71000</v>
      </c>
    </row>
    <row r="956" spans="1:3">
      <c r="A956" s="576" t="s">
        <v>965</v>
      </c>
      <c r="B956" s="577" t="s">
        <v>964</v>
      </c>
      <c r="C956" s="575">
        <v>9500</v>
      </c>
    </row>
    <row r="957" spans="1:3">
      <c r="A957" s="576" t="s">
        <v>638</v>
      </c>
      <c r="B957" s="577" t="s">
        <v>672</v>
      </c>
      <c r="C957" s="575">
        <v>3500</v>
      </c>
    </row>
    <row r="958" spans="1:3">
      <c r="A958" s="576" t="s">
        <v>639</v>
      </c>
      <c r="B958" s="577" t="s">
        <v>725</v>
      </c>
      <c r="C958" s="575">
        <v>33500</v>
      </c>
    </row>
    <row r="959" spans="1:3">
      <c r="A959" s="576" t="s">
        <v>685</v>
      </c>
      <c r="B959" s="577" t="s">
        <v>684</v>
      </c>
      <c r="C959" s="575">
        <v>11500</v>
      </c>
    </row>
    <row r="960" spans="1:3">
      <c r="A960" s="576" t="s">
        <v>694</v>
      </c>
      <c r="B960" s="577" t="s">
        <v>693</v>
      </c>
      <c r="C960" s="575">
        <v>3000</v>
      </c>
    </row>
    <row r="961" spans="1:3" ht="31.5">
      <c r="A961" s="576" t="s">
        <v>642</v>
      </c>
      <c r="B961" s="577" t="s">
        <v>677</v>
      </c>
      <c r="C961" s="575">
        <v>10000</v>
      </c>
    </row>
    <row r="962" spans="1:3">
      <c r="A962" s="576" t="s">
        <v>248</v>
      </c>
      <c r="B962" s="577" t="s">
        <v>735</v>
      </c>
      <c r="C962" s="575">
        <v>4000</v>
      </c>
    </row>
    <row r="963" spans="1:3" ht="31.5">
      <c r="A963" s="576" t="s">
        <v>243</v>
      </c>
      <c r="B963" s="577" t="s">
        <v>750</v>
      </c>
      <c r="C963" s="575">
        <v>4000</v>
      </c>
    </row>
    <row r="964" spans="1:3">
      <c r="A964" s="574" t="s">
        <v>866</v>
      </c>
      <c r="B964" s="578"/>
      <c r="C964" s="575">
        <v>75000</v>
      </c>
    </row>
    <row r="965" spans="1:3">
      <c r="A965" s="576"/>
      <c r="B965" s="577"/>
      <c r="C965" s="575"/>
    </row>
    <row r="966" spans="1:3">
      <c r="A966" s="574" t="s">
        <v>970</v>
      </c>
      <c r="B966" s="574"/>
      <c r="C966" s="575">
        <v>75000</v>
      </c>
    </row>
    <row r="967" spans="1:3">
      <c r="A967" s="576"/>
      <c r="B967" s="573"/>
      <c r="C967" s="575"/>
    </row>
    <row r="968" spans="1:3">
      <c r="A968" s="574" t="s">
        <v>969</v>
      </c>
      <c r="B968" s="578"/>
      <c r="C968" s="578"/>
    </row>
    <row r="969" spans="1:3">
      <c r="A969" s="576" t="s">
        <v>371</v>
      </c>
      <c r="B969" s="577" t="s">
        <v>671</v>
      </c>
      <c r="C969" s="575">
        <v>10000</v>
      </c>
    </row>
    <row r="970" spans="1:3">
      <c r="A970" s="576" t="s">
        <v>638</v>
      </c>
      <c r="B970" s="577" t="s">
        <v>672</v>
      </c>
      <c r="C970" s="575">
        <v>10000</v>
      </c>
    </row>
    <row r="971" spans="1:3">
      <c r="A971" s="574" t="s">
        <v>866</v>
      </c>
      <c r="B971" s="578"/>
      <c r="C971" s="575">
        <v>10000</v>
      </c>
    </row>
    <row r="972" spans="1:3">
      <c r="A972" s="576"/>
      <c r="B972" s="577"/>
      <c r="C972" s="575"/>
    </row>
    <row r="973" spans="1:3">
      <c r="A973" s="574" t="s">
        <v>968</v>
      </c>
      <c r="B973" s="574"/>
      <c r="C973" s="575">
        <v>10000</v>
      </c>
    </row>
    <row r="974" spans="1:3">
      <c r="A974" s="576"/>
      <c r="B974" s="573"/>
      <c r="C974" s="575"/>
    </row>
    <row r="975" spans="1:3">
      <c r="A975" s="574" t="s">
        <v>967</v>
      </c>
      <c r="B975" s="578"/>
      <c r="C975" s="578"/>
    </row>
    <row r="976" spans="1:3" ht="31.5">
      <c r="A976" s="576" t="s">
        <v>345</v>
      </c>
      <c r="B976" s="577" t="s">
        <v>3</v>
      </c>
      <c r="C976" s="575">
        <v>138640</v>
      </c>
    </row>
    <row r="977" spans="1:3" ht="31.5">
      <c r="A977" s="576" t="s">
        <v>707</v>
      </c>
      <c r="B977" s="577" t="s">
        <v>706</v>
      </c>
      <c r="C977" s="575">
        <v>138640</v>
      </c>
    </row>
    <row r="978" spans="1:3">
      <c r="A978" s="576" t="s">
        <v>351</v>
      </c>
      <c r="B978" s="577" t="s">
        <v>668</v>
      </c>
      <c r="C978" s="575">
        <v>3297</v>
      </c>
    </row>
    <row r="979" spans="1:3" ht="31.5">
      <c r="A979" s="576" t="s">
        <v>1063</v>
      </c>
      <c r="B979" s="577" t="s">
        <v>1062</v>
      </c>
      <c r="C979" s="575">
        <v>3297</v>
      </c>
    </row>
    <row r="980" spans="1:3">
      <c r="A980" s="576" t="s">
        <v>361</v>
      </c>
      <c r="B980" s="577" t="s">
        <v>712</v>
      </c>
      <c r="C980" s="575">
        <v>24587</v>
      </c>
    </row>
    <row r="981" spans="1:3" ht="31.5">
      <c r="A981" s="576" t="s">
        <v>714</v>
      </c>
      <c r="B981" s="577" t="s">
        <v>713</v>
      </c>
      <c r="C981" s="575">
        <v>14554</v>
      </c>
    </row>
    <row r="982" spans="1:3" ht="31.5">
      <c r="A982" s="576" t="s">
        <v>980</v>
      </c>
      <c r="B982" s="577" t="s">
        <v>979</v>
      </c>
      <c r="C982" s="575">
        <v>993</v>
      </c>
    </row>
    <row r="983" spans="1:3">
      <c r="A983" s="576" t="s">
        <v>716</v>
      </c>
      <c r="B983" s="577" t="s">
        <v>715</v>
      </c>
      <c r="C983" s="575">
        <v>5954</v>
      </c>
    </row>
    <row r="984" spans="1:3">
      <c r="A984" s="576" t="s">
        <v>718</v>
      </c>
      <c r="B984" s="577" t="s">
        <v>717</v>
      </c>
      <c r="C984" s="575">
        <v>3086</v>
      </c>
    </row>
    <row r="985" spans="1:3">
      <c r="A985" s="576" t="s">
        <v>371</v>
      </c>
      <c r="B985" s="577" t="s">
        <v>671</v>
      </c>
      <c r="C985" s="575">
        <v>428618</v>
      </c>
    </row>
    <row r="986" spans="1:3">
      <c r="A986" s="576" t="s">
        <v>965</v>
      </c>
      <c r="B986" s="577" t="s">
        <v>964</v>
      </c>
      <c r="C986" s="575">
        <v>10000</v>
      </c>
    </row>
    <row r="987" spans="1:3">
      <c r="A987" s="576" t="s">
        <v>638</v>
      </c>
      <c r="B987" s="577" t="s">
        <v>672</v>
      </c>
      <c r="C987" s="575">
        <v>20000</v>
      </c>
    </row>
    <row r="988" spans="1:3">
      <c r="A988" s="576" t="s">
        <v>639</v>
      </c>
      <c r="B988" s="577" t="s">
        <v>725</v>
      </c>
      <c r="C988" s="575">
        <v>1000</v>
      </c>
    </row>
    <row r="989" spans="1:3">
      <c r="A989" s="576" t="s">
        <v>685</v>
      </c>
      <c r="B989" s="577" t="s">
        <v>684</v>
      </c>
      <c r="C989" s="575">
        <v>75000</v>
      </c>
    </row>
    <row r="990" spans="1:3">
      <c r="A990" s="576" t="s">
        <v>694</v>
      </c>
      <c r="B990" s="577" t="s">
        <v>693</v>
      </c>
      <c r="C990" s="575">
        <v>1000</v>
      </c>
    </row>
    <row r="991" spans="1:3" ht="31.5">
      <c r="A991" s="576" t="s">
        <v>642</v>
      </c>
      <c r="B991" s="577" t="s">
        <v>677</v>
      </c>
      <c r="C991" s="575">
        <v>321618</v>
      </c>
    </row>
    <row r="992" spans="1:3">
      <c r="A992" s="576" t="s">
        <v>248</v>
      </c>
      <c r="B992" s="577" t="s">
        <v>735</v>
      </c>
      <c r="C992" s="575">
        <v>5200</v>
      </c>
    </row>
    <row r="993" spans="1:3" ht="31.5">
      <c r="A993" s="576" t="s">
        <v>242</v>
      </c>
      <c r="B993" s="577" t="s">
        <v>736</v>
      </c>
      <c r="C993" s="575">
        <v>200</v>
      </c>
    </row>
    <row r="994" spans="1:3" ht="31.5">
      <c r="A994" s="576" t="s">
        <v>243</v>
      </c>
      <c r="B994" s="577" t="s">
        <v>750</v>
      </c>
      <c r="C994" s="575">
        <v>5000</v>
      </c>
    </row>
    <row r="995" spans="1:3">
      <c r="A995" s="574" t="s">
        <v>866</v>
      </c>
      <c r="B995" s="578"/>
      <c r="C995" s="575">
        <v>600342</v>
      </c>
    </row>
    <row r="996" spans="1:3">
      <c r="A996" s="576"/>
      <c r="B996" s="577"/>
      <c r="C996" s="575"/>
    </row>
    <row r="997" spans="1:3">
      <c r="A997" s="574" t="s">
        <v>966</v>
      </c>
      <c r="B997" s="574"/>
      <c r="C997" s="575">
        <v>600342</v>
      </c>
    </row>
    <row r="998" spans="1:3">
      <c r="A998" s="576"/>
      <c r="B998" s="573"/>
      <c r="C998" s="575"/>
    </row>
    <row r="999" spans="1:3">
      <c r="A999" s="574" t="s">
        <v>1070</v>
      </c>
      <c r="B999" s="574"/>
      <c r="C999" s="575">
        <v>1713885</v>
      </c>
    </row>
    <row r="1000" spans="1:3">
      <c r="A1000" s="576"/>
      <c r="B1000" s="573"/>
      <c r="C1000" s="575"/>
    </row>
    <row r="1001" spans="1:3">
      <c r="A1001" s="574" t="s">
        <v>1056</v>
      </c>
      <c r="B1001" s="578"/>
      <c r="C1001" s="578"/>
    </row>
    <row r="1002" spans="1:3">
      <c r="A1002" s="574" t="s">
        <v>876</v>
      </c>
      <c r="B1002" s="578"/>
      <c r="C1002" s="578"/>
    </row>
    <row r="1003" spans="1:3">
      <c r="A1003" s="574" t="s">
        <v>705</v>
      </c>
      <c r="B1003" s="578"/>
      <c r="C1003" s="578"/>
    </row>
    <row r="1004" spans="1:3">
      <c r="A1004" s="576" t="s">
        <v>371</v>
      </c>
      <c r="B1004" s="577" t="s">
        <v>671</v>
      </c>
      <c r="C1004" s="575">
        <v>345737</v>
      </c>
    </row>
    <row r="1005" spans="1:3">
      <c r="A1005" s="576" t="s">
        <v>732</v>
      </c>
      <c r="B1005" s="577" t="s">
        <v>731</v>
      </c>
      <c r="C1005" s="575">
        <v>79134</v>
      </c>
    </row>
    <row r="1006" spans="1:3">
      <c r="A1006" s="576" t="s">
        <v>734</v>
      </c>
      <c r="B1006" s="577" t="s">
        <v>733</v>
      </c>
      <c r="C1006" s="575">
        <v>200</v>
      </c>
    </row>
    <row r="1007" spans="1:3">
      <c r="A1007" s="576" t="s">
        <v>638</v>
      </c>
      <c r="B1007" s="577" t="s">
        <v>672</v>
      </c>
      <c r="C1007" s="575">
        <v>109957</v>
      </c>
    </row>
    <row r="1008" spans="1:3">
      <c r="A1008" s="576" t="s">
        <v>639</v>
      </c>
      <c r="B1008" s="577" t="s">
        <v>725</v>
      </c>
      <c r="C1008" s="575">
        <v>126900</v>
      </c>
    </row>
    <row r="1009" spans="1:3">
      <c r="A1009" s="576" t="s">
        <v>685</v>
      </c>
      <c r="B1009" s="577" t="s">
        <v>684</v>
      </c>
      <c r="C1009" s="575">
        <v>28367</v>
      </c>
    </row>
    <row r="1010" spans="1:3">
      <c r="A1010" s="576" t="s">
        <v>674</v>
      </c>
      <c r="B1010" s="577" t="s">
        <v>673</v>
      </c>
      <c r="C1010" s="575">
        <v>20</v>
      </c>
    </row>
    <row r="1011" spans="1:3">
      <c r="A1011" s="576" t="s">
        <v>694</v>
      </c>
      <c r="B1011" s="577" t="s">
        <v>693</v>
      </c>
      <c r="C1011" s="575">
        <v>1065</v>
      </c>
    </row>
    <row r="1012" spans="1:3" ht="31.5">
      <c r="A1012" s="576" t="s">
        <v>641</v>
      </c>
      <c r="B1012" s="577" t="s">
        <v>1162</v>
      </c>
      <c r="C1012" s="575">
        <v>94</v>
      </c>
    </row>
    <row r="1013" spans="1:3">
      <c r="A1013" s="576" t="s">
        <v>248</v>
      </c>
      <c r="B1013" s="577" t="s">
        <v>735</v>
      </c>
      <c r="C1013" s="575">
        <v>1017</v>
      </c>
    </row>
    <row r="1014" spans="1:3" ht="31.5">
      <c r="A1014" s="576" t="s">
        <v>242</v>
      </c>
      <c r="B1014" s="577" t="s">
        <v>736</v>
      </c>
      <c r="C1014" s="575">
        <v>97</v>
      </c>
    </row>
    <row r="1015" spans="1:3" ht="31.5">
      <c r="A1015" s="576" t="s">
        <v>243</v>
      </c>
      <c r="B1015" s="577" t="s">
        <v>750</v>
      </c>
      <c r="C1015" s="575">
        <v>920</v>
      </c>
    </row>
    <row r="1016" spans="1:3">
      <c r="A1016" s="574" t="s">
        <v>866</v>
      </c>
      <c r="B1016" s="578"/>
      <c r="C1016" s="575">
        <v>346754</v>
      </c>
    </row>
    <row r="1017" spans="1:3">
      <c r="A1017" s="576"/>
      <c r="B1017" s="577"/>
      <c r="C1017" s="575"/>
    </row>
    <row r="1018" spans="1:3" ht="31.5">
      <c r="A1018" s="574" t="s">
        <v>963</v>
      </c>
      <c r="B1018" s="574"/>
      <c r="C1018" s="575">
        <v>346754</v>
      </c>
    </row>
    <row r="1019" spans="1:3">
      <c r="A1019" s="576"/>
      <c r="B1019" s="573"/>
      <c r="C1019" s="575"/>
    </row>
    <row r="1020" spans="1:3">
      <c r="A1020" s="574" t="s">
        <v>722</v>
      </c>
      <c r="B1020" s="578"/>
      <c r="C1020" s="578"/>
    </row>
    <row r="1021" spans="1:3">
      <c r="A1021" s="576" t="s">
        <v>371</v>
      </c>
      <c r="B1021" s="577" t="s">
        <v>671</v>
      </c>
      <c r="C1021" s="575">
        <v>39000</v>
      </c>
    </row>
    <row r="1022" spans="1:3">
      <c r="A1022" s="576" t="s">
        <v>685</v>
      </c>
      <c r="B1022" s="577" t="s">
        <v>684</v>
      </c>
      <c r="C1022" s="575">
        <v>10000</v>
      </c>
    </row>
    <row r="1023" spans="1:3" ht="31.5">
      <c r="A1023" s="576" t="s">
        <v>642</v>
      </c>
      <c r="B1023" s="577" t="s">
        <v>677</v>
      </c>
      <c r="C1023" s="575">
        <v>29000</v>
      </c>
    </row>
    <row r="1024" spans="1:3">
      <c r="A1024" s="576" t="s">
        <v>249</v>
      </c>
      <c r="B1024" s="577" t="s">
        <v>728</v>
      </c>
      <c r="C1024" s="575">
        <v>71000</v>
      </c>
    </row>
    <row r="1025" spans="1:3">
      <c r="A1025" s="576" t="s">
        <v>920</v>
      </c>
      <c r="B1025" s="577" t="s">
        <v>919</v>
      </c>
      <c r="C1025" s="575">
        <v>71000</v>
      </c>
    </row>
    <row r="1026" spans="1:3">
      <c r="A1026" s="574" t="s">
        <v>866</v>
      </c>
      <c r="B1026" s="578"/>
      <c r="C1026" s="575">
        <v>110000</v>
      </c>
    </row>
    <row r="1027" spans="1:3">
      <c r="A1027" s="576"/>
      <c r="B1027" s="577"/>
      <c r="C1027" s="575"/>
    </row>
    <row r="1028" spans="1:3">
      <c r="A1028" s="574" t="s">
        <v>962</v>
      </c>
      <c r="B1028" s="574"/>
      <c r="C1028" s="575">
        <v>110000</v>
      </c>
    </row>
    <row r="1029" spans="1:3">
      <c r="A1029" s="576"/>
      <c r="B1029" s="573"/>
      <c r="C1029" s="575"/>
    </row>
    <row r="1030" spans="1:3">
      <c r="A1030" s="574" t="s">
        <v>1082</v>
      </c>
      <c r="B1030" s="574"/>
      <c r="C1030" s="575">
        <v>456754</v>
      </c>
    </row>
    <row r="1031" spans="1:3">
      <c r="A1031" s="576"/>
      <c r="B1031" s="573"/>
      <c r="C1031" s="575"/>
    </row>
    <row r="1032" spans="1:3">
      <c r="A1032" s="574" t="s">
        <v>726</v>
      </c>
      <c r="B1032" s="578"/>
      <c r="C1032" s="578"/>
    </row>
    <row r="1033" spans="1:3" ht="31.5">
      <c r="A1033" s="574" t="s">
        <v>1221</v>
      </c>
      <c r="B1033" s="578"/>
      <c r="C1033" s="578"/>
    </row>
    <row r="1034" spans="1:3">
      <c r="A1034" s="574" t="s">
        <v>961</v>
      </c>
      <c r="B1034" s="578"/>
      <c r="C1034" s="578"/>
    </row>
    <row r="1035" spans="1:3" ht="31.5">
      <c r="A1035" s="576" t="s">
        <v>345</v>
      </c>
      <c r="B1035" s="577" t="s">
        <v>3</v>
      </c>
      <c r="C1035" s="575">
        <v>611290</v>
      </c>
    </row>
    <row r="1036" spans="1:3" ht="31.5">
      <c r="A1036" s="576" t="s">
        <v>707</v>
      </c>
      <c r="B1036" s="577" t="s">
        <v>706</v>
      </c>
      <c r="C1036" s="575">
        <v>611290</v>
      </c>
    </row>
    <row r="1037" spans="1:3">
      <c r="A1037" s="576" t="s">
        <v>351</v>
      </c>
      <c r="B1037" s="577" t="s">
        <v>668</v>
      </c>
      <c r="C1037" s="575">
        <v>48556</v>
      </c>
    </row>
    <row r="1038" spans="1:3">
      <c r="A1038" s="576" t="s">
        <v>670</v>
      </c>
      <c r="B1038" s="577" t="s">
        <v>669</v>
      </c>
      <c r="C1038" s="575">
        <v>680</v>
      </c>
    </row>
    <row r="1039" spans="1:3" ht="31.5">
      <c r="A1039" s="576" t="s">
        <v>1063</v>
      </c>
      <c r="B1039" s="577" t="s">
        <v>1062</v>
      </c>
      <c r="C1039" s="575">
        <v>18339</v>
      </c>
    </row>
    <row r="1040" spans="1:3">
      <c r="A1040" s="576" t="s">
        <v>709</v>
      </c>
      <c r="B1040" s="577" t="s">
        <v>708</v>
      </c>
      <c r="C1040" s="575">
        <v>29537</v>
      </c>
    </row>
    <row r="1041" spans="1:3">
      <c r="A1041" s="576" t="s">
        <v>361</v>
      </c>
      <c r="B1041" s="577" t="s">
        <v>712</v>
      </c>
      <c r="C1041" s="575">
        <v>111291</v>
      </c>
    </row>
    <row r="1042" spans="1:3" ht="31.5">
      <c r="A1042" s="576" t="s">
        <v>714</v>
      </c>
      <c r="B1042" s="577" t="s">
        <v>713</v>
      </c>
      <c r="C1042" s="575">
        <v>67284</v>
      </c>
    </row>
    <row r="1043" spans="1:3">
      <c r="A1043" s="576" t="s">
        <v>716</v>
      </c>
      <c r="B1043" s="577" t="s">
        <v>715</v>
      </c>
      <c r="C1043" s="575">
        <v>27794</v>
      </c>
    </row>
    <row r="1044" spans="1:3">
      <c r="A1044" s="576" t="s">
        <v>718</v>
      </c>
      <c r="B1044" s="577" t="s">
        <v>717</v>
      </c>
      <c r="C1044" s="575">
        <v>16213</v>
      </c>
    </row>
    <row r="1045" spans="1:3">
      <c r="A1045" s="576" t="s">
        <v>371</v>
      </c>
      <c r="B1045" s="577" t="s">
        <v>671</v>
      </c>
      <c r="C1045" s="575">
        <v>482017</v>
      </c>
    </row>
    <row r="1046" spans="1:3">
      <c r="A1046" s="576" t="s">
        <v>732</v>
      </c>
      <c r="B1046" s="577" t="s">
        <v>731</v>
      </c>
      <c r="C1046" s="575">
        <v>320000</v>
      </c>
    </row>
    <row r="1047" spans="1:3">
      <c r="A1047" s="576" t="s">
        <v>734</v>
      </c>
      <c r="B1047" s="577" t="s">
        <v>733</v>
      </c>
      <c r="C1047" s="575">
        <v>550</v>
      </c>
    </row>
    <row r="1048" spans="1:3">
      <c r="A1048" s="576" t="s">
        <v>724</v>
      </c>
      <c r="B1048" s="577" t="s">
        <v>723</v>
      </c>
      <c r="C1048" s="575">
        <v>17000</v>
      </c>
    </row>
    <row r="1049" spans="1:3">
      <c r="A1049" s="576" t="s">
        <v>638</v>
      </c>
      <c r="B1049" s="577" t="s">
        <v>672</v>
      </c>
      <c r="C1049" s="575">
        <v>42890</v>
      </c>
    </row>
    <row r="1050" spans="1:3">
      <c r="A1050" s="576" t="s">
        <v>639</v>
      </c>
      <c r="B1050" s="577" t="s">
        <v>725</v>
      </c>
      <c r="C1050" s="575">
        <v>57007</v>
      </c>
    </row>
    <row r="1051" spans="1:3">
      <c r="A1051" s="576" t="s">
        <v>685</v>
      </c>
      <c r="B1051" s="577" t="s">
        <v>684</v>
      </c>
      <c r="C1051" s="575">
        <v>38000</v>
      </c>
    </row>
    <row r="1052" spans="1:3">
      <c r="A1052" s="576" t="s">
        <v>687</v>
      </c>
      <c r="B1052" s="577" t="s">
        <v>686</v>
      </c>
      <c r="C1052" s="575">
        <v>2000</v>
      </c>
    </row>
    <row r="1053" spans="1:3">
      <c r="A1053" s="576" t="s">
        <v>674</v>
      </c>
      <c r="B1053" s="577" t="s">
        <v>673</v>
      </c>
      <c r="C1053" s="575">
        <v>250</v>
      </c>
    </row>
    <row r="1054" spans="1:3">
      <c r="A1054" s="576" t="s">
        <v>694</v>
      </c>
      <c r="B1054" s="577" t="s">
        <v>693</v>
      </c>
      <c r="C1054" s="575">
        <v>4300</v>
      </c>
    </row>
    <row r="1055" spans="1:3" ht="31.5">
      <c r="A1055" s="576" t="s">
        <v>641</v>
      </c>
      <c r="B1055" s="577" t="s">
        <v>1162</v>
      </c>
      <c r="C1055" s="575">
        <v>20</v>
      </c>
    </row>
    <row r="1056" spans="1:3">
      <c r="A1056" s="576" t="s">
        <v>248</v>
      </c>
      <c r="B1056" s="577" t="s">
        <v>735</v>
      </c>
      <c r="C1056" s="575">
        <v>1400</v>
      </c>
    </row>
    <row r="1057" spans="1:3" ht="31.5">
      <c r="A1057" s="576" t="s">
        <v>242</v>
      </c>
      <c r="B1057" s="577" t="s">
        <v>736</v>
      </c>
      <c r="C1057" s="575">
        <v>1100</v>
      </c>
    </row>
    <row r="1058" spans="1:3" ht="31.5">
      <c r="A1058" s="576" t="s">
        <v>243</v>
      </c>
      <c r="B1058" s="577" t="s">
        <v>750</v>
      </c>
      <c r="C1058" s="575">
        <v>300</v>
      </c>
    </row>
    <row r="1059" spans="1:3">
      <c r="A1059" s="574" t="s">
        <v>866</v>
      </c>
      <c r="B1059" s="578"/>
      <c r="C1059" s="575">
        <v>1254554</v>
      </c>
    </row>
    <row r="1060" spans="1:3">
      <c r="A1060" s="576"/>
      <c r="B1060" s="577"/>
      <c r="C1060" s="575"/>
    </row>
    <row r="1061" spans="1:3">
      <c r="A1061" s="576" t="s">
        <v>647</v>
      </c>
      <c r="B1061" s="577" t="s">
        <v>688</v>
      </c>
      <c r="C1061" s="575">
        <v>2939</v>
      </c>
    </row>
    <row r="1062" spans="1:3">
      <c r="A1062" s="574" t="s">
        <v>862</v>
      </c>
      <c r="B1062" s="578"/>
      <c r="C1062" s="575">
        <v>2939</v>
      </c>
    </row>
    <row r="1063" spans="1:3">
      <c r="A1063" s="576"/>
      <c r="B1063" s="577"/>
      <c r="C1063" s="575"/>
    </row>
    <row r="1064" spans="1:3">
      <c r="A1064" s="574" t="s">
        <v>960</v>
      </c>
      <c r="B1064" s="574"/>
      <c r="C1064" s="575">
        <v>1257493</v>
      </c>
    </row>
    <row r="1065" spans="1:3">
      <c r="A1065" s="576"/>
      <c r="B1065" s="573"/>
      <c r="C1065" s="575"/>
    </row>
    <row r="1066" spans="1:3">
      <c r="A1066" s="574" t="s">
        <v>959</v>
      </c>
      <c r="B1066" s="578"/>
      <c r="C1066" s="578"/>
    </row>
    <row r="1067" spans="1:3" ht="37.5" customHeight="1">
      <c r="A1067" s="576" t="s">
        <v>345</v>
      </c>
      <c r="B1067" s="577" t="s">
        <v>3</v>
      </c>
      <c r="C1067" s="575">
        <v>560824</v>
      </c>
    </row>
    <row r="1068" spans="1:3" ht="36.75" customHeight="1">
      <c r="A1068" s="576" t="s">
        <v>707</v>
      </c>
      <c r="B1068" s="577" t="s">
        <v>706</v>
      </c>
      <c r="C1068" s="575">
        <v>560824</v>
      </c>
    </row>
    <row r="1069" spans="1:3" ht="21" customHeight="1">
      <c r="A1069" s="576" t="s">
        <v>351</v>
      </c>
      <c r="B1069" s="577" t="s">
        <v>668</v>
      </c>
      <c r="C1069" s="575">
        <v>26282</v>
      </c>
    </row>
    <row r="1070" spans="1:3" ht="31.5">
      <c r="A1070" s="576" t="s">
        <v>1063</v>
      </c>
      <c r="B1070" s="577" t="s">
        <v>1062</v>
      </c>
      <c r="C1070" s="575">
        <v>16825</v>
      </c>
    </row>
    <row r="1071" spans="1:3">
      <c r="A1071" s="576" t="s">
        <v>709</v>
      </c>
      <c r="B1071" s="577" t="s">
        <v>708</v>
      </c>
      <c r="C1071" s="575">
        <v>9457</v>
      </c>
    </row>
    <row r="1072" spans="1:3">
      <c r="A1072" s="576" t="s">
        <v>361</v>
      </c>
      <c r="B1072" s="577" t="s">
        <v>712</v>
      </c>
      <c r="C1072" s="575">
        <v>107791</v>
      </c>
    </row>
    <row r="1073" spans="1:3" ht="31.5">
      <c r="A1073" s="576" t="s">
        <v>714</v>
      </c>
      <c r="B1073" s="577" t="s">
        <v>713</v>
      </c>
      <c r="C1073" s="575">
        <v>65168</v>
      </c>
    </row>
    <row r="1074" spans="1:3">
      <c r="A1074" s="576" t="s">
        <v>716</v>
      </c>
      <c r="B1074" s="577" t="s">
        <v>715</v>
      </c>
      <c r="C1074" s="575">
        <v>26920</v>
      </c>
    </row>
    <row r="1075" spans="1:3">
      <c r="A1075" s="576" t="s">
        <v>718</v>
      </c>
      <c r="B1075" s="577" t="s">
        <v>717</v>
      </c>
      <c r="C1075" s="575">
        <v>15703</v>
      </c>
    </row>
    <row r="1076" spans="1:3">
      <c r="A1076" s="576" t="s">
        <v>371</v>
      </c>
      <c r="B1076" s="577" t="s">
        <v>671</v>
      </c>
      <c r="C1076" s="575">
        <v>101500</v>
      </c>
    </row>
    <row r="1077" spans="1:3">
      <c r="A1077" s="576" t="s">
        <v>724</v>
      </c>
      <c r="B1077" s="577" t="s">
        <v>723</v>
      </c>
      <c r="C1077" s="575">
        <v>8400</v>
      </c>
    </row>
    <row r="1078" spans="1:3">
      <c r="A1078" s="576" t="s">
        <v>638</v>
      </c>
      <c r="B1078" s="577" t="s">
        <v>672</v>
      </c>
      <c r="C1078" s="575">
        <v>17800</v>
      </c>
    </row>
    <row r="1079" spans="1:3">
      <c r="A1079" s="576" t="s">
        <v>639</v>
      </c>
      <c r="B1079" s="577" t="s">
        <v>725</v>
      </c>
      <c r="C1079" s="575">
        <v>61900</v>
      </c>
    </row>
    <row r="1080" spans="1:3">
      <c r="A1080" s="576" t="s">
        <v>685</v>
      </c>
      <c r="B1080" s="577" t="s">
        <v>684</v>
      </c>
      <c r="C1080" s="575">
        <v>13400</v>
      </c>
    </row>
    <row r="1081" spans="1:3">
      <c r="A1081" s="574" t="s">
        <v>866</v>
      </c>
      <c r="B1081" s="578"/>
      <c r="C1081" s="575">
        <v>796397</v>
      </c>
    </row>
    <row r="1082" spans="1:3">
      <c r="A1082" s="576"/>
      <c r="B1082" s="577"/>
      <c r="C1082" s="575"/>
    </row>
    <row r="1083" spans="1:3">
      <c r="A1083" s="574" t="s">
        <v>958</v>
      </c>
      <c r="B1083" s="574"/>
      <c r="C1083" s="575">
        <v>796397</v>
      </c>
    </row>
    <row r="1084" spans="1:3">
      <c r="A1084" s="574" t="s">
        <v>737</v>
      </c>
      <c r="B1084" s="578"/>
      <c r="C1084" s="578"/>
    </row>
    <row r="1085" spans="1:3">
      <c r="A1085" s="576" t="s">
        <v>371</v>
      </c>
      <c r="B1085" s="577" t="s">
        <v>671</v>
      </c>
      <c r="C1085" s="575">
        <v>6100</v>
      </c>
    </row>
    <row r="1086" spans="1:3">
      <c r="A1086" s="576" t="s">
        <v>685</v>
      </c>
      <c r="B1086" s="577" t="s">
        <v>684</v>
      </c>
      <c r="C1086" s="575">
        <v>6000</v>
      </c>
    </row>
    <row r="1087" spans="1:3">
      <c r="A1087" s="576" t="s">
        <v>694</v>
      </c>
      <c r="B1087" s="577" t="s">
        <v>693</v>
      </c>
      <c r="C1087" s="575">
        <v>100</v>
      </c>
    </row>
    <row r="1088" spans="1:3">
      <c r="A1088" s="574" t="s">
        <v>866</v>
      </c>
      <c r="B1088" s="578"/>
      <c r="C1088" s="575">
        <v>6100</v>
      </c>
    </row>
    <row r="1089" spans="1:3">
      <c r="A1089" s="576"/>
      <c r="B1089" s="577"/>
      <c r="C1089" s="575"/>
    </row>
    <row r="1090" spans="1:3">
      <c r="A1090" s="574" t="s">
        <v>872</v>
      </c>
      <c r="B1090" s="574"/>
      <c r="C1090" s="575">
        <v>6100</v>
      </c>
    </row>
    <row r="1091" spans="1:3">
      <c r="A1091" s="576"/>
      <c r="B1091" s="573"/>
      <c r="C1091" s="575"/>
    </row>
    <row r="1092" spans="1:3" ht="31.5">
      <c r="A1092" s="574" t="s">
        <v>744</v>
      </c>
      <c r="B1092" s="578"/>
      <c r="C1092" s="578"/>
    </row>
    <row r="1093" spans="1:3" ht="31.5">
      <c r="A1093" s="576" t="s">
        <v>345</v>
      </c>
      <c r="B1093" s="577" t="s">
        <v>3</v>
      </c>
      <c r="C1093" s="575">
        <v>255829</v>
      </c>
    </row>
    <row r="1094" spans="1:3" ht="31.5">
      <c r="A1094" s="576" t="s">
        <v>707</v>
      </c>
      <c r="B1094" s="577" t="s">
        <v>706</v>
      </c>
      <c r="C1094" s="575">
        <v>255829</v>
      </c>
    </row>
    <row r="1095" spans="1:3">
      <c r="A1095" s="576" t="s">
        <v>351</v>
      </c>
      <c r="B1095" s="577" t="s">
        <v>668</v>
      </c>
      <c r="C1095" s="575">
        <v>7495</v>
      </c>
    </row>
    <row r="1096" spans="1:3" ht="31.5">
      <c r="A1096" s="576" t="s">
        <v>1063</v>
      </c>
      <c r="B1096" s="577" t="s">
        <v>1062</v>
      </c>
      <c r="C1096" s="575">
        <v>7495</v>
      </c>
    </row>
    <row r="1097" spans="1:3">
      <c r="A1097" s="576" t="s">
        <v>361</v>
      </c>
      <c r="B1097" s="577" t="s">
        <v>712</v>
      </c>
      <c r="C1097" s="575">
        <v>48017</v>
      </c>
    </row>
    <row r="1098" spans="1:3" ht="31.5">
      <c r="A1098" s="576" t="s">
        <v>714</v>
      </c>
      <c r="B1098" s="577" t="s">
        <v>713</v>
      </c>
      <c r="C1098" s="575">
        <v>29030</v>
      </c>
    </row>
    <row r="1099" spans="1:3">
      <c r="A1099" s="576" t="s">
        <v>716</v>
      </c>
      <c r="B1099" s="577" t="s">
        <v>715</v>
      </c>
      <c r="C1099" s="575">
        <v>11992</v>
      </c>
    </row>
    <row r="1100" spans="1:3">
      <c r="A1100" s="576" t="s">
        <v>718</v>
      </c>
      <c r="B1100" s="577" t="s">
        <v>717</v>
      </c>
      <c r="C1100" s="575">
        <v>6995</v>
      </c>
    </row>
    <row r="1101" spans="1:3">
      <c r="A1101" s="576" t="s">
        <v>371</v>
      </c>
      <c r="B1101" s="577" t="s">
        <v>671</v>
      </c>
      <c r="C1101" s="575">
        <v>75200</v>
      </c>
    </row>
    <row r="1102" spans="1:3">
      <c r="A1102" s="576" t="s">
        <v>724</v>
      </c>
      <c r="B1102" s="577" t="s">
        <v>723</v>
      </c>
      <c r="C1102" s="575">
        <v>5000</v>
      </c>
    </row>
    <row r="1103" spans="1:3">
      <c r="A1103" s="576" t="s">
        <v>638</v>
      </c>
      <c r="B1103" s="577" t="s">
        <v>672</v>
      </c>
      <c r="C1103" s="575">
        <v>12000</v>
      </c>
    </row>
    <row r="1104" spans="1:3">
      <c r="A1104" s="576" t="s">
        <v>639</v>
      </c>
      <c r="B1104" s="577" t="s">
        <v>725</v>
      </c>
      <c r="C1104" s="575">
        <v>3000</v>
      </c>
    </row>
    <row r="1105" spans="1:3">
      <c r="A1105" s="576" t="s">
        <v>685</v>
      </c>
      <c r="B1105" s="577" t="s">
        <v>684</v>
      </c>
      <c r="C1105" s="575">
        <v>35000</v>
      </c>
    </row>
    <row r="1106" spans="1:3">
      <c r="A1106" s="576" t="s">
        <v>674</v>
      </c>
      <c r="B1106" s="577" t="s">
        <v>673</v>
      </c>
      <c r="C1106" s="575">
        <v>700</v>
      </c>
    </row>
    <row r="1107" spans="1:3">
      <c r="A1107" s="576" t="s">
        <v>694</v>
      </c>
      <c r="B1107" s="577" t="s">
        <v>693</v>
      </c>
      <c r="C1107" s="575">
        <v>2000</v>
      </c>
    </row>
    <row r="1108" spans="1:3" ht="31.5">
      <c r="A1108" s="576" t="s">
        <v>642</v>
      </c>
      <c r="B1108" s="577" t="s">
        <v>677</v>
      </c>
      <c r="C1108" s="575">
        <v>17500</v>
      </c>
    </row>
    <row r="1109" spans="1:3">
      <c r="A1109" s="576" t="s">
        <v>248</v>
      </c>
      <c r="B1109" s="577" t="s">
        <v>735</v>
      </c>
      <c r="C1109" s="575">
        <v>97</v>
      </c>
    </row>
    <row r="1110" spans="1:3" ht="31.5">
      <c r="A1110" s="576" t="s">
        <v>242</v>
      </c>
      <c r="B1110" s="577" t="s">
        <v>736</v>
      </c>
      <c r="C1110" s="575">
        <v>97</v>
      </c>
    </row>
    <row r="1111" spans="1:3">
      <c r="A1111" s="576" t="s">
        <v>249</v>
      </c>
      <c r="B1111" s="577" t="s">
        <v>728</v>
      </c>
      <c r="C1111" s="575">
        <v>60000</v>
      </c>
    </row>
    <row r="1112" spans="1:3">
      <c r="A1112" s="576" t="s">
        <v>920</v>
      </c>
      <c r="B1112" s="577" t="s">
        <v>919</v>
      </c>
      <c r="C1112" s="575">
        <v>60000</v>
      </c>
    </row>
    <row r="1113" spans="1:3">
      <c r="A1113" s="574" t="s">
        <v>866</v>
      </c>
      <c r="B1113" s="578"/>
      <c r="C1113" s="575">
        <v>446638</v>
      </c>
    </row>
    <row r="1114" spans="1:3">
      <c r="A1114" s="576"/>
      <c r="B1114" s="577"/>
      <c r="C1114" s="575"/>
    </row>
    <row r="1115" spans="1:3" ht="31.5">
      <c r="A1115" s="574" t="s">
        <v>957</v>
      </c>
      <c r="B1115" s="574"/>
      <c r="C1115" s="575">
        <v>446638</v>
      </c>
    </row>
    <row r="1116" spans="1:3">
      <c r="A1116" s="576"/>
      <c r="B1116" s="573"/>
      <c r="C1116" s="575"/>
    </row>
    <row r="1117" spans="1:3" ht="31.5">
      <c r="A1117" s="574" t="s">
        <v>868</v>
      </c>
      <c r="B1117" s="574"/>
      <c r="C1117" s="575">
        <v>2506628</v>
      </c>
    </row>
    <row r="1118" spans="1:3">
      <c r="A1118" s="576"/>
      <c r="B1118" s="573"/>
      <c r="C1118" s="575"/>
    </row>
    <row r="1119" spans="1:3" ht="31.5">
      <c r="A1119" s="574" t="s">
        <v>867</v>
      </c>
      <c r="B1119" s="574"/>
      <c r="C1119" s="575">
        <v>2506628</v>
      </c>
    </row>
    <row r="1120" spans="1:3">
      <c r="A1120" s="576"/>
      <c r="B1120" s="573"/>
      <c r="C1120" s="575"/>
    </row>
    <row r="1121" spans="1:3" ht="31.5">
      <c r="A1121" s="574" t="s">
        <v>1239</v>
      </c>
      <c r="B1121" s="578"/>
      <c r="C1121" s="578"/>
    </row>
    <row r="1122" spans="1:3" ht="31.5">
      <c r="A1122" s="574" t="s">
        <v>956</v>
      </c>
      <c r="B1122" s="578"/>
      <c r="C1122" s="578"/>
    </row>
    <row r="1123" spans="1:3">
      <c r="A1123" s="574" t="s">
        <v>955</v>
      </c>
      <c r="B1123" s="578"/>
      <c r="C1123" s="578"/>
    </row>
    <row r="1124" spans="1:3">
      <c r="A1124" s="576" t="s">
        <v>371</v>
      </c>
      <c r="B1124" s="577" t="s">
        <v>671</v>
      </c>
      <c r="C1124" s="575">
        <v>210184</v>
      </c>
    </row>
    <row r="1125" spans="1:3">
      <c r="A1125" s="576" t="s">
        <v>638</v>
      </c>
      <c r="B1125" s="577" t="s">
        <v>672</v>
      </c>
      <c r="C1125" s="575">
        <v>3450</v>
      </c>
    </row>
    <row r="1126" spans="1:3">
      <c r="A1126" s="576" t="s">
        <v>639</v>
      </c>
      <c r="B1126" s="577" t="s">
        <v>725</v>
      </c>
      <c r="C1126" s="575">
        <v>135104</v>
      </c>
    </row>
    <row r="1127" spans="1:3">
      <c r="A1127" s="576" t="s">
        <v>685</v>
      </c>
      <c r="B1127" s="577" t="s">
        <v>684</v>
      </c>
      <c r="C1127" s="575">
        <v>71630</v>
      </c>
    </row>
    <row r="1128" spans="1:3">
      <c r="A1128" s="574" t="s">
        <v>866</v>
      </c>
      <c r="B1128" s="578"/>
      <c r="C1128" s="575">
        <v>210184</v>
      </c>
    </row>
    <row r="1129" spans="1:3">
      <c r="A1129" s="576"/>
      <c r="B1129" s="577"/>
      <c r="C1129" s="575"/>
    </row>
    <row r="1130" spans="1:3">
      <c r="A1130" s="576" t="s">
        <v>647</v>
      </c>
      <c r="B1130" s="577" t="s">
        <v>688</v>
      </c>
      <c r="C1130" s="575">
        <v>41100</v>
      </c>
    </row>
    <row r="1131" spans="1:3">
      <c r="A1131" s="574" t="s">
        <v>862</v>
      </c>
      <c r="B1131" s="578"/>
      <c r="C1131" s="575">
        <v>41100</v>
      </c>
    </row>
    <row r="1132" spans="1:3">
      <c r="A1132" s="576"/>
      <c r="B1132" s="577"/>
      <c r="C1132" s="575"/>
    </row>
    <row r="1133" spans="1:3">
      <c r="A1133" s="574" t="s">
        <v>954</v>
      </c>
      <c r="B1133" s="574"/>
      <c r="C1133" s="575">
        <v>251284</v>
      </c>
    </row>
    <row r="1134" spans="1:3">
      <c r="A1134" s="576"/>
      <c r="B1134" s="573"/>
      <c r="C1134" s="575"/>
    </row>
    <row r="1135" spans="1:3">
      <c r="A1135" s="574" t="s">
        <v>953</v>
      </c>
      <c r="B1135" s="578"/>
      <c r="C1135" s="578"/>
    </row>
    <row r="1136" spans="1:3">
      <c r="A1136" s="576" t="s">
        <v>371</v>
      </c>
      <c r="B1136" s="577" t="s">
        <v>671</v>
      </c>
      <c r="C1136" s="575">
        <v>3928850</v>
      </c>
    </row>
    <row r="1137" spans="1:3">
      <c r="A1137" s="576" t="s">
        <v>638</v>
      </c>
      <c r="B1137" s="577" t="s">
        <v>672</v>
      </c>
      <c r="C1137" s="575">
        <v>66550</v>
      </c>
    </row>
    <row r="1138" spans="1:3">
      <c r="A1138" s="576" t="s">
        <v>639</v>
      </c>
      <c r="B1138" s="577" t="s">
        <v>725</v>
      </c>
      <c r="C1138" s="575">
        <v>3066870</v>
      </c>
    </row>
    <row r="1139" spans="1:3">
      <c r="A1139" s="576" t="s">
        <v>685</v>
      </c>
      <c r="B1139" s="577" t="s">
        <v>684</v>
      </c>
      <c r="C1139" s="575">
        <v>781500</v>
      </c>
    </row>
    <row r="1140" spans="1:3">
      <c r="A1140" s="576" t="s">
        <v>687</v>
      </c>
      <c r="B1140" s="577" t="s">
        <v>686</v>
      </c>
      <c r="C1140" s="575">
        <v>13930</v>
      </c>
    </row>
    <row r="1141" spans="1:3">
      <c r="A1141" s="574" t="s">
        <v>866</v>
      </c>
      <c r="B1141" s="578"/>
      <c r="C1141" s="575">
        <v>3928850</v>
      </c>
    </row>
    <row r="1142" spans="1:3">
      <c r="A1142" s="576"/>
      <c r="B1142" s="577"/>
      <c r="C1142" s="575"/>
    </row>
    <row r="1143" spans="1:3">
      <c r="A1143" s="576" t="s">
        <v>647</v>
      </c>
      <c r="B1143" s="577" t="s">
        <v>688</v>
      </c>
      <c r="C1143" s="575">
        <v>130942</v>
      </c>
    </row>
    <row r="1144" spans="1:3">
      <c r="A1144" s="574" t="s">
        <v>862</v>
      </c>
      <c r="B1144" s="578"/>
      <c r="C1144" s="575">
        <v>130942</v>
      </c>
    </row>
    <row r="1145" spans="1:3">
      <c r="A1145" s="576"/>
      <c r="B1145" s="577"/>
      <c r="C1145" s="575"/>
    </row>
    <row r="1146" spans="1:3">
      <c r="A1146" s="574" t="s">
        <v>952</v>
      </c>
      <c r="B1146" s="574"/>
      <c r="C1146" s="575">
        <v>4059792</v>
      </c>
    </row>
    <row r="1147" spans="1:3">
      <c r="A1147" s="576"/>
      <c r="B1147" s="573"/>
      <c r="C1147" s="575"/>
    </row>
    <row r="1148" spans="1:3">
      <c r="A1148" s="574" t="s">
        <v>951</v>
      </c>
      <c r="B1148" s="578"/>
      <c r="C1148" s="578"/>
    </row>
    <row r="1149" spans="1:3">
      <c r="A1149" s="576" t="s">
        <v>649</v>
      </c>
      <c r="B1149" s="577" t="s">
        <v>1237</v>
      </c>
      <c r="C1149" s="575">
        <v>639749</v>
      </c>
    </row>
    <row r="1150" spans="1:3">
      <c r="A1150" s="574" t="s">
        <v>1238</v>
      </c>
      <c r="B1150" s="578"/>
      <c r="C1150" s="575">
        <v>639749</v>
      </c>
    </row>
    <row r="1151" spans="1:3">
      <c r="A1151" s="576"/>
      <c r="B1151" s="577"/>
      <c r="C1151" s="575"/>
    </row>
    <row r="1152" spans="1:3">
      <c r="A1152" s="576" t="s">
        <v>371</v>
      </c>
      <c r="B1152" s="577" t="s">
        <v>671</v>
      </c>
      <c r="C1152" s="575">
        <v>775231</v>
      </c>
    </row>
    <row r="1153" spans="1:3">
      <c r="A1153" s="576" t="s">
        <v>638</v>
      </c>
      <c r="B1153" s="577" t="s">
        <v>672</v>
      </c>
      <c r="C1153" s="575">
        <v>5725</v>
      </c>
    </row>
    <row r="1154" spans="1:3">
      <c r="A1154" s="576" t="s">
        <v>685</v>
      </c>
      <c r="B1154" s="577" t="s">
        <v>684</v>
      </c>
      <c r="C1154" s="575">
        <v>28900</v>
      </c>
    </row>
    <row r="1155" spans="1:3">
      <c r="A1155" s="576" t="s">
        <v>687</v>
      </c>
      <c r="B1155" s="577" t="s">
        <v>686</v>
      </c>
      <c r="C1155" s="575">
        <v>740606</v>
      </c>
    </row>
    <row r="1156" spans="1:3">
      <c r="A1156" s="576" t="s">
        <v>248</v>
      </c>
      <c r="B1156" s="577" t="s">
        <v>735</v>
      </c>
      <c r="C1156" s="575">
        <v>1500</v>
      </c>
    </row>
    <row r="1157" spans="1:3" ht="31.5">
      <c r="A1157" s="576" t="s">
        <v>242</v>
      </c>
      <c r="B1157" s="577" t="s">
        <v>736</v>
      </c>
      <c r="C1157" s="575">
        <v>1500</v>
      </c>
    </row>
    <row r="1158" spans="1:3">
      <c r="A1158" s="574" t="s">
        <v>866</v>
      </c>
      <c r="B1158" s="578"/>
      <c r="C1158" s="575">
        <v>776731</v>
      </c>
    </row>
    <row r="1159" spans="1:3">
      <c r="A1159" s="576"/>
      <c r="B1159" s="577"/>
      <c r="C1159" s="575"/>
    </row>
    <row r="1160" spans="1:3">
      <c r="A1160" s="576" t="s">
        <v>647</v>
      </c>
      <c r="B1160" s="577" t="s">
        <v>688</v>
      </c>
      <c r="C1160" s="575">
        <v>8718639</v>
      </c>
    </row>
    <row r="1161" spans="1:3">
      <c r="A1161" s="576" t="s">
        <v>648</v>
      </c>
      <c r="B1161" s="577" t="s">
        <v>689</v>
      </c>
      <c r="C1161" s="575">
        <v>4908498</v>
      </c>
    </row>
    <row r="1162" spans="1:3">
      <c r="A1162" s="576" t="s">
        <v>239</v>
      </c>
      <c r="B1162" s="577" t="s">
        <v>690</v>
      </c>
      <c r="C1162" s="575">
        <v>4908498</v>
      </c>
    </row>
    <row r="1163" spans="1:3">
      <c r="A1163" s="576" t="s">
        <v>415</v>
      </c>
      <c r="B1163" s="577" t="s">
        <v>949</v>
      </c>
      <c r="C1163" s="575">
        <v>100000</v>
      </c>
    </row>
    <row r="1164" spans="1:3">
      <c r="A1164" s="574" t="s">
        <v>862</v>
      </c>
      <c r="B1164" s="578"/>
      <c r="C1164" s="575">
        <v>13727137</v>
      </c>
    </row>
    <row r="1165" spans="1:3">
      <c r="A1165" s="576"/>
      <c r="B1165" s="577"/>
      <c r="C1165" s="575"/>
    </row>
    <row r="1166" spans="1:3" ht="31.5">
      <c r="A1166" s="574" t="s">
        <v>950</v>
      </c>
      <c r="B1166" s="574"/>
      <c r="C1166" s="575">
        <v>15143617</v>
      </c>
    </row>
    <row r="1167" spans="1:3">
      <c r="A1167" s="576"/>
      <c r="B1167" s="573"/>
      <c r="C1167" s="575"/>
    </row>
    <row r="1168" spans="1:3" ht="31.5">
      <c r="A1168" s="574" t="s">
        <v>1240</v>
      </c>
      <c r="B1168" s="578"/>
      <c r="C1168" s="578"/>
    </row>
    <row r="1169" spans="1:3" ht="31.5">
      <c r="A1169" s="576" t="s">
        <v>345</v>
      </c>
      <c r="B1169" s="577" t="s">
        <v>3</v>
      </c>
      <c r="C1169" s="575">
        <v>185387</v>
      </c>
    </row>
    <row r="1170" spans="1:3" ht="31.5">
      <c r="A1170" s="576" t="s">
        <v>707</v>
      </c>
      <c r="B1170" s="577" t="s">
        <v>706</v>
      </c>
      <c r="C1170" s="575">
        <v>185387</v>
      </c>
    </row>
    <row r="1171" spans="1:3">
      <c r="A1171" s="576" t="s">
        <v>351</v>
      </c>
      <c r="B1171" s="577" t="s">
        <v>668</v>
      </c>
      <c r="C1171" s="575">
        <v>7562</v>
      </c>
    </row>
    <row r="1172" spans="1:3" ht="31.5">
      <c r="A1172" s="576" t="s">
        <v>1063</v>
      </c>
      <c r="B1172" s="577" t="s">
        <v>1062</v>
      </c>
      <c r="C1172" s="575">
        <v>5562</v>
      </c>
    </row>
    <row r="1173" spans="1:3">
      <c r="A1173" s="576" t="s">
        <v>709</v>
      </c>
      <c r="B1173" s="577" t="s">
        <v>708</v>
      </c>
      <c r="C1173" s="575">
        <v>2000</v>
      </c>
    </row>
    <row r="1174" spans="1:3">
      <c r="A1174" s="576" t="s">
        <v>361</v>
      </c>
      <c r="B1174" s="577" t="s">
        <v>712</v>
      </c>
      <c r="C1174" s="575">
        <v>36424</v>
      </c>
    </row>
    <row r="1175" spans="1:3" ht="31.5">
      <c r="A1175" s="576" t="s">
        <v>714</v>
      </c>
      <c r="B1175" s="577" t="s">
        <v>713</v>
      </c>
      <c r="C1175" s="575">
        <v>24453</v>
      </c>
    </row>
    <row r="1176" spans="1:3">
      <c r="A1176" s="576" t="s">
        <v>716</v>
      </c>
      <c r="B1176" s="577" t="s">
        <v>715</v>
      </c>
      <c r="C1176" s="575">
        <v>9178</v>
      </c>
    </row>
    <row r="1177" spans="1:3">
      <c r="A1177" s="576" t="s">
        <v>718</v>
      </c>
      <c r="B1177" s="577" t="s">
        <v>717</v>
      </c>
      <c r="C1177" s="575">
        <v>2793</v>
      </c>
    </row>
    <row r="1178" spans="1:3">
      <c r="A1178" s="576" t="s">
        <v>371</v>
      </c>
      <c r="B1178" s="577" t="s">
        <v>671</v>
      </c>
      <c r="C1178" s="575">
        <v>1247201</v>
      </c>
    </row>
    <row r="1179" spans="1:3">
      <c r="A1179" s="576" t="s">
        <v>734</v>
      </c>
      <c r="B1179" s="577" t="s">
        <v>733</v>
      </c>
      <c r="C1179" s="575">
        <v>150</v>
      </c>
    </row>
    <row r="1180" spans="1:3">
      <c r="A1180" s="576" t="s">
        <v>724</v>
      </c>
      <c r="B1180" s="577" t="s">
        <v>723</v>
      </c>
      <c r="C1180" s="575">
        <v>3900</v>
      </c>
    </row>
    <row r="1181" spans="1:3">
      <c r="A1181" s="576" t="s">
        <v>638</v>
      </c>
      <c r="B1181" s="577" t="s">
        <v>672</v>
      </c>
      <c r="C1181" s="575">
        <v>105403</v>
      </c>
    </row>
    <row r="1182" spans="1:3">
      <c r="A1182" s="576" t="s">
        <v>639</v>
      </c>
      <c r="B1182" s="577" t="s">
        <v>725</v>
      </c>
      <c r="C1182" s="575">
        <v>22180</v>
      </c>
    </row>
    <row r="1183" spans="1:3">
      <c r="A1183" s="576" t="s">
        <v>685</v>
      </c>
      <c r="B1183" s="577" t="s">
        <v>684</v>
      </c>
      <c r="C1183" s="575">
        <v>534972</v>
      </c>
    </row>
    <row r="1184" spans="1:3">
      <c r="A1184" s="576" t="s">
        <v>687</v>
      </c>
      <c r="B1184" s="577" t="s">
        <v>686</v>
      </c>
      <c r="C1184" s="575">
        <v>78096</v>
      </c>
    </row>
    <row r="1185" spans="1:3">
      <c r="A1185" s="576" t="s">
        <v>694</v>
      </c>
      <c r="B1185" s="577" t="s">
        <v>693</v>
      </c>
      <c r="C1185" s="575">
        <v>2500</v>
      </c>
    </row>
    <row r="1186" spans="1:3" ht="31.5">
      <c r="A1186" s="576" t="s">
        <v>642</v>
      </c>
      <c r="B1186" s="577" t="s">
        <v>677</v>
      </c>
      <c r="C1186" s="575">
        <v>500000</v>
      </c>
    </row>
    <row r="1187" spans="1:3">
      <c r="A1187" s="574" t="s">
        <v>866</v>
      </c>
      <c r="B1187" s="578"/>
      <c r="C1187" s="575">
        <v>1476574</v>
      </c>
    </row>
    <row r="1188" spans="1:3">
      <c r="A1188" s="576"/>
      <c r="B1188" s="577"/>
      <c r="C1188" s="575"/>
    </row>
    <row r="1189" spans="1:3">
      <c r="A1189" s="576" t="s">
        <v>647</v>
      </c>
      <c r="B1189" s="577" t="s">
        <v>688</v>
      </c>
      <c r="C1189" s="575">
        <v>32378</v>
      </c>
    </row>
    <row r="1190" spans="1:3">
      <c r="A1190" s="576" t="s">
        <v>648</v>
      </c>
      <c r="B1190" s="577" t="s">
        <v>689</v>
      </c>
      <c r="C1190" s="575">
        <v>238676</v>
      </c>
    </row>
    <row r="1191" spans="1:3">
      <c r="A1191" s="576" t="s">
        <v>251</v>
      </c>
      <c r="B1191" s="577" t="s">
        <v>942</v>
      </c>
      <c r="C1191" s="575">
        <v>60000</v>
      </c>
    </row>
    <row r="1192" spans="1:3">
      <c r="A1192" s="576" t="s">
        <v>239</v>
      </c>
      <c r="B1192" s="577" t="s">
        <v>690</v>
      </c>
      <c r="C1192" s="575">
        <v>178676</v>
      </c>
    </row>
    <row r="1193" spans="1:3">
      <c r="A1193" s="576" t="s">
        <v>415</v>
      </c>
      <c r="B1193" s="577" t="s">
        <v>949</v>
      </c>
      <c r="C1193" s="575">
        <v>4500</v>
      </c>
    </row>
    <row r="1194" spans="1:3">
      <c r="A1194" s="574" t="s">
        <v>862</v>
      </c>
      <c r="B1194" s="578"/>
      <c r="C1194" s="575">
        <v>275554</v>
      </c>
    </row>
    <row r="1195" spans="1:3">
      <c r="A1195" s="576"/>
      <c r="B1195" s="577"/>
      <c r="C1195" s="575"/>
    </row>
    <row r="1196" spans="1:3" ht="31.5">
      <c r="A1196" s="574" t="s">
        <v>948</v>
      </c>
      <c r="B1196" s="574"/>
      <c r="C1196" s="575">
        <v>1752128</v>
      </c>
    </row>
    <row r="1197" spans="1:3">
      <c r="A1197" s="576"/>
      <c r="B1197" s="573"/>
      <c r="C1197" s="575"/>
    </row>
    <row r="1198" spans="1:3" ht="31.5">
      <c r="A1198" s="574" t="s">
        <v>947</v>
      </c>
      <c r="B1198" s="574"/>
      <c r="C1198" s="575">
        <v>21206821</v>
      </c>
    </row>
    <row r="1199" spans="1:3">
      <c r="A1199" s="576"/>
      <c r="B1199" s="573"/>
      <c r="C1199" s="575"/>
    </row>
    <row r="1200" spans="1:3">
      <c r="A1200" s="574" t="s">
        <v>946</v>
      </c>
      <c r="B1200" s="578"/>
      <c r="C1200" s="578"/>
    </row>
    <row r="1201" spans="1:3" ht="31.5">
      <c r="A1201" s="574" t="s">
        <v>1081</v>
      </c>
      <c r="B1201" s="578"/>
      <c r="C1201" s="578"/>
    </row>
    <row r="1202" spans="1:3" ht="31.5">
      <c r="A1202" s="576" t="s">
        <v>345</v>
      </c>
      <c r="B1202" s="577" t="s">
        <v>3</v>
      </c>
      <c r="C1202" s="575">
        <v>58685</v>
      </c>
    </row>
    <row r="1203" spans="1:3" ht="31.5">
      <c r="A1203" s="576" t="s">
        <v>707</v>
      </c>
      <c r="B1203" s="577" t="s">
        <v>706</v>
      </c>
      <c r="C1203" s="575">
        <v>58685</v>
      </c>
    </row>
    <row r="1204" spans="1:3">
      <c r="A1204" s="576" t="s">
        <v>351</v>
      </c>
      <c r="B1204" s="577" t="s">
        <v>668</v>
      </c>
      <c r="C1204" s="575">
        <v>2761</v>
      </c>
    </row>
    <row r="1205" spans="1:3" ht="31.5">
      <c r="A1205" s="576" t="s">
        <v>1063</v>
      </c>
      <c r="B1205" s="577" t="s">
        <v>1062</v>
      </c>
      <c r="C1205" s="575">
        <v>1761</v>
      </c>
    </row>
    <row r="1206" spans="1:3">
      <c r="A1206" s="576" t="s">
        <v>709</v>
      </c>
      <c r="B1206" s="577" t="s">
        <v>708</v>
      </c>
      <c r="C1206" s="575">
        <v>1000</v>
      </c>
    </row>
    <row r="1207" spans="1:3">
      <c r="A1207" s="576" t="s">
        <v>361</v>
      </c>
      <c r="B1207" s="577" t="s">
        <v>712</v>
      </c>
      <c r="C1207" s="575">
        <v>11436</v>
      </c>
    </row>
    <row r="1208" spans="1:3" ht="31.5">
      <c r="A1208" s="576" t="s">
        <v>714</v>
      </c>
      <c r="B1208" s="577" t="s">
        <v>713</v>
      </c>
      <c r="C1208" s="575">
        <v>6845</v>
      </c>
    </row>
    <row r="1209" spans="1:3">
      <c r="A1209" s="576" t="s">
        <v>716</v>
      </c>
      <c r="B1209" s="577" t="s">
        <v>715</v>
      </c>
      <c r="C1209" s="575">
        <v>2901</v>
      </c>
    </row>
    <row r="1210" spans="1:3">
      <c r="A1210" s="576" t="s">
        <v>718</v>
      </c>
      <c r="B1210" s="577" t="s">
        <v>717</v>
      </c>
      <c r="C1210" s="575">
        <v>1690</v>
      </c>
    </row>
    <row r="1211" spans="1:3">
      <c r="A1211" s="576" t="s">
        <v>371</v>
      </c>
      <c r="B1211" s="577" t="s">
        <v>671</v>
      </c>
      <c r="C1211" s="575">
        <v>2750</v>
      </c>
    </row>
    <row r="1212" spans="1:3">
      <c r="A1212" s="576" t="s">
        <v>734</v>
      </c>
      <c r="B1212" s="577" t="s">
        <v>733</v>
      </c>
      <c r="C1212" s="575">
        <v>150</v>
      </c>
    </row>
    <row r="1213" spans="1:3">
      <c r="A1213" s="576" t="s">
        <v>724</v>
      </c>
      <c r="B1213" s="577" t="s">
        <v>723</v>
      </c>
      <c r="C1213" s="575">
        <v>1250</v>
      </c>
    </row>
    <row r="1214" spans="1:3">
      <c r="A1214" s="576" t="s">
        <v>638</v>
      </c>
      <c r="B1214" s="577" t="s">
        <v>672</v>
      </c>
      <c r="C1214" s="575">
        <v>200</v>
      </c>
    </row>
    <row r="1215" spans="1:3">
      <c r="A1215" s="576" t="s">
        <v>685</v>
      </c>
      <c r="B1215" s="577" t="s">
        <v>684</v>
      </c>
      <c r="C1215" s="575">
        <v>1000</v>
      </c>
    </row>
    <row r="1216" spans="1:3">
      <c r="A1216" s="576" t="s">
        <v>694</v>
      </c>
      <c r="B1216" s="577" t="s">
        <v>693</v>
      </c>
      <c r="C1216" s="575">
        <v>150</v>
      </c>
    </row>
    <row r="1217" spans="1:3">
      <c r="A1217" s="574" t="s">
        <v>866</v>
      </c>
      <c r="B1217" s="578"/>
      <c r="C1217" s="575">
        <v>75632</v>
      </c>
    </row>
    <row r="1218" spans="1:3">
      <c r="A1218" s="576"/>
      <c r="B1218" s="577"/>
      <c r="C1218" s="575"/>
    </row>
    <row r="1219" spans="1:3" ht="31.5">
      <c r="A1219" s="574" t="s">
        <v>1080</v>
      </c>
      <c r="B1219" s="574"/>
      <c r="C1219" s="575">
        <v>75632</v>
      </c>
    </row>
    <row r="1220" spans="1:3">
      <c r="A1220" s="574" t="s">
        <v>945</v>
      </c>
      <c r="B1220" s="578"/>
      <c r="C1220" s="578"/>
    </row>
    <row r="1221" spans="1:3" ht="31.5">
      <c r="A1221" s="576" t="s">
        <v>345</v>
      </c>
      <c r="B1221" s="577" t="s">
        <v>3</v>
      </c>
      <c r="C1221" s="575">
        <v>401757</v>
      </c>
    </row>
    <row r="1222" spans="1:3" ht="31.5">
      <c r="A1222" s="576" t="s">
        <v>707</v>
      </c>
      <c r="B1222" s="577" t="s">
        <v>706</v>
      </c>
      <c r="C1222" s="575">
        <v>401757</v>
      </c>
    </row>
    <row r="1223" spans="1:3">
      <c r="A1223" s="576" t="s">
        <v>351</v>
      </c>
      <c r="B1223" s="577" t="s">
        <v>668</v>
      </c>
      <c r="C1223" s="575">
        <v>13561</v>
      </c>
    </row>
    <row r="1224" spans="1:3" ht="31.5">
      <c r="A1224" s="576" t="s">
        <v>1063</v>
      </c>
      <c r="B1224" s="577" t="s">
        <v>1062</v>
      </c>
      <c r="C1224" s="575">
        <v>12061</v>
      </c>
    </row>
    <row r="1225" spans="1:3">
      <c r="A1225" s="576" t="s">
        <v>709</v>
      </c>
      <c r="B1225" s="577" t="s">
        <v>708</v>
      </c>
      <c r="C1225" s="575">
        <v>1500</v>
      </c>
    </row>
    <row r="1226" spans="1:3">
      <c r="A1226" s="576" t="s">
        <v>361</v>
      </c>
      <c r="B1226" s="577" t="s">
        <v>712</v>
      </c>
      <c r="C1226" s="575">
        <v>78758</v>
      </c>
    </row>
    <row r="1227" spans="1:3" ht="31.5">
      <c r="A1227" s="576" t="s">
        <v>714</v>
      </c>
      <c r="B1227" s="577" t="s">
        <v>713</v>
      </c>
      <c r="C1227" s="575">
        <v>56823</v>
      </c>
    </row>
    <row r="1228" spans="1:3">
      <c r="A1228" s="576" t="s">
        <v>716</v>
      </c>
      <c r="B1228" s="577" t="s">
        <v>715</v>
      </c>
      <c r="C1228" s="575">
        <v>19875</v>
      </c>
    </row>
    <row r="1229" spans="1:3">
      <c r="A1229" s="576" t="s">
        <v>718</v>
      </c>
      <c r="B1229" s="577" t="s">
        <v>717</v>
      </c>
      <c r="C1229" s="575">
        <v>2060</v>
      </c>
    </row>
    <row r="1230" spans="1:3">
      <c r="A1230" s="576" t="s">
        <v>371</v>
      </c>
      <c r="B1230" s="577" t="s">
        <v>671</v>
      </c>
      <c r="C1230" s="575">
        <v>365608</v>
      </c>
    </row>
    <row r="1231" spans="1:3">
      <c r="A1231" s="576" t="s">
        <v>734</v>
      </c>
      <c r="B1231" s="577" t="s">
        <v>733</v>
      </c>
      <c r="C1231" s="575">
        <v>150</v>
      </c>
    </row>
    <row r="1232" spans="1:3">
      <c r="A1232" s="576" t="s">
        <v>724</v>
      </c>
      <c r="B1232" s="577" t="s">
        <v>723</v>
      </c>
      <c r="C1232" s="575">
        <v>7790</v>
      </c>
    </row>
    <row r="1233" spans="1:3">
      <c r="A1233" s="576" t="s">
        <v>638</v>
      </c>
      <c r="B1233" s="577" t="s">
        <v>672</v>
      </c>
      <c r="C1233" s="575">
        <v>120348</v>
      </c>
    </row>
    <row r="1234" spans="1:3">
      <c r="A1234" s="576" t="s">
        <v>639</v>
      </c>
      <c r="B1234" s="577" t="s">
        <v>725</v>
      </c>
      <c r="C1234" s="575">
        <v>49880</v>
      </c>
    </row>
    <row r="1235" spans="1:3">
      <c r="A1235" s="576" t="s">
        <v>685</v>
      </c>
      <c r="B1235" s="577" t="s">
        <v>684</v>
      </c>
      <c r="C1235" s="575">
        <v>186180</v>
      </c>
    </row>
    <row r="1236" spans="1:3">
      <c r="A1236" s="576" t="s">
        <v>674</v>
      </c>
      <c r="B1236" s="577" t="s">
        <v>673</v>
      </c>
      <c r="C1236" s="575">
        <v>60</v>
      </c>
    </row>
    <row r="1237" spans="1:3">
      <c r="A1237" s="576" t="s">
        <v>694</v>
      </c>
      <c r="B1237" s="577" t="s">
        <v>693</v>
      </c>
      <c r="C1237" s="575">
        <v>1200</v>
      </c>
    </row>
    <row r="1238" spans="1:3">
      <c r="A1238" s="574" t="s">
        <v>866</v>
      </c>
      <c r="B1238" s="578"/>
      <c r="C1238" s="575">
        <v>859684</v>
      </c>
    </row>
    <row r="1239" spans="1:3">
      <c r="A1239" s="576"/>
      <c r="B1239" s="577"/>
      <c r="C1239" s="575"/>
    </row>
    <row r="1240" spans="1:3">
      <c r="A1240" s="576" t="s">
        <v>648</v>
      </c>
      <c r="B1240" s="577" t="s">
        <v>689</v>
      </c>
      <c r="C1240" s="575">
        <v>8719</v>
      </c>
    </row>
    <row r="1241" spans="1:3">
      <c r="A1241" s="576" t="s">
        <v>941</v>
      </c>
      <c r="B1241" s="577" t="s">
        <v>940</v>
      </c>
      <c r="C1241" s="575">
        <v>8719</v>
      </c>
    </row>
    <row r="1242" spans="1:3">
      <c r="A1242" s="574" t="s">
        <v>862</v>
      </c>
      <c r="B1242" s="578"/>
      <c r="C1242" s="575">
        <v>8719</v>
      </c>
    </row>
    <row r="1243" spans="1:3">
      <c r="A1243" s="576"/>
      <c r="B1243" s="577"/>
      <c r="C1243" s="575"/>
    </row>
    <row r="1244" spans="1:3">
      <c r="A1244" s="574" t="s">
        <v>944</v>
      </c>
      <c r="B1244" s="574"/>
      <c r="C1244" s="575">
        <v>868403</v>
      </c>
    </row>
    <row r="1245" spans="1:3">
      <c r="A1245" s="576"/>
      <c r="B1245" s="573"/>
      <c r="C1245" s="575"/>
    </row>
    <row r="1246" spans="1:3">
      <c r="A1246" s="574" t="s">
        <v>943</v>
      </c>
      <c r="B1246" s="578"/>
      <c r="C1246" s="578"/>
    </row>
    <row r="1247" spans="1:3" ht="31.5">
      <c r="A1247" s="576" t="s">
        <v>345</v>
      </c>
      <c r="B1247" s="577" t="s">
        <v>3</v>
      </c>
      <c r="C1247" s="575">
        <v>2096817</v>
      </c>
    </row>
    <row r="1248" spans="1:3" ht="31.5">
      <c r="A1248" s="576" t="s">
        <v>707</v>
      </c>
      <c r="B1248" s="577" t="s">
        <v>706</v>
      </c>
      <c r="C1248" s="575">
        <v>2096817</v>
      </c>
    </row>
    <row r="1249" spans="1:3">
      <c r="A1249" s="576" t="s">
        <v>351</v>
      </c>
      <c r="B1249" s="577" t="s">
        <v>668</v>
      </c>
      <c r="C1249" s="575">
        <v>253154</v>
      </c>
    </row>
    <row r="1250" spans="1:3">
      <c r="A1250" s="576" t="s">
        <v>670</v>
      </c>
      <c r="B1250" s="577" t="s">
        <v>669</v>
      </c>
      <c r="C1250" s="575">
        <v>184700</v>
      </c>
    </row>
    <row r="1251" spans="1:3" ht="31.5">
      <c r="A1251" s="576" t="s">
        <v>1063</v>
      </c>
      <c r="B1251" s="577" t="s">
        <v>1062</v>
      </c>
      <c r="C1251" s="575">
        <v>46804</v>
      </c>
    </row>
    <row r="1252" spans="1:3">
      <c r="A1252" s="576" t="s">
        <v>709</v>
      </c>
      <c r="B1252" s="577" t="s">
        <v>708</v>
      </c>
      <c r="C1252" s="575">
        <v>21650</v>
      </c>
    </row>
    <row r="1253" spans="1:3">
      <c r="A1253" s="576" t="s">
        <v>361</v>
      </c>
      <c r="B1253" s="577" t="s">
        <v>712</v>
      </c>
      <c r="C1253" s="575">
        <v>405557</v>
      </c>
    </row>
    <row r="1254" spans="1:3" ht="31.5">
      <c r="A1254" s="576" t="s">
        <v>714</v>
      </c>
      <c r="B1254" s="577" t="s">
        <v>713</v>
      </c>
      <c r="C1254" s="575">
        <v>249458</v>
      </c>
    </row>
    <row r="1255" spans="1:3">
      <c r="A1255" s="576" t="s">
        <v>716</v>
      </c>
      <c r="B1255" s="577" t="s">
        <v>715</v>
      </c>
      <c r="C1255" s="575">
        <v>102030</v>
      </c>
    </row>
    <row r="1256" spans="1:3">
      <c r="A1256" s="576" t="s">
        <v>718</v>
      </c>
      <c r="B1256" s="577" t="s">
        <v>717</v>
      </c>
      <c r="C1256" s="575">
        <v>54069</v>
      </c>
    </row>
    <row r="1257" spans="1:3">
      <c r="A1257" s="576" t="s">
        <v>371</v>
      </c>
      <c r="B1257" s="577" t="s">
        <v>671</v>
      </c>
      <c r="C1257" s="575">
        <v>7419371</v>
      </c>
    </row>
    <row r="1258" spans="1:3">
      <c r="A1258" s="576" t="s">
        <v>734</v>
      </c>
      <c r="B1258" s="577" t="s">
        <v>733</v>
      </c>
      <c r="C1258" s="575">
        <v>550</v>
      </c>
    </row>
    <row r="1259" spans="1:3">
      <c r="A1259" s="576" t="s">
        <v>724</v>
      </c>
      <c r="B1259" s="577" t="s">
        <v>723</v>
      </c>
      <c r="C1259" s="575">
        <v>35810</v>
      </c>
    </row>
    <row r="1260" spans="1:3">
      <c r="A1260" s="576" t="s">
        <v>638</v>
      </c>
      <c r="B1260" s="577" t="s">
        <v>672</v>
      </c>
      <c r="C1260" s="575">
        <v>323540</v>
      </c>
    </row>
    <row r="1261" spans="1:3">
      <c r="A1261" s="576" t="s">
        <v>639</v>
      </c>
      <c r="B1261" s="577" t="s">
        <v>725</v>
      </c>
      <c r="C1261" s="575">
        <v>268051</v>
      </c>
    </row>
    <row r="1262" spans="1:3">
      <c r="A1262" s="576" t="s">
        <v>685</v>
      </c>
      <c r="B1262" s="577" t="s">
        <v>684</v>
      </c>
      <c r="C1262" s="575">
        <v>6646100</v>
      </c>
    </row>
    <row r="1263" spans="1:3">
      <c r="A1263" s="576" t="s">
        <v>687</v>
      </c>
      <c r="B1263" s="577" t="s">
        <v>686</v>
      </c>
      <c r="C1263" s="575">
        <v>122400</v>
      </c>
    </row>
    <row r="1264" spans="1:3">
      <c r="A1264" s="576" t="s">
        <v>674</v>
      </c>
      <c r="B1264" s="577" t="s">
        <v>673</v>
      </c>
      <c r="C1264" s="575">
        <v>1500</v>
      </c>
    </row>
    <row r="1265" spans="1:3">
      <c r="A1265" s="576" t="s">
        <v>694</v>
      </c>
      <c r="B1265" s="577" t="s">
        <v>693</v>
      </c>
      <c r="C1265" s="575">
        <v>21420</v>
      </c>
    </row>
    <row r="1266" spans="1:3">
      <c r="A1266" s="576" t="s">
        <v>248</v>
      </c>
      <c r="B1266" s="577" t="s">
        <v>735</v>
      </c>
      <c r="C1266" s="575">
        <v>8775</v>
      </c>
    </row>
    <row r="1267" spans="1:3" ht="31.5">
      <c r="A1267" s="576" t="s">
        <v>242</v>
      </c>
      <c r="B1267" s="577" t="s">
        <v>736</v>
      </c>
      <c r="C1267" s="575">
        <v>4200</v>
      </c>
    </row>
    <row r="1268" spans="1:3" ht="31.5">
      <c r="A1268" s="576" t="s">
        <v>243</v>
      </c>
      <c r="B1268" s="577" t="s">
        <v>750</v>
      </c>
      <c r="C1268" s="575">
        <v>4575</v>
      </c>
    </row>
    <row r="1269" spans="1:3">
      <c r="A1269" s="574" t="s">
        <v>866</v>
      </c>
      <c r="B1269" s="578"/>
      <c r="C1269" s="575">
        <v>10183674</v>
      </c>
    </row>
    <row r="1270" spans="1:3">
      <c r="A1270" s="576"/>
      <c r="B1270" s="577"/>
      <c r="C1270" s="575"/>
    </row>
    <row r="1271" spans="1:3" ht="31.5">
      <c r="A1271" s="576" t="s">
        <v>646</v>
      </c>
      <c r="B1271" s="577" t="s">
        <v>246</v>
      </c>
      <c r="C1271" s="575">
        <v>90000</v>
      </c>
    </row>
    <row r="1272" spans="1:3">
      <c r="A1272" s="574" t="s">
        <v>930</v>
      </c>
      <c r="B1272" s="578"/>
      <c r="C1272" s="575">
        <v>90000</v>
      </c>
    </row>
    <row r="1273" spans="1:3">
      <c r="A1273" s="576"/>
      <c r="B1273" s="577"/>
      <c r="C1273" s="575"/>
    </row>
    <row r="1274" spans="1:3">
      <c r="A1274" s="576" t="s">
        <v>648</v>
      </c>
      <c r="B1274" s="577" t="s">
        <v>689</v>
      </c>
      <c r="C1274" s="575">
        <v>426326</v>
      </c>
    </row>
    <row r="1275" spans="1:3">
      <c r="A1275" s="576" t="s">
        <v>251</v>
      </c>
      <c r="B1275" s="577" t="s">
        <v>942</v>
      </c>
      <c r="C1275" s="575">
        <v>408000</v>
      </c>
    </row>
    <row r="1276" spans="1:3">
      <c r="A1276" s="576" t="s">
        <v>239</v>
      </c>
      <c r="B1276" s="577" t="s">
        <v>690</v>
      </c>
      <c r="C1276" s="575">
        <v>18326</v>
      </c>
    </row>
    <row r="1277" spans="1:3">
      <c r="A1277" s="574" t="s">
        <v>862</v>
      </c>
      <c r="B1277" s="578"/>
      <c r="C1277" s="575">
        <v>426326</v>
      </c>
    </row>
    <row r="1278" spans="1:3">
      <c r="A1278" s="576"/>
      <c r="B1278" s="577"/>
      <c r="C1278" s="575"/>
    </row>
    <row r="1279" spans="1:3">
      <c r="A1279" s="574" t="s">
        <v>939</v>
      </c>
      <c r="B1279" s="574"/>
      <c r="C1279" s="575">
        <v>10700000</v>
      </c>
    </row>
    <row r="1280" spans="1:3">
      <c r="A1280" s="576"/>
      <c r="B1280" s="573"/>
      <c r="C1280" s="575"/>
    </row>
    <row r="1281" spans="1:3">
      <c r="A1281" s="574" t="s">
        <v>938</v>
      </c>
      <c r="B1281" s="578"/>
      <c r="C1281" s="578"/>
    </row>
    <row r="1282" spans="1:3">
      <c r="A1282" s="576" t="s">
        <v>371</v>
      </c>
      <c r="B1282" s="577" t="s">
        <v>671</v>
      </c>
      <c r="C1282" s="575">
        <v>216320</v>
      </c>
    </row>
    <row r="1283" spans="1:3">
      <c r="A1283" s="576" t="s">
        <v>638</v>
      </c>
      <c r="B1283" s="577" t="s">
        <v>672</v>
      </c>
      <c r="C1283" s="575">
        <v>2000</v>
      </c>
    </row>
    <row r="1284" spans="1:3">
      <c r="A1284" s="576" t="s">
        <v>639</v>
      </c>
      <c r="B1284" s="577" t="s">
        <v>725</v>
      </c>
      <c r="C1284" s="575">
        <v>5000</v>
      </c>
    </row>
    <row r="1285" spans="1:3">
      <c r="A1285" s="576" t="s">
        <v>685</v>
      </c>
      <c r="B1285" s="577" t="s">
        <v>684</v>
      </c>
      <c r="C1285" s="575">
        <v>199320</v>
      </c>
    </row>
    <row r="1286" spans="1:3">
      <c r="A1286" s="576" t="s">
        <v>687</v>
      </c>
      <c r="B1286" s="577" t="s">
        <v>686</v>
      </c>
      <c r="C1286" s="575">
        <v>10000</v>
      </c>
    </row>
    <row r="1287" spans="1:3">
      <c r="A1287" s="574" t="s">
        <v>866</v>
      </c>
      <c r="B1287" s="578"/>
      <c r="C1287" s="575">
        <v>216320</v>
      </c>
    </row>
    <row r="1288" spans="1:3">
      <c r="A1288" s="576"/>
      <c r="B1288" s="577"/>
      <c r="C1288" s="575"/>
    </row>
    <row r="1289" spans="1:3">
      <c r="A1289" s="574" t="s">
        <v>937</v>
      </c>
      <c r="B1289" s="574"/>
      <c r="C1289" s="575">
        <v>216320</v>
      </c>
    </row>
    <row r="1290" spans="1:3">
      <c r="A1290" s="576"/>
      <c r="B1290" s="573"/>
      <c r="C1290" s="575"/>
    </row>
    <row r="1291" spans="1:3">
      <c r="A1291" s="574" t="s">
        <v>936</v>
      </c>
      <c r="B1291" s="574"/>
      <c r="C1291" s="575">
        <v>11860355</v>
      </c>
    </row>
    <row r="1292" spans="1:3">
      <c r="A1292" s="576"/>
      <c r="B1292" s="573"/>
      <c r="C1292" s="575"/>
    </row>
    <row r="1293" spans="1:3" ht="31.5">
      <c r="A1293" s="574" t="s">
        <v>1079</v>
      </c>
      <c r="B1293" s="574"/>
      <c r="C1293" s="575">
        <v>33067176</v>
      </c>
    </row>
    <row r="1294" spans="1:3">
      <c r="A1294" s="576"/>
      <c r="B1294" s="573"/>
      <c r="C1294" s="575"/>
    </row>
    <row r="1295" spans="1:3" ht="31.5">
      <c r="A1295" s="574" t="s">
        <v>1231</v>
      </c>
      <c r="B1295" s="578"/>
      <c r="C1295" s="578"/>
    </row>
    <row r="1296" spans="1:3">
      <c r="A1296" s="574" t="s">
        <v>935</v>
      </c>
      <c r="B1296" s="578"/>
      <c r="C1296" s="578"/>
    </row>
    <row r="1297" spans="1:3">
      <c r="A1297" s="574" t="s">
        <v>934</v>
      </c>
      <c r="B1297" s="578"/>
      <c r="C1297" s="578"/>
    </row>
    <row r="1298" spans="1:3">
      <c r="A1298" s="576" t="s">
        <v>371</v>
      </c>
      <c r="B1298" s="577" t="s">
        <v>671</v>
      </c>
      <c r="C1298" s="575">
        <v>25500</v>
      </c>
    </row>
    <row r="1299" spans="1:3">
      <c r="A1299" s="576" t="s">
        <v>638</v>
      </c>
      <c r="B1299" s="577" t="s">
        <v>672</v>
      </c>
      <c r="C1299" s="575">
        <v>2500</v>
      </c>
    </row>
    <row r="1300" spans="1:3">
      <c r="A1300" s="576" t="s">
        <v>639</v>
      </c>
      <c r="B1300" s="577" t="s">
        <v>725</v>
      </c>
      <c r="C1300" s="575">
        <v>2000</v>
      </c>
    </row>
    <row r="1301" spans="1:3">
      <c r="A1301" s="576" t="s">
        <v>685</v>
      </c>
      <c r="B1301" s="577" t="s">
        <v>684</v>
      </c>
      <c r="C1301" s="575">
        <v>21000</v>
      </c>
    </row>
    <row r="1302" spans="1:3">
      <c r="A1302" s="576" t="s">
        <v>248</v>
      </c>
      <c r="B1302" s="577" t="s">
        <v>735</v>
      </c>
      <c r="C1302" s="575">
        <v>250</v>
      </c>
    </row>
    <row r="1303" spans="1:3" ht="31.5">
      <c r="A1303" s="576" t="s">
        <v>243</v>
      </c>
      <c r="B1303" s="577" t="s">
        <v>750</v>
      </c>
      <c r="C1303" s="575">
        <v>250</v>
      </c>
    </row>
    <row r="1304" spans="1:3">
      <c r="A1304" s="574" t="s">
        <v>866</v>
      </c>
      <c r="B1304" s="578"/>
      <c r="C1304" s="575">
        <v>25750</v>
      </c>
    </row>
    <row r="1305" spans="1:3">
      <c r="A1305" s="576"/>
      <c r="B1305" s="577"/>
      <c r="C1305" s="575"/>
    </row>
    <row r="1306" spans="1:3">
      <c r="A1306" s="574" t="s">
        <v>933</v>
      </c>
      <c r="B1306" s="574"/>
      <c r="C1306" s="575">
        <v>25750</v>
      </c>
    </row>
    <row r="1307" spans="1:3">
      <c r="A1307" s="576"/>
      <c r="B1307" s="573"/>
      <c r="C1307" s="575"/>
    </row>
    <row r="1308" spans="1:3">
      <c r="A1308" s="574" t="s">
        <v>932</v>
      </c>
      <c r="B1308" s="574"/>
      <c r="C1308" s="575">
        <v>25750</v>
      </c>
    </row>
    <row r="1309" spans="1:3">
      <c r="A1309" s="576"/>
      <c r="B1309" s="573"/>
      <c r="C1309" s="575"/>
    </row>
    <row r="1310" spans="1:3">
      <c r="A1310" s="574" t="s">
        <v>747</v>
      </c>
      <c r="B1310" s="578"/>
      <c r="C1310" s="578"/>
    </row>
    <row r="1311" spans="1:3">
      <c r="A1311" s="574" t="s">
        <v>931</v>
      </c>
      <c r="B1311" s="578"/>
      <c r="C1311" s="578"/>
    </row>
    <row r="1312" spans="1:3" ht="31.5">
      <c r="A1312" s="576" t="s">
        <v>345</v>
      </c>
      <c r="B1312" s="577" t="s">
        <v>3</v>
      </c>
      <c r="C1312" s="575">
        <v>345614</v>
      </c>
    </row>
    <row r="1313" spans="1:3" ht="31.5">
      <c r="A1313" s="576" t="s">
        <v>707</v>
      </c>
      <c r="B1313" s="577" t="s">
        <v>706</v>
      </c>
      <c r="C1313" s="575">
        <v>345614</v>
      </c>
    </row>
    <row r="1314" spans="1:3">
      <c r="A1314" s="576" t="s">
        <v>351</v>
      </c>
      <c r="B1314" s="577" t="s">
        <v>668</v>
      </c>
      <c r="C1314" s="575">
        <v>33159</v>
      </c>
    </row>
    <row r="1315" spans="1:3">
      <c r="A1315" s="576" t="s">
        <v>670</v>
      </c>
      <c r="B1315" s="577" t="s">
        <v>669</v>
      </c>
      <c r="C1315" s="575">
        <v>20450</v>
      </c>
    </row>
    <row r="1316" spans="1:3" ht="31.5">
      <c r="A1316" s="576" t="s">
        <v>1063</v>
      </c>
      <c r="B1316" s="577" t="s">
        <v>1062</v>
      </c>
      <c r="C1316" s="575">
        <v>6788</v>
      </c>
    </row>
    <row r="1317" spans="1:3">
      <c r="A1317" s="576" t="s">
        <v>709</v>
      </c>
      <c r="B1317" s="577" t="s">
        <v>708</v>
      </c>
      <c r="C1317" s="575">
        <v>5921</v>
      </c>
    </row>
    <row r="1318" spans="1:3">
      <c r="A1318" s="576" t="s">
        <v>361</v>
      </c>
      <c r="B1318" s="577" t="s">
        <v>712</v>
      </c>
      <c r="C1318" s="575">
        <v>67239</v>
      </c>
    </row>
    <row r="1319" spans="1:3" ht="31.5">
      <c r="A1319" s="576" t="s">
        <v>714</v>
      </c>
      <c r="B1319" s="577" t="s">
        <v>713</v>
      </c>
      <c r="C1319" s="575">
        <v>43886</v>
      </c>
    </row>
    <row r="1320" spans="1:3">
      <c r="A1320" s="576" t="s">
        <v>716</v>
      </c>
      <c r="B1320" s="577" t="s">
        <v>715</v>
      </c>
      <c r="C1320" s="575">
        <v>16786</v>
      </c>
    </row>
    <row r="1321" spans="1:3">
      <c r="A1321" s="576" t="s">
        <v>718</v>
      </c>
      <c r="B1321" s="577" t="s">
        <v>717</v>
      </c>
      <c r="C1321" s="575">
        <v>6567</v>
      </c>
    </row>
    <row r="1322" spans="1:3">
      <c r="A1322" s="576" t="s">
        <v>371</v>
      </c>
      <c r="B1322" s="577" t="s">
        <v>671</v>
      </c>
      <c r="C1322" s="575">
        <v>920477</v>
      </c>
    </row>
    <row r="1323" spans="1:3">
      <c r="A1323" s="576" t="s">
        <v>734</v>
      </c>
      <c r="B1323" s="577" t="s">
        <v>733</v>
      </c>
      <c r="C1323" s="575">
        <v>200</v>
      </c>
    </row>
    <row r="1324" spans="1:3">
      <c r="A1324" s="576" t="s">
        <v>724</v>
      </c>
      <c r="B1324" s="577" t="s">
        <v>723</v>
      </c>
      <c r="C1324" s="575">
        <v>5610</v>
      </c>
    </row>
    <row r="1325" spans="1:3">
      <c r="A1325" s="576" t="s">
        <v>638</v>
      </c>
      <c r="B1325" s="577" t="s">
        <v>672</v>
      </c>
      <c r="C1325" s="575">
        <v>62620</v>
      </c>
    </row>
    <row r="1326" spans="1:3">
      <c r="A1326" s="576" t="s">
        <v>639</v>
      </c>
      <c r="B1326" s="577" t="s">
        <v>725</v>
      </c>
      <c r="C1326" s="575">
        <v>349275</v>
      </c>
    </row>
    <row r="1327" spans="1:3">
      <c r="A1327" s="576" t="s">
        <v>685</v>
      </c>
      <c r="B1327" s="577" t="s">
        <v>684</v>
      </c>
      <c r="C1327" s="575">
        <v>128258</v>
      </c>
    </row>
    <row r="1328" spans="1:3">
      <c r="A1328" s="576" t="s">
        <v>687</v>
      </c>
      <c r="B1328" s="577" t="s">
        <v>686</v>
      </c>
      <c r="C1328" s="575">
        <v>13514</v>
      </c>
    </row>
    <row r="1329" spans="1:3">
      <c r="A1329" s="576" t="s">
        <v>694</v>
      </c>
      <c r="B1329" s="577" t="s">
        <v>693</v>
      </c>
      <c r="C1329" s="575">
        <v>15000</v>
      </c>
    </row>
    <row r="1330" spans="1:3" ht="31.5">
      <c r="A1330" s="576" t="s">
        <v>641</v>
      </c>
      <c r="B1330" s="577" t="s">
        <v>1162</v>
      </c>
      <c r="C1330" s="575">
        <v>1000</v>
      </c>
    </row>
    <row r="1331" spans="1:3" ht="31.5">
      <c r="A1331" s="576" t="s">
        <v>642</v>
      </c>
      <c r="B1331" s="577" t="s">
        <v>677</v>
      </c>
      <c r="C1331" s="575">
        <v>345000</v>
      </c>
    </row>
    <row r="1332" spans="1:3">
      <c r="A1332" s="576" t="s">
        <v>248</v>
      </c>
      <c r="B1332" s="577" t="s">
        <v>735</v>
      </c>
      <c r="C1332" s="575">
        <v>5200</v>
      </c>
    </row>
    <row r="1333" spans="1:3" ht="31.5">
      <c r="A1333" s="576" t="s">
        <v>243</v>
      </c>
      <c r="B1333" s="577" t="s">
        <v>750</v>
      </c>
      <c r="C1333" s="575">
        <v>5200</v>
      </c>
    </row>
    <row r="1334" spans="1:3">
      <c r="A1334" s="574" t="s">
        <v>866</v>
      </c>
      <c r="B1334" s="578"/>
      <c r="C1334" s="575">
        <v>1371689</v>
      </c>
    </row>
    <row r="1335" spans="1:3">
      <c r="A1335" s="576"/>
      <c r="B1335" s="577"/>
      <c r="C1335" s="575"/>
    </row>
    <row r="1336" spans="1:3" ht="31.5">
      <c r="A1336" s="576" t="s">
        <v>402</v>
      </c>
      <c r="B1336" s="577" t="s">
        <v>857</v>
      </c>
      <c r="C1336" s="575">
        <v>202000</v>
      </c>
    </row>
    <row r="1337" spans="1:3">
      <c r="A1337" s="574" t="s">
        <v>930</v>
      </c>
      <c r="B1337" s="578"/>
      <c r="C1337" s="575">
        <v>202000</v>
      </c>
    </row>
    <row r="1338" spans="1:3">
      <c r="A1338" s="576"/>
      <c r="B1338" s="577"/>
      <c r="C1338" s="575"/>
    </row>
    <row r="1339" spans="1:3">
      <c r="A1339" s="576" t="s">
        <v>647</v>
      </c>
      <c r="B1339" s="577" t="s">
        <v>688</v>
      </c>
      <c r="C1339" s="575">
        <v>181000</v>
      </c>
    </row>
    <row r="1340" spans="1:3">
      <c r="A1340" s="576" t="s">
        <v>648</v>
      </c>
      <c r="B1340" s="577" t="s">
        <v>689</v>
      </c>
      <c r="C1340" s="575">
        <v>180000</v>
      </c>
    </row>
    <row r="1341" spans="1:3">
      <c r="A1341" s="576" t="s">
        <v>245</v>
      </c>
      <c r="B1341" s="577" t="s">
        <v>719</v>
      </c>
      <c r="C1341" s="575">
        <v>3000</v>
      </c>
    </row>
    <row r="1342" spans="1:3">
      <c r="A1342" s="576" t="s">
        <v>239</v>
      </c>
      <c r="B1342" s="577" t="s">
        <v>690</v>
      </c>
      <c r="C1342" s="575">
        <v>177000</v>
      </c>
    </row>
    <row r="1343" spans="1:3">
      <c r="A1343" s="574" t="s">
        <v>862</v>
      </c>
      <c r="B1343" s="578"/>
      <c r="C1343" s="575">
        <v>361000</v>
      </c>
    </row>
    <row r="1344" spans="1:3">
      <c r="A1344" s="576"/>
      <c r="B1344" s="577"/>
      <c r="C1344" s="575"/>
    </row>
    <row r="1345" spans="1:3">
      <c r="A1345" s="574" t="s">
        <v>929</v>
      </c>
      <c r="B1345" s="574"/>
      <c r="C1345" s="575">
        <v>1934689</v>
      </c>
    </row>
    <row r="1346" spans="1:3">
      <c r="A1346" s="576"/>
      <c r="B1346" s="573"/>
      <c r="C1346" s="575"/>
    </row>
    <row r="1347" spans="1:3">
      <c r="A1347" s="574" t="s">
        <v>928</v>
      </c>
      <c r="B1347" s="574"/>
      <c r="C1347" s="575">
        <v>1934689</v>
      </c>
    </row>
    <row r="1348" spans="1:3">
      <c r="A1348" s="576"/>
      <c r="B1348" s="573"/>
      <c r="C1348" s="575"/>
    </row>
    <row r="1349" spans="1:3">
      <c r="A1349" s="574" t="s">
        <v>749</v>
      </c>
      <c r="B1349" s="578"/>
      <c r="C1349" s="578"/>
    </row>
    <row r="1350" spans="1:3">
      <c r="A1350" s="574" t="s">
        <v>927</v>
      </c>
      <c r="B1350" s="578"/>
      <c r="C1350" s="578"/>
    </row>
    <row r="1351" spans="1:3">
      <c r="A1351" s="576" t="s">
        <v>371</v>
      </c>
      <c r="B1351" s="577" t="s">
        <v>671</v>
      </c>
      <c r="C1351" s="575">
        <v>71544</v>
      </c>
    </row>
    <row r="1352" spans="1:3">
      <c r="A1352" s="576" t="s">
        <v>638</v>
      </c>
      <c r="B1352" s="577" t="s">
        <v>672</v>
      </c>
      <c r="C1352" s="575">
        <v>500</v>
      </c>
    </row>
    <row r="1353" spans="1:3">
      <c r="A1353" s="576" t="s">
        <v>639</v>
      </c>
      <c r="B1353" s="577" t="s">
        <v>725</v>
      </c>
      <c r="C1353" s="575">
        <v>29456</v>
      </c>
    </row>
    <row r="1354" spans="1:3">
      <c r="A1354" s="576" t="s">
        <v>685</v>
      </c>
      <c r="B1354" s="577" t="s">
        <v>684</v>
      </c>
      <c r="C1354" s="575">
        <v>41588</v>
      </c>
    </row>
    <row r="1355" spans="1:3">
      <c r="A1355" s="574" t="s">
        <v>866</v>
      </c>
      <c r="B1355" s="578"/>
      <c r="C1355" s="575">
        <v>71544</v>
      </c>
    </row>
    <row r="1356" spans="1:3">
      <c r="A1356" s="576"/>
      <c r="B1356" s="577"/>
      <c r="C1356" s="575"/>
    </row>
    <row r="1357" spans="1:3">
      <c r="A1357" s="574" t="s">
        <v>926</v>
      </c>
      <c r="B1357" s="574"/>
      <c r="C1357" s="575">
        <v>71544</v>
      </c>
    </row>
    <row r="1358" spans="1:3">
      <c r="A1358" s="576"/>
      <c r="B1358" s="573"/>
      <c r="C1358" s="575"/>
    </row>
    <row r="1359" spans="1:3">
      <c r="A1359" s="574" t="s">
        <v>925</v>
      </c>
      <c r="B1359" s="578"/>
      <c r="C1359" s="578"/>
    </row>
    <row r="1360" spans="1:3" ht="31.5">
      <c r="A1360" s="576" t="s">
        <v>345</v>
      </c>
      <c r="B1360" s="577" t="s">
        <v>3</v>
      </c>
      <c r="C1360" s="575">
        <v>290130</v>
      </c>
    </row>
    <row r="1361" spans="1:3" ht="31.5">
      <c r="A1361" s="576" t="s">
        <v>707</v>
      </c>
      <c r="B1361" s="577" t="s">
        <v>706</v>
      </c>
      <c r="C1361" s="575">
        <v>290130</v>
      </c>
    </row>
    <row r="1362" spans="1:3">
      <c r="A1362" s="576" t="s">
        <v>351</v>
      </c>
      <c r="B1362" s="577" t="s">
        <v>668</v>
      </c>
      <c r="C1362" s="575">
        <v>7211</v>
      </c>
    </row>
    <row r="1363" spans="1:3" ht="31.5">
      <c r="A1363" s="576" t="s">
        <v>1063</v>
      </c>
      <c r="B1363" s="577" t="s">
        <v>1062</v>
      </c>
      <c r="C1363" s="575">
        <v>7211</v>
      </c>
    </row>
    <row r="1364" spans="1:3">
      <c r="A1364" s="576" t="s">
        <v>361</v>
      </c>
      <c r="B1364" s="577" t="s">
        <v>712</v>
      </c>
      <c r="C1364" s="575">
        <v>87093</v>
      </c>
    </row>
    <row r="1365" spans="1:3" ht="31.5">
      <c r="A1365" s="576" t="s">
        <v>714</v>
      </c>
      <c r="B1365" s="577" t="s">
        <v>713</v>
      </c>
      <c r="C1365" s="575">
        <v>56749</v>
      </c>
    </row>
    <row r="1366" spans="1:3">
      <c r="A1366" s="576" t="s">
        <v>716</v>
      </c>
      <c r="B1366" s="577" t="s">
        <v>715</v>
      </c>
      <c r="C1366" s="575">
        <v>14344</v>
      </c>
    </row>
    <row r="1367" spans="1:3" ht="21.75" customHeight="1">
      <c r="A1367" s="576" t="s">
        <v>718</v>
      </c>
      <c r="B1367" s="577" t="s">
        <v>717</v>
      </c>
      <c r="C1367" s="575">
        <v>16000</v>
      </c>
    </row>
    <row r="1368" spans="1:3" ht="24.75" customHeight="1">
      <c r="A1368" s="576" t="s">
        <v>371</v>
      </c>
      <c r="B1368" s="577" t="s">
        <v>671</v>
      </c>
      <c r="C1368" s="575">
        <v>1071</v>
      </c>
    </row>
    <row r="1369" spans="1:3" ht="19.5" customHeight="1">
      <c r="A1369" s="576" t="s">
        <v>638</v>
      </c>
      <c r="B1369" s="577" t="s">
        <v>672</v>
      </c>
      <c r="C1369" s="575">
        <v>621</v>
      </c>
    </row>
    <row r="1370" spans="1:3" ht="20.25" customHeight="1">
      <c r="A1370" s="576" t="s">
        <v>694</v>
      </c>
      <c r="B1370" s="577" t="s">
        <v>693</v>
      </c>
      <c r="C1370" s="575">
        <v>450</v>
      </c>
    </row>
    <row r="1371" spans="1:3">
      <c r="A1371" s="574" t="s">
        <v>866</v>
      </c>
      <c r="B1371" s="578"/>
      <c r="C1371" s="575">
        <v>385505</v>
      </c>
    </row>
    <row r="1372" spans="1:3">
      <c r="A1372" s="576"/>
      <c r="B1372" s="577"/>
      <c r="C1372" s="575"/>
    </row>
    <row r="1373" spans="1:3">
      <c r="A1373" s="574" t="s">
        <v>924</v>
      </c>
      <c r="B1373" s="574"/>
      <c r="C1373" s="575">
        <v>385505</v>
      </c>
    </row>
    <row r="1374" spans="1:3">
      <c r="A1374" s="576"/>
      <c r="B1374" s="573"/>
      <c r="C1374" s="575"/>
    </row>
    <row r="1375" spans="1:3">
      <c r="A1375" s="574" t="s">
        <v>923</v>
      </c>
      <c r="B1375" s="578"/>
      <c r="C1375" s="578"/>
    </row>
    <row r="1376" spans="1:3" ht="31.5">
      <c r="A1376" s="576" t="s">
        <v>345</v>
      </c>
      <c r="B1376" s="577" t="s">
        <v>3</v>
      </c>
      <c r="C1376" s="575">
        <v>205008</v>
      </c>
    </row>
    <row r="1377" spans="1:3" ht="31.5">
      <c r="A1377" s="576" t="s">
        <v>707</v>
      </c>
      <c r="B1377" s="577" t="s">
        <v>706</v>
      </c>
      <c r="C1377" s="575">
        <v>205008</v>
      </c>
    </row>
    <row r="1378" spans="1:3">
      <c r="A1378" s="576" t="s">
        <v>351</v>
      </c>
      <c r="B1378" s="577" t="s">
        <v>668</v>
      </c>
      <c r="C1378" s="575">
        <v>19768</v>
      </c>
    </row>
    <row r="1379" spans="1:3">
      <c r="A1379" s="576" t="s">
        <v>670</v>
      </c>
      <c r="B1379" s="577" t="s">
        <v>669</v>
      </c>
      <c r="C1379" s="575">
        <v>5000</v>
      </c>
    </row>
    <row r="1380" spans="1:3" ht="31.5">
      <c r="A1380" s="576" t="s">
        <v>1063</v>
      </c>
      <c r="B1380" s="577" t="s">
        <v>1062</v>
      </c>
      <c r="C1380" s="575">
        <v>5040</v>
      </c>
    </row>
    <row r="1381" spans="1:3">
      <c r="A1381" s="576" t="s">
        <v>709</v>
      </c>
      <c r="B1381" s="577" t="s">
        <v>708</v>
      </c>
      <c r="C1381" s="575">
        <v>9728</v>
      </c>
    </row>
    <row r="1382" spans="1:3">
      <c r="A1382" s="576" t="s">
        <v>361</v>
      </c>
      <c r="B1382" s="577" t="s">
        <v>712</v>
      </c>
      <c r="C1382" s="575">
        <v>45360</v>
      </c>
    </row>
    <row r="1383" spans="1:3" ht="31.5">
      <c r="A1383" s="576" t="s">
        <v>714</v>
      </c>
      <c r="B1383" s="577" t="s">
        <v>713</v>
      </c>
      <c r="C1383" s="575">
        <v>29172</v>
      </c>
    </row>
    <row r="1384" spans="1:3">
      <c r="A1384" s="576" t="s">
        <v>716</v>
      </c>
      <c r="B1384" s="577" t="s">
        <v>715</v>
      </c>
      <c r="C1384" s="575">
        <v>10224</v>
      </c>
    </row>
    <row r="1385" spans="1:3">
      <c r="A1385" s="576" t="s">
        <v>718</v>
      </c>
      <c r="B1385" s="577" t="s">
        <v>717</v>
      </c>
      <c r="C1385" s="575">
        <v>5964</v>
      </c>
    </row>
    <row r="1386" spans="1:3">
      <c r="A1386" s="576" t="s">
        <v>371</v>
      </c>
      <c r="B1386" s="577" t="s">
        <v>671</v>
      </c>
      <c r="C1386" s="575">
        <v>138647</v>
      </c>
    </row>
    <row r="1387" spans="1:3">
      <c r="A1387" s="576" t="s">
        <v>724</v>
      </c>
      <c r="B1387" s="577" t="s">
        <v>723</v>
      </c>
      <c r="C1387" s="575">
        <v>2960</v>
      </c>
    </row>
    <row r="1388" spans="1:3">
      <c r="A1388" s="576" t="s">
        <v>638</v>
      </c>
      <c r="B1388" s="577" t="s">
        <v>672</v>
      </c>
      <c r="C1388" s="575">
        <v>6629</v>
      </c>
    </row>
    <row r="1389" spans="1:3">
      <c r="A1389" s="576" t="s">
        <v>639</v>
      </c>
      <c r="B1389" s="577" t="s">
        <v>725</v>
      </c>
      <c r="C1389" s="575">
        <v>24228</v>
      </c>
    </row>
    <row r="1390" spans="1:3">
      <c r="A1390" s="576" t="s">
        <v>685</v>
      </c>
      <c r="B1390" s="577" t="s">
        <v>684</v>
      </c>
      <c r="C1390" s="575">
        <v>102830</v>
      </c>
    </row>
    <row r="1391" spans="1:3">
      <c r="A1391" s="576" t="s">
        <v>674</v>
      </c>
      <c r="B1391" s="577" t="s">
        <v>673</v>
      </c>
      <c r="C1391" s="575">
        <v>1000</v>
      </c>
    </row>
    <row r="1392" spans="1:3">
      <c r="A1392" s="576" t="s">
        <v>694</v>
      </c>
      <c r="B1392" s="577" t="s">
        <v>693</v>
      </c>
      <c r="C1392" s="575">
        <v>1000</v>
      </c>
    </row>
    <row r="1393" spans="1:3">
      <c r="A1393" s="576" t="s">
        <v>248</v>
      </c>
      <c r="B1393" s="577" t="s">
        <v>735</v>
      </c>
      <c r="C1393" s="575">
        <v>3526</v>
      </c>
    </row>
    <row r="1394" spans="1:3" ht="31.5">
      <c r="A1394" s="576" t="s">
        <v>242</v>
      </c>
      <c r="B1394" s="577" t="s">
        <v>736</v>
      </c>
      <c r="C1394" s="575">
        <v>2385</v>
      </c>
    </row>
    <row r="1395" spans="1:3" ht="31.5">
      <c r="A1395" s="576" t="s">
        <v>243</v>
      </c>
      <c r="B1395" s="577" t="s">
        <v>750</v>
      </c>
      <c r="C1395" s="575">
        <v>1141</v>
      </c>
    </row>
    <row r="1396" spans="1:3">
      <c r="A1396" s="574" t="s">
        <v>866</v>
      </c>
      <c r="B1396" s="578"/>
      <c r="C1396" s="575">
        <v>412309</v>
      </c>
    </row>
    <row r="1397" spans="1:3">
      <c r="A1397" s="576"/>
      <c r="B1397" s="577"/>
      <c r="C1397" s="575"/>
    </row>
    <row r="1398" spans="1:3" ht="20.25" customHeight="1">
      <c r="A1398" s="574" t="s">
        <v>922</v>
      </c>
      <c r="B1398" s="574"/>
      <c r="C1398" s="575">
        <v>412309</v>
      </c>
    </row>
    <row r="1399" spans="1:3">
      <c r="A1399" s="576"/>
      <c r="B1399" s="573"/>
      <c r="C1399" s="575"/>
    </row>
    <row r="1400" spans="1:3" ht="26.25" customHeight="1">
      <c r="A1400" s="574" t="s">
        <v>921</v>
      </c>
      <c r="B1400" s="578"/>
      <c r="C1400" s="578"/>
    </row>
    <row r="1401" spans="1:3" ht="19.5" customHeight="1">
      <c r="A1401" s="576" t="s">
        <v>249</v>
      </c>
      <c r="B1401" s="577" t="s">
        <v>728</v>
      </c>
      <c r="C1401" s="575">
        <v>24000</v>
      </c>
    </row>
    <row r="1402" spans="1:3" ht="21" customHeight="1">
      <c r="A1402" s="576" t="s">
        <v>920</v>
      </c>
      <c r="B1402" s="577" t="s">
        <v>919</v>
      </c>
      <c r="C1402" s="575">
        <v>24000</v>
      </c>
    </row>
    <row r="1403" spans="1:3">
      <c r="A1403" s="574" t="s">
        <v>866</v>
      </c>
      <c r="B1403" s="578"/>
      <c r="C1403" s="575">
        <v>24000</v>
      </c>
    </row>
    <row r="1404" spans="1:3">
      <c r="A1404" s="574" t="s">
        <v>918</v>
      </c>
      <c r="B1404" s="574"/>
      <c r="C1404" s="575">
        <v>24000</v>
      </c>
    </row>
    <row r="1405" spans="1:3">
      <c r="A1405" s="576"/>
      <c r="B1405" s="573"/>
      <c r="C1405" s="575"/>
    </row>
    <row r="1406" spans="1:3">
      <c r="A1406" s="574" t="s">
        <v>752</v>
      </c>
      <c r="B1406" s="578"/>
      <c r="C1406" s="578"/>
    </row>
    <row r="1407" spans="1:3" ht="31.5">
      <c r="A1407" s="576" t="s">
        <v>345</v>
      </c>
      <c r="B1407" s="577" t="s">
        <v>3</v>
      </c>
      <c r="C1407" s="575">
        <v>442830</v>
      </c>
    </row>
    <row r="1408" spans="1:3" ht="31.5">
      <c r="A1408" s="576" t="s">
        <v>707</v>
      </c>
      <c r="B1408" s="577" t="s">
        <v>706</v>
      </c>
      <c r="C1408" s="575">
        <v>442830</v>
      </c>
    </row>
    <row r="1409" spans="1:3">
      <c r="A1409" s="576" t="s">
        <v>351</v>
      </c>
      <c r="B1409" s="577" t="s">
        <v>668</v>
      </c>
      <c r="C1409" s="575">
        <v>96244</v>
      </c>
    </row>
    <row r="1410" spans="1:3">
      <c r="A1410" s="576" t="s">
        <v>670</v>
      </c>
      <c r="B1410" s="577" t="s">
        <v>669</v>
      </c>
      <c r="C1410" s="575">
        <v>56500</v>
      </c>
    </row>
    <row r="1411" spans="1:3" ht="31.5">
      <c r="A1411" s="576" t="s">
        <v>1063</v>
      </c>
      <c r="B1411" s="577" t="s">
        <v>1062</v>
      </c>
      <c r="C1411" s="575">
        <v>16244</v>
      </c>
    </row>
    <row r="1412" spans="1:3">
      <c r="A1412" s="576" t="s">
        <v>709</v>
      </c>
      <c r="B1412" s="577" t="s">
        <v>708</v>
      </c>
      <c r="C1412" s="575">
        <v>23500</v>
      </c>
    </row>
    <row r="1413" spans="1:3">
      <c r="A1413" s="576" t="s">
        <v>361</v>
      </c>
      <c r="B1413" s="577" t="s">
        <v>712</v>
      </c>
      <c r="C1413" s="575">
        <v>108522</v>
      </c>
    </row>
    <row r="1414" spans="1:3" ht="31.5">
      <c r="A1414" s="576" t="s">
        <v>714</v>
      </c>
      <c r="B1414" s="577" t="s">
        <v>713</v>
      </c>
      <c r="C1414" s="575">
        <v>74672</v>
      </c>
    </row>
    <row r="1415" spans="1:3">
      <c r="A1415" s="576" t="s">
        <v>716</v>
      </c>
      <c r="B1415" s="577" t="s">
        <v>715</v>
      </c>
      <c r="C1415" s="575">
        <v>23050</v>
      </c>
    </row>
    <row r="1416" spans="1:3">
      <c r="A1416" s="576" t="s">
        <v>718</v>
      </c>
      <c r="B1416" s="577" t="s">
        <v>717</v>
      </c>
      <c r="C1416" s="575">
        <v>10800</v>
      </c>
    </row>
    <row r="1417" spans="1:3">
      <c r="A1417" s="576" t="s">
        <v>371</v>
      </c>
      <c r="B1417" s="577" t="s">
        <v>671</v>
      </c>
      <c r="C1417" s="575">
        <v>1177348</v>
      </c>
    </row>
    <row r="1418" spans="1:3">
      <c r="A1418" s="576" t="s">
        <v>724</v>
      </c>
      <c r="B1418" s="577" t="s">
        <v>723</v>
      </c>
      <c r="C1418" s="575">
        <v>2250</v>
      </c>
    </row>
    <row r="1419" spans="1:3">
      <c r="A1419" s="576" t="s">
        <v>638</v>
      </c>
      <c r="B1419" s="577" t="s">
        <v>672</v>
      </c>
      <c r="C1419" s="575">
        <v>89922</v>
      </c>
    </row>
    <row r="1420" spans="1:3">
      <c r="A1420" s="576" t="s">
        <v>639</v>
      </c>
      <c r="B1420" s="577" t="s">
        <v>725</v>
      </c>
      <c r="C1420" s="575">
        <v>266727</v>
      </c>
    </row>
    <row r="1421" spans="1:3">
      <c r="A1421" s="576" t="s">
        <v>685</v>
      </c>
      <c r="B1421" s="577" t="s">
        <v>684</v>
      </c>
      <c r="C1421" s="575">
        <v>786379</v>
      </c>
    </row>
    <row r="1422" spans="1:3">
      <c r="A1422" s="576" t="s">
        <v>687</v>
      </c>
      <c r="B1422" s="577" t="s">
        <v>686</v>
      </c>
      <c r="C1422" s="575">
        <v>12770</v>
      </c>
    </row>
    <row r="1423" spans="1:3">
      <c r="A1423" s="576" t="s">
        <v>674</v>
      </c>
      <c r="B1423" s="577" t="s">
        <v>673</v>
      </c>
      <c r="C1423" s="575">
        <v>2000</v>
      </c>
    </row>
    <row r="1424" spans="1:3">
      <c r="A1424" s="576" t="s">
        <v>694</v>
      </c>
      <c r="B1424" s="577" t="s">
        <v>693</v>
      </c>
      <c r="C1424" s="575">
        <v>17300</v>
      </c>
    </row>
    <row r="1425" spans="1:3">
      <c r="A1425" s="576" t="s">
        <v>248</v>
      </c>
      <c r="B1425" s="577" t="s">
        <v>735</v>
      </c>
      <c r="C1425" s="575">
        <v>97</v>
      </c>
    </row>
    <row r="1426" spans="1:3" ht="31.5">
      <c r="A1426" s="576" t="s">
        <v>242</v>
      </c>
      <c r="B1426" s="577" t="s">
        <v>736</v>
      </c>
      <c r="C1426" s="575">
        <v>97</v>
      </c>
    </row>
    <row r="1427" spans="1:3">
      <c r="A1427" s="574" t="s">
        <v>866</v>
      </c>
      <c r="B1427" s="578"/>
      <c r="C1427" s="575">
        <v>1825041</v>
      </c>
    </row>
    <row r="1428" spans="1:3">
      <c r="A1428" s="576"/>
      <c r="B1428" s="577"/>
      <c r="C1428" s="575"/>
    </row>
    <row r="1429" spans="1:3">
      <c r="A1429" s="576" t="s">
        <v>647</v>
      </c>
      <c r="B1429" s="577" t="s">
        <v>688</v>
      </c>
      <c r="C1429" s="575">
        <v>33000</v>
      </c>
    </row>
    <row r="1430" spans="1:3">
      <c r="A1430" s="576" t="s">
        <v>648</v>
      </c>
      <c r="B1430" s="577" t="s">
        <v>689</v>
      </c>
      <c r="C1430" s="575">
        <v>80163</v>
      </c>
    </row>
    <row r="1431" spans="1:3">
      <c r="A1431" s="576" t="s">
        <v>245</v>
      </c>
      <c r="B1431" s="577" t="s">
        <v>719</v>
      </c>
      <c r="C1431" s="575">
        <v>36600</v>
      </c>
    </row>
    <row r="1432" spans="1:3">
      <c r="A1432" s="576" t="s">
        <v>239</v>
      </c>
      <c r="B1432" s="577" t="s">
        <v>690</v>
      </c>
      <c r="C1432" s="575">
        <v>13563</v>
      </c>
    </row>
    <row r="1433" spans="1:3">
      <c r="A1433" s="576" t="s">
        <v>1077</v>
      </c>
      <c r="B1433" s="577" t="s">
        <v>1078</v>
      </c>
      <c r="C1433" s="575">
        <v>30000</v>
      </c>
    </row>
    <row r="1434" spans="1:3">
      <c r="A1434" s="574" t="s">
        <v>862</v>
      </c>
      <c r="B1434" s="578"/>
      <c r="C1434" s="575">
        <v>113163</v>
      </c>
    </row>
    <row r="1435" spans="1:3">
      <c r="A1435" s="576"/>
      <c r="B1435" s="577"/>
      <c r="C1435" s="575"/>
    </row>
    <row r="1436" spans="1:3">
      <c r="A1436" s="574" t="s">
        <v>917</v>
      </c>
      <c r="B1436" s="574"/>
      <c r="C1436" s="575">
        <v>1938204</v>
      </c>
    </row>
    <row r="1437" spans="1:3">
      <c r="A1437" s="576"/>
      <c r="B1437" s="573"/>
      <c r="C1437" s="575"/>
    </row>
    <row r="1438" spans="1:3">
      <c r="A1438" s="574" t="s">
        <v>860</v>
      </c>
      <c r="B1438" s="574"/>
      <c r="C1438" s="575">
        <v>2831562</v>
      </c>
    </row>
    <row r="1439" spans="1:3">
      <c r="A1439" s="576"/>
      <c r="B1439" s="573"/>
      <c r="C1439" s="575"/>
    </row>
    <row r="1440" spans="1:3" ht="31.5">
      <c r="A1440" s="574" t="s">
        <v>1234</v>
      </c>
      <c r="B1440" s="574"/>
      <c r="C1440" s="575">
        <v>4792001</v>
      </c>
    </row>
    <row r="1441" spans="1:3">
      <c r="A1441" s="576"/>
      <c r="B1441" s="573"/>
      <c r="C1441" s="575"/>
    </row>
    <row r="1442" spans="1:3">
      <c r="A1442" s="574" t="s">
        <v>1064</v>
      </c>
      <c r="B1442" s="578"/>
      <c r="C1442" s="578"/>
    </row>
    <row r="1443" spans="1:3">
      <c r="A1443" s="574" t="s">
        <v>916</v>
      </c>
      <c r="B1443" s="578"/>
      <c r="C1443" s="578"/>
    </row>
    <row r="1444" spans="1:3">
      <c r="A1444" s="574" t="s">
        <v>915</v>
      </c>
      <c r="B1444" s="578"/>
      <c r="C1444" s="578"/>
    </row>
    <row r="1445" spans="1:3" ht="31.5">
      <c r="A1445" s="576" t="s">
        <v>345</v>
      </c>
      <c r="B1445" s="577" t="s">
        <v>3</v>
      </c>
      <c r="C1445" s="575">
        <v>92500</v>
      </c>
    </row>
    <row r="1446" spans="1:3" ht="31.5">
      <c r="A1446" s="576" t="s">
        <v>707</v>
      </c>
      <c r="B1446" s="577" t="s">
        <v>706</v>
      </c>
      <c r="C1446" s="575">
        <v>92500</v>
      </c>
    </row>
    <row r="1447" spans="1:3">
      <c r="A1447" s="576" t="s">
        <v>351</v>
      </c>
      <c r="B1447" s="577" t="s">
        <v>668</v>
      </c>
      <c r="C1447" s="575">
        <v>2390</v>
      </c>
    </row>
    <row r="1448" spans="1:3" ht="31.5">
      <c r="A1448" s="576" t="s">
        <v>1063</v>
      </c>
      <c r="B1448" s="577" t="s">
        <v>1062</v>
      </c>
      <c r="C1448" s="575">
        <v>2390</v>
      </c>
    </row>
    <row r="1449" spans="1:3">
      <c r="A1449" s="576" t="s">
        <v>361</v>
      </c>
      <c r="B1449" s="577" t="s">
        <v>712</v>
      </c>
      <c r="C1449" s="575">
        <v>17779</v>
      </c>
    </row>
    <row r="1450" spans="1:3" ht="31.5">
      <c r="A1450" s="576" t="s">
        <v>714</v>
      </c>
      <c r="B1450" s="577" t="s">
        <v>713</v>
      </c>
      <c r="C1450" s="575">
        <v>10749</v>
      </c>
    </row>
    <row r="1451" spans="1:3">
      <c r="A1451" s="576" t="s">
        <v>716</v>
      </c>
      <c r="B1451" s="577" t="s">
        <v>715</v>
      </c>
      <c r="C1451" s="575">
        <v>4440</v>
      </c>
    </row>
    <row r="1452" spans="1:3">
      <c r="A1452" s="576" t="s">
        <v>718</v>
      </c>
      <c r="B1452" s="577" t="s">
        <v>717</v>
      </c>
      <c r="C1452" s="575">
        <v>2590</v>
      </c>
    </row>
    <row r="1453" spans="1:3">
      <c r="A1453" s="576" t="s">
        <v>371</v>
      </c>
      <c r="B1453" s="577" t="s">
        <v>671</v>
      </c>
      <c r="C1453" s="575">
        <v>61550</v>
      </c>
    </row>
    <row r="1454" spans="1:3">
      <c r="A1454" s="576" t="s">
        <v>724</v>
      </c>
      <c r="B1454" s="577" t="s">
        <v>723</v>
      </c>
      <c r="C1454" s="575">
        <v>6000</v>
      </c>
    </row>
    <row r="1455" spans="1:3">
      <c r="A1455" s="576" t="s">
        <v>638</v>
      </c>
      <c r="B1455" s="577" t="s">
        <v>672</v>
      </c>
      <c r="C1455" s="575">
        <v>7200</v>
      </c>
    </row>
    <row r="1456" spans="1:3">
      <c r="A1456" s="576" t="s">
        <v>639</v>
      </c>
      <c r="B1456" s="577" t="s">
        <v>725</v>
      </c>
      <c r="C1456" s="575">
        <v>9000</v>
      </c>
    </row>
    <row r="1457" spans="1:3">
      <c r="A1457" s="576" t="s">
        <v>685</v>
      </c>
      <c r="B1457" s="577" t="s">
        <v>684</v>
      </c>
      <c r="C1457" s="575">
        <v>29900</v>
      </c>
    </row>
    <row r="1458" spans="1:3">
      <c r="A1458" s="576" t="s">
        <v>694</v>
      </c>
      <c r="B1458" s="577" t="s">
        <v>693</v>
      </c>
      <c r="C1458" s="575">
        <v>9450</v>
      </c>
    </row>
    <row r="1459" spans="1:3">
      <c r="A1459" s="576" t="s">
        <v>248</v>
      </c>
      <c r="B1459" s="577" t="s">
        <v>735</v>
      </c>
      <c r="C1459" s="575">
        <v>340</v>
      </c>
    </row>
    <row r="1460" spans="1:3" ht="31.5">
      <c r="A1460" s="576" t="s">
        <v>242</v>
      </c>
      <c r="B1460" s="577" t="s">
        <v>736</v>
      </c>
      <c r="C1460" s="575">
        <v>250</v>
      </c>
    </row>
    <row r="1461" spans="1:3" ht="31.5">
      <c r="A1461" s="576" t="s">
        <v>243</v>
      </c>
      <c r="B1461" s="577" t="s">
        <v>750</v>
      </c>
      <c r="C1461" s="575">
        <v>90</v>
      </c>
    </row>
    <row r="1462" spans="1:3">
      <c r="A1462" s="574" t="s">
        <v>866</v>
      </c>
      <c r="B1462" s="578"/>
      <c r="C1462" s="575">
        <v>174559</v>
      </c>
    </row>
    <row r="1463" spans="1:3">
      <c r="A1463" s="576"/>
      <c r="B1463" s="577"/>
      <c r="C1463" s="575"/>
    </row>
    <row r="1464" spans="1:3" ht="31.5">
      <c r="A1464" s="574" t="s">
        <v>914</v>
      </c>
      <c r="B1464" s="574"/>
      <c r="C1464" s="575">
        <v>174559</v>
      </c>
    </row>
    <row r="1465" spans="1:3">
      <c r="A1465" s="576"/>
      <c r="B1465" s="573"/>
      <c r="C1465" s="575"/>
    </row>
    <row r="1466" spans="1:3" ht="31.5">
      <c r="A1466" s="574" t="s">
        <v>913</v>
      </c>
      <c r="B1466" s="574"/>
      <c r="C1466" s="575">
        <v>174559</v>
      </c>
    </row>
    <row r="1467" spans="1:3">
      <c r="A1467" s="576"/>
      <c r="B1467" s="573"/>
      <c r="C1467" s="575"/>
    </row>
    <row r="1468" spans="1:3">
      <c r="A1468" s="574" t="s">
        <v>912</v>
      </c>
      <c r="B1468" s="578"/>
      <c r="C1468" s="578"/>
    </row>
    <row r="1469" spans="1:3" ht="31.5">
      <c r="A1469" s="574" t="s">
        <v>911</v>
      </c>
      <c r="B1469" s="578"/>
      <c r="C1469" s="578"/>
    </row>
    <row r="1470" spans="1:3">
      <c r="A1470" s="576" t="s">
        <v>371</v>
      </c>
      <c r="B1470" s="577" t="s">
        <v>671</v>
      </c>
      <c r="C1470" s="575">
        <v>404585</v>
      </c>
    </row>
    <row r="1471" spans="1:3">
      <c r="A1471" s="576" t="s">
        <v>638</v>
      </c>
      <c r="B1471" s="577" t="s">
        <v>672</v>
      </c>
      <c r="C1471" s="575">
        <v>17000</v>
      </c>
    </row>
    <row r="1472" spans="1:3">
      <c r="A1472" s="576" t="s">
        <v>685</v>
      </c>
      <c r="B1472" s="577" t="s">
        <v>684</v>
      </c>
      <c r="C1472" s="575">
        <v>387585</v>
      </c>
    </row>
    <row r="1473" spans="1:3">
      <c r="A1473" s="574" t="s">
        <v>866</v>
      </c>
      <c r="B1473" s="578"/>
      <c r="C1473" s="575">
        <v>404585</v>
      </c>
    </row>
    <row r="1474" spans="1:3">
      <c r="A1474" s="576"/>
      <c r="B1474" s="577"/>
      <c r="C1474" s="575"/>
    </row>
    <row r="1475" spans="1:3" ht="31.5">
      <c r="A1475" s="574" t="s">
        <v>910</v>
      </c>
      <c r="B1475" s="574"/>
      <c r="C1475" s="575">
        <v>404585</v>
      </c>
    </row>
    <row r="1476" spans="1:3">
      <c r="A1476" s="576"/>
      <c r="B1476" s="573"/>
      <c r="C1476" s="575"/>
    </row>
    <row r="1477" spans="1:3" ht="31.5">
      <c r="A1477" s="574" t="s">
        <v>909</v>
      </c>
      <c r="B1477" s="578"/>
      <c r="C1477" s="578"/>
    </row>
    <row r="1478" spans="1:3">
      <c r="A1478" s="576" t="s">
        <v>371</v>
      </c>
      <c r="B1478" s="577" t="s">
        <v>671</v>
      </c>
      <c r="C1478" s="575">
        <v>778878</v>
      </c>
    </row>
    <row r="1479" spans="1:3">
      <c r="A1479" s="576" t="s">
        <v>685</v>
      </c>
      <c r="B1479" s="577" t="s">
        <v>684</v>
      </c>
      <c r="C1479" s="575">
        <v>759269</v>
      </c>
    </row>
    <row r="1480" spans="1:3">
      <c r="A1480" s="576" t="s">
        <v>687</v>
      </c>
      <c r="B1480" s="577" t="s">
        <v>686</v>
      </c>
      <c r="C1480" s="575">
        <v>19609</v>
      </c>
    </row>
    <row r="1481" spans="1:3">
      <c r="A1481" s="574" t="s">
        <v>866</v>
      </c>
      <c r="B1481" s="578"/>
      <c r="C1481" s="575">
        <v>778878</v>
      </c>
    </row>
    <row r="1482" spans="1:3">
      <c r="A1482" s="576"/>
      <c r="B1482" s="577"/>
      <c r="C1482" s="575"/>
    </row>
    <row r="1483" spans="1:3" ht="31.5">
      <c r="A1483" s="574" t="s">
        <v>908</v>
      </c>
      <c r="B1483" s="574"/>
      <c r="C1483" s="575">
        <v>778878</v>
      </c>
    </row>
    <row r="1484" spans="1:3">
      <c r="A1484" s="576"/>
      <c r="B1484" s="573"/>
      <c r="C1484" s="575"/>
    </row>
    <row r="1485" spans="1:3" ht="31.5">
      <c r="A1485" s="574" t="s">
        <v>907</v>
      </c>
      <c r="B1485" s="578"/>
      <c r="C1485" s="578"/>
    </row>
    <row r="1486" spans="1:3">
      <c r="A1486" s="576" t="s">
        <v>371</v>
      </c>
      <c r="B1486" s="577" t="s">
        <v>671</v>
      </c>
      <c r="C1486" s="575">
        <v>992200</v>
      </c>
    </row>
    <row r="1487" spans="1:3">
      <c r="A1487" s="576" t="s">
        <v>638</v>
      </c>
      <c r="B1487" s="577" t="s">
        <v>672</v>
      </c>
      <c r="C1487" s="575">
        <v>16200</v>
      </c>
    </row>
    <row r="1488" spans="1:3">
      <c r="A1488" s="576" t="s">
        <v>639</v>
      </c>
      <c r="B1488" s="577" t="s">
        <v>725</v>
      </c>
      <c r="C1488" s="575">
        <v>5800</v>
      </c>
    </row>
    <row r="1489" spans="1:3">
      <c r="A1489" s="576" t="s">
        <v>685</v>
      </c>
      <c r="B1489" s="577" t="s">
        <v>684</v>
      </c>
      <c r="C1489" s="575">
        <v>700000</v>
      </c>
    </row>
    <row r="1490" spans="1:3">
      <c r="A1490" s="576" t="s">
        <v>687</v>
      </c>
      <c r="B1490" s="577" t="s">
        <v>686</v>
      </c>
      <c r="C1490" s="575">
        <v>270200</v>
      </c>
    </row>
    <row r="1491" spans="1:3">
      <c r="A1491" s="576" t="s">
        <v>248</v>
      </c>
      <c r="B1491" s="577" t="s">
        <v>735</v>
      </c>
      <c r="C1491" s="575">
        <v>200</v>
      </c>
    </row>
    <row r="1492" spans="1:3" ht="31.5">
      <c r="A1492" s="576" t="s">
        <v>242</v>
      </c>
      <c r="B1492" s="577" t="s">
        <v>736</v>
      </c>
      <c r="C1492" s="575">
        <v>100</v>
      </c>
    </row>
    <row r="1493" spans="1:3" ht="31.5">
      <c r="A1493" s="576" t="s">
        <v>243</v>
      </c>
      <c r="B1493" s="577" t="s">
        <v>750</v>
      </c>
      <c r="C1493" s="575">
        <v>100</v>
      </c>
    </row>
    <row r="1494" spans="1:3">
      <c r="A1494" s="574" t="s">
        <v>866</v>
      </c>
      <c r="B1494" s="578"/>
      <c r="C1494" s="575">
        <v>992400</v>
      </c>
    </row>
    <row r="1495" spans="1:3">
      <c r="A1495" s="576"/>
      <c r="B1495" s="577"/>
      <c r="C1495" s="575"/>
    </row>
    <row r="1496" spans="1:3">
      <c r="A1496" s="576" t="s">
        <v>648</v>
      </c>
      <c r="B1496" s="577" t="s">
        <v>689</v>
      </c>
      <c r="C1496" s="575">
        <v>80000</v>
      </c>
    </row>
    <row r="1497" spans="1:3">
      <c r="A1497" s="576" t="s">
        <v>239</v>
      </c>
      <c r="B1497" s="577" t="s">
        <v>690</v>
      </c>
      <c r="C1497" s="575">
        <v>80000</v>
      </c>
    </row>
    <row r="1498" spans="1:3">
      <c r="A1498" s="574" t="s">
        <v>862</v>
      </c>
      <c r="B1498" s="578"/>
      <c r="C1498" s="575">
        <v>80000</v>
      </c>
    </row>
    <row r="1499" spans="1:3">
      <c r="A1499" s="576"/>
      <c r="B1499" s="577"/>
      <c r="C1499" s="575"/>
    </row>
    <row r="1500" spans="1:3" ht="31.5">
      <c r="A1500" s="574" t="s">
        <v>906</v>
      </c>
      <c r="B1500" s="574"/>
      <c r="C1500" s="575">
        <v>1072400</v>
      </c>
    </row>
    <row r="1501" spans="1:3">
      <c r="A1501" s="576"/>
      <c r="B1501" s="573"/>
      <c r="C1501" s="575"/>
    </row>
    <row r="1502" spans="1:3">
      <c r="A1502" s="574" t="s">
        <v>905</v>
      </c>
      <c r="B1502" s="574"/>
      <c r="C1502" s="575">
        <v>2255863</v>
      </c>
    </row>
    <row r="1503" spans="1:3">
      <c r="A1503" s="576"/>
      <c r="B1503" s="573"/>
      <c r="C1503" s="575"/>
    </row>
    <row r="1504" spans="1:3">
      <c r="A1504" s="574" t="s">
        <v>753</v>
      </c>
      <c r="B1504" s="578"/>
      <c r="C1504" s="578"/>
    </row>
    <row r="1505" spans="1:3">
      <c r="A1505" s="574" t="s">
        <v>904</v>
      </c>
      <c r="B1505" s="578"/>
      <c r="C1505" s="578"/>
    </row>
    <row r="1506" spans="1:3">
      <c r="A1506" s="576" t="s">
        <v>371</v>
      </c>
      <c r="B1506" s="577" t="s">
        <v>671</v>
      </c>
      <c r="C1506" s="575">
        <v>20000</v>
      </c>
    </row>
    <row r="1507" spans="1:3">
      <c r="A1507" s="576" t="s">
        <v>639</v>
      </c>
      <c r="B1507" s="577" t="s">
        <v>725</v>
      </c>
      <c r="C1507" s="575">
        <v>20000</v>
      </c>
    </row>
    <row r="1508" spans="1:3">
      <c r="A1508" s="574" t="s">
        <v>866</v>
      </c>
      <c r="B1508" s="578"/>
      <c r="C1508" s="575">
        <v>20000</v>
      </c>
    </row>
    <row r="1509" spans="1:3">
      <c r="A1509" s="576"/>
      <c r="B1509" s="577"/>
      <c r="C1509" s="575"/>
    </row>
    <row r="1510" spans="1:3">
      <c r="A1510" s="574" t="s">
        <v>903</v>
      </c>
      <c r="B1510" s="574"/>
      <c r="C1510" s="575">
        <v>20000</v>
      </c>
    </row>
    <row r="1511" spans="1:3">
      <c r="A1511" s="576"/>
      <c r="B1511" s="573"/>
      <c r="C1511" s="575"/>
    </row>
    <row r="1512" spans="1:3">
      <c r="A1512" s="574" t="s">
        <v>902</v>
      </c>
      <c r="B1512" s="578"/>
      <c r="C1512" s="578"/>
    </row>
    <row r="1513" spans="1:3" ht="31.5">
      <c r="A1513" s="576" t="s">
        <v>345</v>
      </c>
      <c r="B1513" s="577" t="s">
        <v>3</v>
      </c>
      <c r="C1513" s="575">
        <v>28900</v>
      </c>
    </row>
    <row r="1514" spans="1:3" ht="31.5">
      <c r="A1514" s="576" t="s">
        <v>707</v>
      </c>
      <c r="B1514" s="577" t="s">
        <v>706</v>
      </c>
      <c r="C1514" s="575">
        <v>28900</v>
      </c>
    </row>
    <row r="1515" spans="1:3">
      <c r="A1515" s="576" t="s">
        <v>351</v>
      </c>
      <c r="B1515" s="577" t="s">
        <v>668</v>
      </c>
      <c r="C1515" s="575">
        <v>23550</v>
      </c>
    </row>
    <row r="1516" spans="1:3">
      <c r="A1516" s="576" t="s">
        <v>670</v>
      </c>
      <c r="B1516" s="577" t="s">
        <v>669</v>
      </c>
      <c r="C1516" s="575">
        <v>23550</v>
      </c>
    </row>
    <row r="1517" spans="1:3">
      <c r="A1517" s="576" t="s">
        <v>361</v>
      </c>
      <c r="B1517" s="577" t="s">
        <v>712</v>
      </c>
      <c r="C1517" s="575">
        <v>10080</v>
      </c>
    </row>
    <row r="1518" spans="1:3" ht="31.5">
      <c r="A1518" s="576" t="s">
        <v>714</v>
      </c>
      <c r="B1518" s="577" t="s">
        <v>713</v>
      </c>
      <c r="C1518" s="575">
        <v>6095</v>
      </c>
    </row>
    <row r="1519" spans="1:3">
      <c r="A1519" s="576" t="s">
        <v>716</v>
      </c>
      <c r="B1519" s="577" t="s">
        <v>715</v>
      </c>
      <c r="C1519" s="575">
        <v>2517</v>
      </c>
    </row>
    <row r="1520" spans="1:3">
      <c r="A1520" s="576" t="s">
        <v>718</v>
      </c>
      <c r="B1520" s="577" t="s">
        <v>717</v>
      </c>
      <c r="C1520" s="575">
        <v>1468</v>
      </c>
    </row>
    <row r="1521" spans="1:3">
      <c r="A1521" s="576" t="s">
        <v>371</v>
      </c>
      <c r="B1521" s="577" t="s">
        <v>671</v>
      </c>
      <c r="C1521" s="575">
        <v>32470</v>
      </c>
    </row>
    <row r="1522" spans="1:3">
      <c r="A1522" s="576" t="s">
        <v>638</v>
      </c>
      <c r="B1522" s="577" t="s">
        <v>672</v>
      </c>
      <c r="C1522" s="575">
        <v>30470</v>
      </c>
    </row>
    <row r="1523" spans="1:3">
      <c r="A1523" s="576" t="s">
        <v>685</v>
      </c>
      <c r="B1523" s="577" t="s">
        <v>684</v>
      </c>
      <c r="C1523" s="575">
        <v>2000</v>
      </c>
    </row>
    <row r="1524" spans="1:3">
      <c r="A1524" s="574" t="s">
        <v>866</v>
      </c>
      <c r="B1524" s="578"/>
      <c r="C1524" s="575">
        <v>95000</v>
      </c>
    </row>
    <row r="1525" spans="1:3">
      <c r="A1525" s="576"/>
      <c r="B1525" s="577"/>
      <c r="C1525" s="575"/>
    </row>
    <row r="1526" spans="1:3">
      <c r="A1526" s="574" t="s">
        <v>901</v>
      </c>
      <c r="B1526" s="574"/>
      <c r="C1526" s="575">
        <v>95000</v>
      </c>
    </row>
    <row r="1527" spans="1:3">
      <c r="A1527" s="576"/>
      <c r="B1527" s="573"/>
      <c r="C1527" s="575"/>
    </row>
    <row r="1528" spans="1:3">
      <c r="A1528" s="574" t="s">
        <v>900</v>
      </c>
      <c r="B1528" s="578"/>
      <c r="C1528" s="578"/>
    </row>
    <row r="1529" spans="1:3" ht="31.5">
      <c r="A1529" s="576" t="s">
        <v>345</v>
      </c>
      <c r="B1529" s="577" t="s">
        <v>3</v>
      </c>
      <c r="C1529" s="575">
        <v>114080</v>
      </c>
    </row>
    <row r="1530" spans="1:3" ht="31.5">
      <c r="A1530" s="576" t="s">
        <v>707</v>
      </c>
      <c r="B1530" s="577" t="s">
        <v>706</v>
      </c>
      <c r="C1530" s="575">
        <v>114080</v>
      </c>
    </row>
    <row r="1531" spans="1:3">
      <c r="A1531" s="576" t="s">
        <v>351</v>
      </c>
      <c r="B1531" s="577" t="s">
        <v>668</v>
      </c>
      <c r="C1531" s="575">
        <v>8422</v>
      </c>
    </row>
    <row r="1532" spans="1:3" ht="31.5">
      <c r="A1532" s="576" t="s">
        <v>1063</v>
      </c>
      <c r="B1532" s="577" t="s">
        <v>1062</v>
      </c>
      <c r="C1532" s="575">
        <v>3422</v>
      </c>
    </row>
    <row r="1533" spans="1:3">
      <c r="A1533" s="576" t="s">
        <v>709</v>
      </c>
      <c r="B1533" s="577" t="s">
        <v>708</v>
      </c>
      <c r="C1533" s="575">
        <v>5000</v>
      </c>
    </row>
    <row r="1534" spans="1:3">
      <c r="A1534" s="576" t="s">
        <v>361</v>
      </c>
      <c r="B1534" s="577" t="s">
        <v>712</v>
      </c>
      <c r="C1534" s="575">
        <v>21926</v>
      </c>
    </row>
    <row r="1535" spans="1:3" ht="31.5">
      <c r="A1535" s="576" t="s">
        <v>714</v>
      </c>
      <c r="B1535" s="577" t="s">
        <v>713</v>
      </c>
      <c r="C1535" s="575">
        <v>13256</v>
      </c>
    </row>
    <row r="1536" spans="1:3">
      <c r="A1536" s="576" t="s">
        <v>716</v>
      </c>
      <c r="B1536" s="577" t="s">
        <v>715</v>
      </c>
      <c r="C1536" s="575">
        <v>5476</v>
      </c>
    </row>
    <row r="1537" spans="1:3">
      <c r="A1537" s="576" t="s">
        <v>718</v>
      </c>
      <c r="B1537" s="577" t="s">
        <v>717</v>
      </c>
      <c r="C1537" s="575">
        <v>3194</v>
      </c>
    </row>
    <row r="1538" spans="1:3">
      <c r="A1538" s="576" t="s">
        <v>371</v>
      </c>
      <c r="B1538" s="577" t="s">
        <v>671</v>
      </c>
      <c r="C1538" s="575">
        <v>206510</v>
      </c>
    </row>
    <row r="1539" spans="1:3">
      <c r="A1539" s="576" t="s">
        <v>732</v>
      </c>
      <c r="B1539" s="577" t="s">
        <v>731</v>
      </c>
      <c r="C1539" s="575">
        <v>20000</v>
      </c>
    </row>
    <row r="1540" spans="1:3">
      <c r="A1540" s="576" t="s">
        <v>734</v>
      </c>
      <c r="B1540" s="577" t="s">
        <v>733</v>
      </c>
      <c r="C1540" s="575">
        <v>30000</v>
      </c>
    </row>
    <row r="1541" spans="1:3">
      <c r="A1541" s="576" t="s">
        <v>724</v>
      </c>
      <c r="B1541" s="577" t="s">
        <v>723</v>
      </c>
      <c r="C1541" s="575">
        <v>1050</v>
      </c>
    </row>
    <row r="1542" spans="1:3">
      <c r="A1542" s="576" t="s">
        <v>638</v>
      </c>
      <c r="B1542" s="577" t="s">
        <v>672</v>
      </c>
      <c r="C1542" s="575">
        <v>15000</v>
      </c>
    </row>
    <row r="1543" spans="1:3">
      <c r="A1543" s="576" t="s">
        <v>639</v>
      </c>
      <c r="B1543" s="577" t="s">
        <v>725</v>
      </c>
      <c r="C1543" s="575">
        <v>10000</v>
      </c>
    </row>
    <row r="1544" spans="1:3">
      <c r="A1544" s="576" t="s">
        <v>685</v>
      </c>
      <c r="B1544" s="577" t="s">
        <v>684</v>
      </c>
      <c r="C1544" s="575">
        <v>130000</v>
      </c>
    </row>
    <row r="1545" spans="1:3">
      <c r="A1545" s="576" t="s">
        <v>674</v>
      </c>
      <c r="B1545" s="577" t="s">
        <v>673</v>
      </c>
      <c r="C1545" s="575">
        <v>200</v>
      </c>
    </row>
    <row r="1546" spans="1:3">
      <c r="A1546" s="576" t="s">
        <v>694</v>
      </c>
      <c r="B1546" s="577" t="s">
        <v>693</v>
      </c>
      <c r="C1546" s="575">
        <v>260</v>
      </c>
    </row>
    <row r="1547" spans="1:3">
      <c r="A1547" s="576" t="s">
        <v>248</v>
      </c>
      <c r="B1547" s="577" t="s">
        <v>735</v>
      </c>
      <c r="C1547" s="575">
        <v>100</v>
      </c>
    </row>
    <row r="1548" spans="1:3" ht="31.5">
      <c r="A1548" s="576" t="s">
        <v>243</v>
      </c>
      <c r="B1548" s="577" t="s">
        <v>750</v>
      </c>
      <c r="C1548" s="575">
        <v>100</v>
      </c>
    </row>
    <row r="1549" spans="1:3">
      <c r="A1549" s="574" t="s">
        <v>866</v>
      </c>
      <c r="B1549" s="578"/>
      <c r="C1549" s="575">
        <v>351038</v>
      </c>
    </row>
    <row r="1550" spans="1:3">
      <c r="A1550" s="576"/>
      <c r="B1550" s="577"/>
      <c r="C1550" s="575"/>
    </row>
    <row r="1551" spans="1:3">
      <c r="A1551" s="576" t="s">
        <v>648</v>
      </c>
      <c r="B1551" s="577" t="s">
        <v>689</v>
      </c>
      <c r="C1551" s="575">
        <v>15510</v>
      </c>
    </row>
    <row r="1552" spans="1:3">
      <c r="A1552" s="576" t="s">
        <v>1077</v>
      </c>
      <c r="B1552" s="577" t="s">
        <v>1078</v>
      </c>
      <c r="C1552" s="575">
        <v>15510</v>
      </c>
    </row>
    <row r="1553" spans="1:3">
      <c r="A1553" s="574" t="s">
        <v>862</v>
      </c>
      <c r="B1553" s="578"/>
      <c r="C1553" s="575">
        <v>15510</v>
      </c>
    </row>
    <row r="1554" spans="1:3">
      <c r="A1554" s="576"/>
      <c r="B1554" s="577"/>
      <c r="C1554" s="575"/>
    </row>
    <row r="1555" spans="1:3">
      <c r="A1555" s="574" t="s">
        <v>899</v>
      </c>
      <c r="B1555" s="574"/>
      <c r="C1555" s="575">
        <v>366548</v>
      </c>
    </row>
    <row r="1556" spans="1:3">
      <c r="A1556" s="576"/>
      <c r="B1556" s="573"/>
      <c r="C1556" s="575"/>
    </row>
    <row r="1557" spans="1:3">
      <c r="A1557" s="574" t="s">
        <v>754</v>
      </c>
      <c r="B1557" s="578"/>
      <c r="C1557" s="578"/>
    </row>
    <row r="1558" spans="1:3" ht="31.5">
      <c r="A1558" s="576" t="s">
        <v>345</v>
      </c>
      <c r="B1558" s="577" t="s">
        <v>3</v>
      </c>
      <c r="C1558" s="575">
        <v>571998</v>
      </c>
    </row>
    <row r="1559" spans="1:3" ht="31.5">
      <c r="A1559" s="576" t="s">
        <v>707</v>
      </c>
      <c r="B1559" s="577" t="s">
        <v>706</v>
      </c>
      <c r="C1559" s="575">
        <v>571998</v>
      </c>
    </row>
    <row r="1560" spans="1:3">
      <c r="A1560" s="576" t="s">
        <v>351</v>
      </c>
      <c r="B1560" s="577" t="s">
        <v>668</v>
      </c>
      <c r="C1560" s="575">
        <v>78201</v>
      </c>
    </row>
    <row r="1561" spans="1:3">
      <c r="A1561" s="576" t="s">
        <v>670</v>
      </c>
      <c r="B1561" s="577" t="s">
        <v>669</v>
      </c>
      <c r="C1561" s="575">
        <v>68000</v>
      </c>
    </row>
    <row r="1562" spans="1:3" ht="31.5">
      <c r="A1562" s="576" t="s">
        <v>1063</v>
      </c>
      <c r="B1562" s="577" t="s">
        <v>1062</v>
      </c>
      <c r="C1562" s="575">
        <v>10201</v>
      </c>
    </row>
    <row r="1563" spans="1:3">
      <c r="A1563" s="576" t="s">
        <v>361</v>
      </c>
      <c r="B1563" s="577" t="s">
        <v>712</v>
      </c>
      <c r="C1563" s="575">
        <v>123440</v>
      </c>
    </row>
    <row r="1564" spans="1:3" ht="31.5">
      <c r="A1564" s="576" t="s">
        <v>714</v>
      </c>
      <c r="B1564" s="577" t="s">
        <v>713</v>
      </c>
      <c r="C1564" s="575">
        <v>76261</v>
      </c>
    </row>
    <row r="1565" spans="1:3">
      <c r="A1565" s="576" t="s">
        <v>716</v>
      </c>
      <c r="B1565" s="577" t="s">
        <v>715</v>
      </c>
      <c r="C1565" s="575">
        <v>31023</v>
      </c>
    </row>
    <row r="1566" spans="1:3">
      <c r="A1566" s="576" t="s">
        <v>718</v>
      </c>
      <c r="B1566" s="577" t="s">
        <v>717</v>
      </c>
      <c r="C1566" s="575">
        <v>16156</v>
      </c>
    </row>
    <row r="1567" spans="1:3">
      <c r="A1567" s="576" t="s">
        <v>371</v>
      </c>
      <c r="B1567" s="577" t="s">
        <v>671</v>
      </c>
      <c r="C1567" s="575">
        <v>189499</v>
      </c>
    </row>
    <row r="1568" spans="1:3">
      <c r="A1568" s="576" t="s">
        <v>724</v>
      </c>
      <c r="B1568" s="577" t="s">
        <v>723</v>
      </c>
      <c r="C1568" s="575">
        <v>8040</v>
      </c>
    </row>
    <row r="1569" spans="1:3">
      <c r="A1569" s="576" t="s">
        <v>638</v>
      </c>
      <c r="B1569" s="577" t="s">
        <v>672</v>
      </c>
      <c r="C1569" s="575">
        <v>17200</v>
      </c>
    </row>
    <row r="1570" spans="1:3">
      <c r="A1570" s="576" t="s">
        <v>639</v>
      </c>
      <c r="B1570" s="577" t="s">
        <v>725</v>
      </c>
      <c r="C1570" s="575">
        <v>36439</v>
      </c>
    </row>
    <row r="1571" spans="1:3">
      <c r="A1571" s="576" t="s">
        <v>685</v>
      </c>
      <c r="B1571" s="577" t="s">
        <v>684</v>
      </c>
      <c r="C1571" s="575">
        <v>106500</v>
      </c>
    </row>
    <row r="1572" spans="1:3">
      <c r="A1572" s="576" t="s">
        <v>674</v>
      </c>
      <c r="B1572" s="577" t="s">
        <v>673</v>
      </c>
      <c r="C1572" s="575">
        <v>4000</v>
      </c>
    </row>
    <row r="1573" spans="1:3">
      <c r="A1573" s="576" t="s">
        <v>1502</v>
      </c>
      <c r="B1573" s="577" t="s">
        <v>1501</v>
      </c>
      <c r="C1573" s="575">
        <v>12000</v>
      </c>
    </row>
    <row r="1574" spans="1:3">
      <c r="A1574" s="576" t="s">
        <v>886</v>
      </c>
      <c r="B1574" s="577" t="s">
        <v>885</v>
      </c>
      <c r="C1574" s="575">
        <v>3820</v>
      </c>
    </row>
    <row r="1575" spans="1:3" ht="31.5">
      <c r="A1575" s="576" t="s">
        <v>641</v>
      </c>
      <c r="B1575" s="577" t="s">
        <v>1162</v>
      </c>
      <c r="C1575" s="575">
        <v>1500</v>
      </c>
    </row>
    <row r="1576" spans="1:3">
      <c r="A1576" s="576" t="s">
        <v>248</v>
      </c>
      <c r="B1576" s="577" t="s">
        <v>735</v>
      </c>
      <c r="C1576" s="575">
        <v>3200</v>
      </c>
    </row>
    <row r="1577" spans="1:3" ht="31.5">
      <c r="A1577" s="576" t="s">
        <v>242</v>
      </c>
      <c r="B1577" s="577" t="s">
        <v>736</v>
      </c>
      <c r="C1577" s="575">
        <v>200</v>
      </c>
    </row>
    <row r="1578" spans="1:3" ht="31.5">
      <c r="A1578" s="576" t="s">
        <v>243</v>
      </c>
      <c r="B1578" s="577" t="s">
        <v>750</v>
      </c>
      <c r="C1578" s="575">
        <v>3000</v>
      </c>
    </row>
    <row r="1579" spans="1:3">
      <c r="A1579" s="574" t="s">
        <v>866</v>
      </c>
      <c r="B1579" s="578"/>
      <c r="C1579" s="575">
        <v>966338</v>
      </c>
    </row>
    <row r="1580" spans="1:3">
      <c r="A1580" s="576"/>
      <c r="B1580" s="577"/>
      <c r="C1580" s="575"/>
    </row>
    <row r="1581" spans="1:3">
      <c r="A1581" s="574" t="s">
        <v>896</v>
      </c>
      <c r="B1581" s="574"/>
      <c r="C1581" s="575">
        <v>966338</v>
      </c>
    </row>
    <row r="1582" spans="1:3">
      <c r="A1582" s="576"/>
      <c r="B1582" s="573"/>
      <c r="C1582" s="575"/>
    </row>
    <row r="1583" spans="1:3">
      <c r="A1583" s="574" t="s">
        <v>895</v>
      </c>
      <c r="B1583" s="574"/>
      <c r="C1583" s="575">
        <v>1447886</v>
      </c>
    </row>
    <row r="1584" spans="1:3">
      <c r="A1584" s="576"/>
      <c r="B1584" s="573"/>
      <c r="C1584" s="575"/>
    </row>
    <row r="1585" spans="1:3">
      <c r="A1585" s="574" t="s">
        <v>1076</v>
      </c>
      <c r="B1585" s="574"/>
      <c r="C1585" s="575">
        <v>3878308</v>
      </c>
    </row>
    <row r="1586" spans="1:3">
      <c r="A1586" s="574" t="s">
        <v>1075</v>
      </c>
      <c r="B1586" s="578"/>
      <c r="C1586" s="578"/>
    </row>
    <row r="1587" spans="1:3">
      <c r="A1587" s="574" t="s">
        <v>876</v>
      </c>
      <c r="B1587" s="578"/>
      <c r="C1587" s="578"/>
    </row>
    <row r="1588" spans="1:3">
      <c r="A1588" s="574" t="s">
        <v>894</v>
      </c>
      <c r="B1588" s="578"/>
      <c r="C1588" s="578"/>
    </row>
    <row r="1589" spans="1:3">
      <c r="A1589" s="576" t="s">
        <v>643</v>
      </c>
      <c r="B1589" s="577" t="s">
        <v>893</v>
      </c>
      <c r="C1589" s="575">
        <v>198100</v>
      </c>
    </row>
    <row r="1590" spans="1:3">
      <c r="A1590" s="576" t="s">
        <v>892</v>
      </c>
      <c r="B1590" s="577" t="s">
        <v>891</v>
      </c>
      <c r="C1590" s="575">
        <v>14000</v>
      </c>
    </row>
    <row r="1591" spans="1:3">
      <c r="A1591" s="576" t="s">
        <v>890</v>
      </c>
      <c r="B1591" s="577" t="s">
        <v>889</v>
      </c>
      <c r="C1591" s="575">
        <v>184100</v>
      </c>
    </row>
    <row r="1592" spans="1:3">
      <c r="A1592" s="574" t="s">
        <v>888</v>
      </c>
      <c r="B1592" s="578"/>
      <c r="C1592" s="575">
        <v>198100</v>
      </c>
    </row>
    <row r="1593" spans="1:3">
      <c r="A1593" s="576"/>
      <c r="B1593" s="577"/>
      <c r="C1593" s="575"/>
    </row>
    <row r="1594" spans="1:3">
      <c r="A1594" s="574" t="s">
        <v>887</v>
      </c>
      <c r="B1594" s="574"/>
      <c r="C1594" s="575">
        <v>198100</v>
      </c>
    </row>
    <row r="1595" spans="1:3">
      <c r="A1595" s="576"/>
      <c r="B1595" s="573"/>
      <c r="C1595" s="575"/>
    </row>
    <row r="1596" spans="1:3" ht="31.5">
      <c r="A1596" s="574" t="s">
        <v>1074</v>
      </c>
      <c r="B1596" s="574"/>
      <c r="C1596" s="575">
        <v>198100</v>
      </c>
    </row>
    <row r="1597" spans="1:3">
      <c r="A1597" s="576"/>
      <c r="B1597" s="573"/>
      <c r="C1597" s="575"/>
    </row>
    <row r="1598" spans="1:3">
      <c r="A1598" s="574" t="s">
        <v>1500</v>
      </c>
      <c r="B1598" s="573"/>
      <c r="C1598" s="573">
        <v>51137850</v>
      </c>
    </row>
    <row r="1599" spans="1:3">
      <c r="A1599" s="580"/>
      <c r="B1599" s="577"/>
      <c r="C1599" s="577"/>
    </row>
    <row r="1600" spans="1:3" ht="31.5">
      <c r="A1600" s="579" t="s">
        <v>1499</v>
      </c>
      <c r="B1600" s="579"/>
      <c r="C1600" s="579"/>
    </row>
    <row r="1601" spans="1:3">
      <c r="A1601" s="574"/>
      <c r="B1601" s="578"/>
      <c r="C1601" s="578"/>
    </row>
    <row r="1602" spans="1:3">
      <c r="A1602" s="574" t="s">
        <v>1073</v>
      </c>
      <c r="B1602" s="578"/>
      <c r="C1602" s="578"/>
    </row>
    <row r="1603" spans="1:3">
      <c r="A1603" s="574" t="s">
        <v>884</v>
      </c>
      <c r="B1603" s="578"/>
      <c r="C1603" s="578"/>
    </row>
    <row r="1604" spans="1:3">
      <c r="A1604" s="574" t="s">
        <v>883</v>
      </c>
      <c r="B1604" s="578"/>
      <c r="C1604" s="578"/>
    </row>
    <row r="1605" spans="1:3" ht="31.5">
      <c r="A1605" s="576" t="s">
        <v>345</v>
      </c>
      <c r="B1605" s="577" t="s">
        <v>3</v>
      </c>
      <c r="C1605" s="575">
        <v>343625</v>
      </c>
    </row>
    <row r="1606" spans="1:3" ht="31.5">
      <c r="A1606" s="576" t="s">
        <v>707</v>
      </c>
      <c r="B1606" s="577" t="s">
        <v>706</v>
      </c>
      <c r="C1606" s="575">
        <v>343625</v>
      </c>
    </row>
    <row r="1607" spans="1:3">
      <c r="A1607" s="576" t="s">
        <v>351</v>
      </c>
      <c r="B1607" s="577" t="s">
        <v>668</v>
      </c>
      <c r="C1607" s="575">
        <v>30414</v>
      </c>
    </row>
    <row r="1608" spans="1:3">
      <c r="A1608" s="576" t="s">
        <v>670</v>
      </c>
      <c r="B1608" s="577" t="s">
        <v>669</v>
      </c>
      <c r="C1608" s="575">
        <v>3550</v>
      </c>
    </row>
    <row r="1609" spans="1:3" ht="31.5">
      <c r="A1609" s="576" t="s">
        <v>1063</v>
      </c>
      <c r="B1609" s="577" t="s">
        <v>1062</v>
      </c>
      <c r="C1609" s="575">
        <v>17764</v>
      </c>
    </row>
    <row r="1610" spans="1:3">
      <c r="A1610" s="576" t="s">
        <v>709</v>
      </c>
      <c r="B1610" s="577" t="s">
        <v>708</v>
      </c>
      <c r="C1610" s="575">
        <v>9100</v>
      </c>
    </row>
    <row r="1611" spans="1:3">
      <c r="A1611" s="576" t="s">
        <v>361</v>
      </c>
      <c r="B1611" s="577" t="s">
        <v>712</v>
      </c>
      <c r="C1611" s="575">
        <v>66043</v>
      </c>
    </row>
    <row r="1612" spans="1:3" ht="31.5">
      <c r="A1612" s="576" t="s">
        <v>714</v>
      </c>
      <c r="B1612" s="577" t="s">
        <v>713</v>
      </c>
      <c r="C1612" s="575">
        <v>43786</v>
      </c>
    </row>
    <row r="1613" spans="1:3">
      <c r="A1613" s="576" t="s">
        <v>716</v>
      </c>
      <c r="B1613" s="577" t="s">
        <v>715</v>
      </c>
      <c r="C1613" s="575">
        <v>16493</v>
      </c>
    </row>
    <row r="1614" spans="1:3">
      <c r="A1614" s="576" t="s">
        <v>718</v>
      </c>
      <c r="B1614" s="577" t="s">
        <v>717</v>
      </c>
      <c r="C1614" s="575">
        <v>5764</v>
      </c>
    </row>
    <row r="1615" spans="1:3">
      <c r="A1615" s="574" t="s">
        <v>866</v>
      </c>
      <c r="B1615" s="578"/>
      <c r="C1615" s="575">
        <v>440082</v>
      </c>
    </row>
    <row r="1616" spans="1:3">
      <c r="A1616" s="576"/>
      <c r="B1616" s="577"/>
      <c r="C1616" s="575"/>
    </row>
    <row r="1617" spans="1:3">
      <c r="A1617" s="574" t="s">
        <v>882</v>
      </c>
      <c r="B1617" s="574"/>
      <c r="C1617" s="575">
        <v>440082</v>
      </c>
    </row>
    <row r="1618" spans="1:3">
      <c r="A1618" s="576"/>
      <c r="B1618" s="573"/>
      <c r="C1618" s="575"/>
    </row>
    <row r="1619" spans="1:3">
      <c r="A1619" s="574" t="s">
        <v>881</v>
      </c>
      <c r="B1619" s="574"/>
      <c r="C1619" s="575">
        <v>440082</v>
      </c>
    </row>
    <row r="1620" spans="1:3">
      <c r="A1620" s="576"/>
      <c r="B1620" s="573"/>
      <c r="C1620" s="575"/>
    </row>
    <row r="1621" spans="1:3">
      <c r="A1621" s="574" t="s">
        <v>1072</v>
      </c>
      <c r="B1621" s="574"/>
      <c r="C1621" s="575">
        <v>440082</v>
      </c>
    </row>
    <row r="1622" spans="1:3">
      <c r="A1622" s="576"/>
      <c r="B1622" s="573"/>
      <c r="C1622" s="575"/>
    </row>
    <row r="1623" spans="1:3">
      <c r="A1623" s="576"/>
      <c r="B1623" s="573"/>
      <c r="C1623" s="575"/>
    </row>
    <row r="1624" spans="1:3">
      <c r="A1624" s="576"/>
      <c r="B1624" s="573"/>
      <c r="C1624" s="575"/>
    </row>
    <row r="1625" spans="1:3">
      <c r="A1625" s="574" t="s">
        <v>1051</v>
      </c>
      <c r="B1625" s="578"/>
      <c r="C1625" s="578"/>
    </row>
    <row r="1626" spans="1:3">
      <c r="A1626" s="574" t="s">
        <v>666</v>
      </c>
      <c r="B1626" s="578"/>
      <c r="C1626" s="578"/>
    </row>
    <row r="1627" spans="1:3">
      <c r="A1627" s="574" t="s">
        <v>667</v>
      </c>
      <c r="B1627" s="578"/>
      <c r="C1627" s="578"/>
    </row>
    <row r="1628" spans="1:3">
      <c r="A1628" s="576" t="s">
        <v>648</v>
      </c>
      <c r="B1628" s="577" t="s">
        <v>689</v>
      </c>
      <c r="C1628" s="575">
        <v>6060</v>
      </c>
    </row>
    <row r="1629" spans="1:3">
      <c r="A1629" s="576" t="s">
        <v>245</v>
      </c>
      <c r="B1629" s="577" t="s">
        <v>719</v>
      </c>
      <c r="C1629" s="575">
        <v>6060</v>
      </c>
    </row>
    <row r="1630" spans="1:3">
      <c r="A1630" s="574" t="s">
        <v>862</v>
      </c>
      <c r="B1630" s="578"/>
      <c r="C1630" s="575">
        <v>6060</v>
      </c>
    </row>
    <row r="1631" spans="1:3">
      <c r="A1631" s="576"/>
      <c r="B1631" s="577"/>
      <c r="C1631" s="575"/>
    </row>
    <row r="1632" spans="1:3">
      <c r="A1632" s="574" t="s">
        <v>880</v>
      </c>
      <c r="B1632" s="574"/>
      <c r="C1632" s="575">
        <v>6060</v>
      </c>
    </row>
    <row r="1633" spans="1:3">
      <c r="A1633" s="576"/>
      <c r="B1633" s="573"/>
      <c r="C1633" s="575"/>
    </row>
    <row r="1634" spans="1:3">
      <c r="A1634" s="574" t="s">
        <v>879</v>
      </c>
      <c r="B1634" s="574"/>
      <c r="C1634" s="575">
        <v>6060</v>
      </c>
    </row>
    <row r="1635" spans="1:3" ht="31.5">
      <c r="A1635" s="574" t="s">
        <v>681</v>
      </c>
      <c r="B1635" s="578"/>
      <c r="C1635" s="578"/>
    </row>
    <row r="1636" spans="1:3" ht="31.5">
      <c r="A1636" s="574" t="s">
        <v>683</v>
      </c>
      <c r="B1636" s="578"/>
      <c r="C1636" s="578"/>
    </row>
    <row r="1637" spans="1:3">
      <c r="A1637" s="576" t="s">
        <v>371</v>
      </c>
      <c r="B1637" s="577" t="s">
        <v>671</v>
      </c>
      <c r="C1637" s="575">
        <v>50000</v>
      </c>
    </row>
    <row r="1638" spans="1:3">
      <c r="A1638" s="576" t="s">
        <v>685</v>
      </c>
      <c r="B1638" s="577" t="s">
        <v>684</v>
      </c>
      <c r="C1638" s="575">
        <v>50000</v>
      </c>
    </row>
    <row r="1639" spans="1:3">
      <c r="A1639" s="574" t="s">
        <v>866</v>
      </c>
      <c r="B1639" s="578"/>
      <c r="C1639" s="575">
        <v>50000</v>
      </c>
    </row>
    <row r="1640" spans="1:3">
      <c r="A1640" s="576"/>
      <c r="B1640" s="577"/>
      <c r="C1640" s="575"/>
    </row>
    <row r="1641" spans="1:3" ht="31.5">
      <c r="A1641" s="574" t="s">
        <v>878</v>
      </c>
      <c r="B1641" s="574"/>
      <c r="C1641" s="575">
        <v>50000</v>
      </c>
    </row>
    <row r="1642" spans="1:3">
      <c r="A1642" s="576"/>
      <c r="B1642" s="573"/>
      <c r="C1642" s="575"/>
    </row>
    <row r="1643" spans="1:3" ht="31.5">
      <c r="A1643" s="574" t="s">
        <v>877</v>
      </c>
      <c r="B1643" s="574"/>
      <c r="C1643" s="575">
        <v>50000</v>
      </c>
    </row>
    <row r="1644" spans="1:3">
      <c r="A1644" s="576"/>
      <c r="B1644" s="573"/>
      <c r="C1644" s="575"/>
    </row>
    <row r="1645" spans="1:3">
      <c r="A1645" s="574" t="s">
        <v>1071</v>
      </c>
      <c r="B1645" s="574"/>
      <c r="C1645" s="575">
        <v>56060</v>
      </c>
    </row>
    <row r="1646" spans="1:3">
      <c r="A1646" s="576"/>
      <c r="B1646" s="573"/>
      <c r="C1646" s="575"/>
    </row>
    <row r="1647" spans="1:3">
      <c r="A1647" s="574" t="s">
        <v>1054</v>
      </c>
      <c r="B1647" s="578"/>
      <c r="C1647" s="578"/>
    </row>
    <row r="1648" spans="1:3">
      <c r="A1648" s="574" t="s">
        <v>876</v>
      </c>
      <c r="B1648" s="578"/>
      <c r="C1648" s="578"/>
    </row>
    <row r="1649" spans="1:3">
      <c r="A1649" s="574" t="s">
        <v>698</v>
      </c>
      <c r="B1649" s="578"/>
      <c r="C1649" s="578"/>
    </row>
    <row r="1650" spans="1:3">
      <c r="A1650" s="576" t="s">
        <v>371</v>
      </c>
      <c r="B1650" s="577" t="s">
        <v>671</v>
      </c>
      <c r="C1650" s="575">
        <v>26285</v>
      </c>
    </row>
    <row r="1651" spans="1:3">
      <c r="A1651" s="576" t="s">
        <v>687</v>
      </c>
      <c r="B1651" s="577" t="s">
        <v>686</v>
      </c>
      <c r="C1651" s="575">
        <v>22285</v>
      </c>
    </row>
    <row r="1652" spans="1:3">
      <c r="A1652" s="576" t="s">
        <v>694</v>
      </c>
      <c r="B1652" s="577" t="s">
        <v>693</v>
      </c>
      <c r="C1652" s="575">
        <v>4000</v>
      </c>
    </row>
    <row r="1653" spans="1:3">
      <c r="A1653" s="574" t="s">
        <v>866</v>
      </c>
      <c r="B1653" s="578"/>
      <c r="C1653" s="575">
        <v>26285</v>
      </c>
    </row>
    <row r="1654" spans="1:3">
      <c r="A1654" s="576"/>
      <c r="B1654" s="577"/>
      <c r="C1654" s="575"/>
    </row>
    <row r="1655" spans="1:3">
      <c r="A1655" s="576" t="s">
        <v>647</v>
      </c>
      <c r="B1655" s="577" t="s">
        <v>688</v>
      </c>
      <c r="C1655" s="575">
        <v>17769</v>
      </c>
    </row>
    <row r="1656" spans="1:3">
      <c r="A1656" s="574" t="s">
        <v>862</v>
      </c>
      <c r="B1656" s="578"/>
      <c r="C1656" s="575">
        <v>17769</v>
      </c>
    </row>
    <row r="1657" spans="1:3">
      <c r="A1657" s="576"/>
      <c r="B1657" s="577"/>
      <c r="C1657" s="575"/>
    </row>
    <row r="1658" spans="1:3" ht="31.5">
      <c r="A1658" s="574" t="s">
        <v>875</v>
      </c>
      <c r="B1658" s="574"/>
      <c r="C1658" s="575">
        <v>44054</v>
      </c>
    </row>
    <row r="1659" spans="1:3">
      <c r="A1659" s="576"/>
      <c r="B1659" s="573"/>
      <c r="C1659" s="575"/>
    </row>
    <row r="1660" spans="1:3">
      <c r="A1660" s="574" t="s">
        <v>703</v>
      </c>
      <c r="B1660" s="578"/>
      <c r="C1660" s="578"/>
    </row>
    <row r="1661" spans="1:3" ht="31.5">
      <c r="A1661" s="576" t="s">
        <v>345</v>
      </c>
      <c r="B1661" s="577" t="s">
        <v>3</v>
      </c>
      <c r="C1661" s="575">
        <v>18507</v>
      </c>
    </row>
    <row r="1662" spans="1:3" ht="31.5">
      <c r="A1662" s="576" t="s">
        <v>707</v>
      </c>
      <c r="B1662" s="577" t="s">
        <v>706</v>
      </c>
      <c r="C1662" s="575">
        <v>18507</v>
      </c>
    </row>
    <row r="1663" spans="1:3">
      <c r="A1663" s="576" t="s">
        <v>361</v>
      </c>
      <c r="B1663" s="577" t="s">
        <v>712</v>
      </c>
      <c r="C1663" s="575">
        <v>4842</v>
      </c>
    </row>
    <row r="1664" spans="1:3" ht="31.5">
      <c r="A1664" s="576" t="s">
        <v>714</v>
      </c>
      <c r="B1664" s="577" t="s">
        <v>713</v>
      </c>
      <c r="C1664" s="575">
        <v>2632</v>
      </c>
    </row>
    <row r="1665" spans="1:3" ht="31.5">
      <c r="A1665" s="576" t="s">
        <v>980</v>
      </c>
      <c r="B1665" s="577" t="s">
        <v>979</v>
      </c>
      <c r="C1665" s="575">
        <v>796</v>
      </c>
    </row>
    <row r="1666" spans="1:3">
      <c r="A1666" s="576" t="s">
        <v>716</v>
      </c>
      <c r="B1666" s="577" t="s">
        <v>715</v>
      </c>
      <c r="C1666" s="575">
        <v>888</v>
      </c>
    </row>
    <row r="1667" spans="1:3">
      <c r="A1667" s="576" t="s">
        <v>718</v>
      </c>
      <c r="B1667" s="577" t="s">
        <v>717</v>
      </c>
      <c r="C1667" s="575">
        <v>526</v>
      </c>
    </row>
    <row r="1668" spans="1:3">
      <c r="A1668" s="574" t="s">
        <v>866</v>
      </c>
      <c r="B1668" s="578"/>
      <c r="C1668" s="575">
        <v>23349</v>
      </c>
    </row>
    <row r="1669" spans="1:3">
      <c r="A1669" s="576"/>
      <c r="B1669" s="577"/>
      <c r="C1669" s="575"/>
    </row>
    <row r="1670" spans="1:3">
      <c r="A1670" s="574" t="s">
        <v>970</v>
      </c>
      <c r="B1670" s="574"/>
      <c r="C1670" s="575">
        <v>23349</v>
      </c>
    </row>
    <row r="1671" spans="1:3">
      <c r="A1671" s="576"/>
      <c r="B1671" s="573"/>
      <c r="C1671" s="575"/>
    </row>
    <row r="1672" spans="1:3">
      <c r="A1672" s="574" t="s">
        <v>1070</v>
      </c>
      <c r="B1672" s="574"/>
      <c r="C1672" s="575">
        <v>67403</v>
      </c>
    </row>
    <row r="1673" spans="1:3">
      <c r="A1673" s="576"/>
      <c r="B1673" s="573"/>
      <c r="C1673" s="575"/>
    </row>
    <row r="1674" spans="1:3">
      <c r="A1674" s="574" t="s">
        <v>1056</v>
      </c>
      <c r="B1674" s="578"/>
      <c r="C1674" s="578"/>
    </row>
    <row r="1675" spans="1:3">
      <c r="A1675" s="574" t="s">
        <v>876</v>
      </c>
      <c r="B1675" s="578"/>
      <c r="C1675" s="578"/>
    </row>
    <row r="1676" spans="1:3">
      <c r="A1676" s="574" t="s">
        <v>722</v>
      </c>
      <c r="B1676" s="578"/>
      <c r="C1676" s="578"/>
    </row>
    <row r="1677" spans="1:3">
      <c r="A1677" s="576" t="s">
        <v>351</v>
      </c>
      <c r="B1677" s="577" t="s">
        <v>668</v>
      </c>
      <c r="C1677" s="575">
        <v>8436</v>
      </c>
    </row>
    <row r="1678" spans="1:3">
      <c r="A1678" s="576" t="s">
        <v>670</v>
      </c>
      <c r="B1678" s="577" t="s">
        <v>669</v>
      </c>
      <c r="C1678" s="575">
        <v>8436</v>
      </c>
    </row>
    <row r="1679" spans="1:3">
      <c r="A1679" s="576" t="s">
        <v>361</v>
      </c>
      <c r="B1679" s="577" t="s">
        <v>712</v>
      </c>
      <c r="C1679" s="575">
        <v>1008</v>
      </c>
    </row>
    <row r="1680" spans="1:3" ht="31.5">
      <c r="A1680" s="576" t="s">
        <v>714</v>
      </c>
      <c r="B1680" s="577" t="s">
        <v>713</v>
      </c>
      <c r="C1680" s="575">
        <v>522</v>
      </c>
    </row>
    <row r="1681" spans="1:3">
      <c r="A1681" s="576" t="s">
        <v>716</v>
      </c>
      <c r="B1681" s="577" t="s">
        <v>715</v>
      </c>
      <c r="C1681" s="575">
        <v>306</v>
      </c>
    </row>
    <row r="1682" spans="1:3">
      <c r="A1682" s="576" t="s">
        <v>718</v>
      </c>
      <c r="B1682" s="577" t="s">
        <v>717</v>
      </c>
      <c r="C1682" s="575">
        <v>180</v>
      </c>
    </row>
    <row r="1683" spans="1:3">
      <c r="A1683" s="576" t="s">
        <v>371</v>
      </c>
      <c r="B1683" s="577" t="s">
        <v>671</v>
      </c>
      <c r="C1683" s="575">
        <v>1200</v>
      </c>
    </row>
    <row r="1684" spans="1:3">
      <c r="A1684" s="576" t="s">
        <v>638</v>
      </c>
      <c r="B1684" s="577" t="s">
        <v>672</v>
      </c>
      <c r="C1684" s="575">
        <v>1200</v>
      </c>
    </row>
    <row r="1685" spans="1:3">
      <c r="A1685" s="574" t="s">
        <v>866</v>
      </c>
      <c r="B1685" s="578"/>
      <c r="C1685" s="575">
        <v>10644</v>
      </c>
    </row>
    <row r="1686" spans="1:3">
      <c r="A1686" s="576"/>
      <c r="B1686" s="577"/>
      <c r="C1686" s="575"/>
    </row>
    <row r="1687" spans="1:3">
      <c r="A1687" s="574" t="s">
        <v>962</v>
      </c>
      <c r="B1687" s="574"/>
      <c r="C1687" s="575">
        <v>10644</v>
      </c>
    </row>
    <row r="1688" spans="1:3">
      <c r="A1688" s="576"/>
      <c r="B1688" s="573"/>
      <c r="C1688" s="575"/>
    </row>
    <row r="1689" spans="1:3">
      <c r="A1689" s="574" t="s">
        <v>1082</v>
      </c>
      <c r="B1689" s="574"/>
      <c r="C1689" s="575">
        <v>10644</v>
      </c>
    </row>
    <row r="1690" spans="1:3">
      <c r="A1690" s="576"/>
      <c r="B1690" s="573"/>
      <c r="C1690" s="575"/>
    </row>
    <row r="1691" spans="1:3">
      <c r="A1691" s="574" t="s">
        <v>726</v>
      </c>
      <c r="B1691" s="578"/>
      <c r="C1691" s="578"/>
    </row>
    <row r="1692" spans="1:3" ht="31.5">
      <c r="A1692" s="574" t="s">
        <v>1221</v>
      </c>
      <c r="B1692" s="578"/>
      <c r="C1692" s="578"/>
    </row>
    <row r="1693" spans="1:3">
      <c r="A1693" s="574" t="s">
        <v>727</v>
      </c>
      <c r="B1693" s="578"/>
      <c r="C1693" s="578"/>
    </row>
    <row r="1694" spans="1:3">
      <c r="A1694" s="576" t="s">
        <v>371</v>
      </c>
      <c r="B1694" s="577" t="s">
        <v>671</v>
      </c>
      <c r="C1694" s="575">
        <v>1782</v>
      </c>
    </row>
    <row r="1695" spans="1:3">
      <c r="A1695" s="576" t="s">
        <v>638</v>
      </c>
      <c r="B1695" s="577" t="s">
        <v>672</v>
      </c>
      <c r="C1695" s="575">
        <v>1782</v>
      </c>
    </row>
    <row r="1696" spans="1:3">
      <c r="A1696" s="574" t="s">
        <v>866</v>
      </c>
      <c r="B1696" s="578"/>
      <c r="C1696" s="575">
        <v>1782</v>
      </c>
    </row>
    <row r="1697" spans="1:3">
      <c r="A1697" s="576"/>
      <c r="B1697" s="577"/>
      <c r="C1697" s="575"/>
    </row>
    <row r="1698" spans="1:3">
      <c r="A1698" s="574" t="s">
        <v>874</v>
      </c>
      <c r="B1698" s="574"/>
      <c r="C1698" s="575">
        <v>1782</v>
      </c>
    </row>
    <row r="1699" spans="1:3">
      <c r="A1699" s="576"/>
      <c r="B1699" s="573"/>
      <c r="C1699" s="575"/>
    </row>
    <row r="1700" spans="1:3">
      <c r="A1700" s="574" t="s">
        <v>730</v>
      </c>
      <c r="B1700" s="578"/>
      <c r="C1700" s="578"/>
    </row>
    <row r="1701" spans="1:3">
      <c r="A1701" s="576" t="s">
        <v>371</v>
      </c>
      <c r="B1701" s="577" t="s">
        <v>671</v>
      </c>
      <c r="C1701" s="575">
        <v>7679</v>
      </c>
    </row>
    <row r="1702" spans="1:3">
      <c r="A1702" s="576" t="s">
        <v>734</v>
      </c>
      <c r="B1702" s="577" t="s">
        <v>733</v>
      </c>
      <c r="C1702" s="575">
        <v>178</v>
      </c>
    </row>
    <row r="1703" spans="1:3">
      <c r="A1703" s="576" t="s">
        <v>638</v>
      </c>
      <c r="B1703" s="577" t="s">
        <v>672</v>
      </c>
      <c r="C1703" s="575">
        <v>5358</v>
      </c>
    </row>
    <row r="1704" spans="1:3">
      <c r="A1704" s="576" t="s">
        <v>685</v>
      </c>
      <c r="B1704" s="577" t="s">
        <v>684</v>
      </c>
      <c r="C1704" s="575">
        <v>1233</v>
      </c>
    </row>
    <row r="1705" spans="1:3" ht="31.5">
      <c r="A1705" s="576" t="s">
        <v>642</v>
      </c>
      <c r="B1705" s="577" t="s">
        <v>677</v>
      </c>
      <c r="C1705" s="575">
        <v>910</v>
      </c>
    </row>
    <row r="1706" spans="1:3">
      <c r="A1706" s="574" t="s">
        <v>866</v>
      </c>
      <c r="B1706" s="578"/>
      <c r="C1706" s="575">
        <v>7679</v>
      </c>
    </row>
    <row r="1707" spans="1:3">
      <c r="A1707" s="576"/>
      <c r="B1707" s="577"/>
      <c r="C1707" s="575"/>
    </row>
    <row r="1708" spans="1:3">
      <c r="A1708" s="574" t="s">
        <v>873</v>
      </c>
      <c r="B1708" s="574"/>
      <c r="C1708" s="575">
        <v>7679</v>
      </c>
    </row>
    <row r="1709" spans="1:3">
      <c r="A1709" s="576"/>
      <c r="B1709" s="573"/>
      <c r="C1709" s="575"/>
    </row>
    <row r="1710" spans="1:3">
      <c r="A1710" s="574" t="s">
        <v>737</v>
      </c>
      <c r="B1710" s="578"/>
      <c r="C1710" s="578"/>
    </row>
    <row r="1711" spans="1:3">
      <c r="A1711" s="576" t="s">
        <v>351</v>
      </c>
      <c r="B1711" s="577" t="s">
        <v>668</v>
      </c>
      <c r="C1711" s="575">
        <v>1000</v>
      </c>
    </row>
    <row r="1712" spans="1:3">
      <c r="A1712" s="576" t="s">
        <v>709</v>
      </c>
      <c r="B1712" s="577" t="s">
        <v>708</v>
      </c>
      <c r="C1712" s="575">
        <v>1000</v>
      </c>
    </row>
    <row r="1713" spans="1:3">
      <c r="A1713" s="574" t="s">
        <v>866</v>
      </c>
      <c r="B1713" s="578"/>
      <c r="C1713" s="575">
        <v>1000</v>
      </c>
    </row>
    <row r="1714" spans="1:3">
      <c r="A1714" s="576"/>
      <c r="B1714" s="577"/>
      <c r="C1714" s="575"/>
    </row>
    <row r="1715" spans="1:3">
      <c r="A1715" s="574" t="s">
        <v>872</v>
      </c>
      <c r="B1715" s="574"/>
      <c r="C1715" s="575">
        <v>1000</v>
      </c>
    </row>
    <row r="1716" spans="1:3">
      <c r="A1716" s="576"/>
      <c r="B1716" s="573"/>
      <c r="C1716" s="575"/>
    </row>
    <row r="1717" spans="1:3">
      <c r="A1717" s="574" t="s">
        <v>1498</v>
      </c>
      <c r="B1717" s="578"/>
      <c r="C1717" s="578"/>
    </row>
    <row r="1718" spans="1:3">
      <c r="A1718" s="576" t="s">
        <v>371</v>
      </c>
      <c r="B1718" s="577" t="s">
        <v>671</v>
      </c>
      <c r="C1718" s="575">
        <v>5639</v>
      </c>
    </row>
    <row r="1719" spans="1:3">
      <c r="A1719" s="576" t="s">
        <v>638</v>
      </c>
      <c r="B1719" s="577" t="s">
        <v>672</v>
      </c>
      <c r="C1719" s="575">
        <v>162</v>
      </c>
    </row>
    <row r="1720" spans="1:3">
      <c r="A1720" s="576" t="s">
        <v>685</v>
      </c>
      <c r="B1720" s="577" t="s">
        <v>684</v>
      </c>
      <c r="C1720" s="575">
        <v>5477</v>
      </c>
    </row>
    <row r="1721" spans="1:3">
      <c r="A1721" s="574" t="s">
        <v>866</v>
      </c>
      <c r="B1721" s="578"/>
      <c r="C1721" s="575">
        <v>5639</v>
      </c>
    </row>
    <row r="1722" spans="1:3">
      <c r="A1722" s="576"/>
      <c r="B1722" s="577"/>
      <c r="C1722" s="575"/>
    </row>
    <row r="1723" spans="1:3">
      <c r="A1723" s="574" t="s">
        <v>1497</v>
      </c>
      <c r="B1723" s="574"/>
      <c r="C1723" s="575">
        <v>5639</v>
      </c>
    </row>
    <row r="1724" spans="1:3">
      <c r="A1724" s="576"/>
      <c r="B1724" s="573"/>
      <c r="C1724" s="575"/>
    </row>
    <row r="1725" spans="1:3">
      <c r="A1725" s="574" t="s">
        <v>870</v>
      </c>
      <c r="B1725" s="578"/>
      <c r="C1725" s="578"/>
    </row>
    <row r="1726" spans="1:3">
      <c r="A1726" s="576" t="s">
        <v>371</v>
      </c>
      <c r="B1726" s="577" t="s">
        <v>671</v>
      </c>
      <c r="C1726" s="575">
        <v>9250</v>
      </c>
    </row>
    <row r="1727" spans="1:3" ht="31.5">
      <c r="A1727" s="576" t="s">
        <v>642</v>
      </c>
      <c r="B1727" s="577" t="s">
        <v>677</v>
      </c>
      <c r="C1727" s="575">
        <v>9250</v>
      </c>
    </row>
    <row r="1728" spans="1:3">
      <c r="A1728" s="574" t="s">
        <v>866</v>
      </c>
      <c r="B1728" s="578"/>
      <c r="C1728" s="575">
        <v>9250</v>
      </c>
    </row>
    <row r="1729" spans="1:3">
      <c r="A1729" s="576"/>
      <c r="B1729" s="577"/>
      <c r="C1729" s="575"/>
    </row>
    <row r="1730" spans="1:3">
      <c r="A1730" s="574" t="s">
        <v>869</v>
      </c>
      <c r="B1730" s="574"/>
      <c r="C1730" s="575">
        <v>9250</v>
      </c>
    </row>
    <row r="1731" spans="1:3" ht="43.5" customHeight="1">
      <c r="A1731" s="574" t="s">
        <v>744</v>
      </c>
      <c r="B1731" s="578"/>
      <c r="C1731" s="578"/>
    </row>
    <row r="1732" spans="1:3">
      <c r="A1732" s="576" t="s">
        <v>371</v>
      </c>
      <c r="B1732" s="577" t="s">
        <v>671</v>
      </c>
      <c r="C1732" s="575">
        <v>5000</v>
      </c>
    </row>
    <row r="1733" spans="1:3">
      <c r="A1733" s="576" t="s">
        <v>685</v>
      </c>
      <c r="B1733" s="577" t="s">
        <v>684</v>
      </c>
      <c r="C1733" s="575">
        <v>5000</v>
      </c>
    </row>
    <row r="1734" spans="1:3">
      <c r="A1734" s="576"/>
      <c r="B1734" s="577"/>
      <c r="C1734" s="575"/>
    </row>
    <row r="1735" spans="1:3">
      <c r="A1735" s="574" t="s">
        <v>866</v>
      </c>
      <c r="B1735" s="578"/>
      <c r="C1735" s="575">
        <v>5000</v>
      </c>
    </row>
    <row r="1736" spans="1:3">
      <c r="A1736" s="574"/>
      <c r="B1736" s="578"/>
      <c r="C1736" s="575"/>
    </row>
    <row r="1737" spans="1:3" ht="31.5">
      <c r="A1737" s="574" t="s">
        <v>957</v>
      </c>
      <c r="B1737" s="574"/>
      <c r="C1737" s="575">
        <v>5000</v>
      </c>
    </row>
    <row r="1738" spans="1:3">
      <c r="A1738" s="576"/>
      <c r="B1738" s="573"/>
      <c r="C1738" s="575"/>
    </row>
    <row r="1739" spans="1:3" ht="31.5">
      <c r="A1739" s="574" t="s">
        <v>868</v>
      </c>
      <c r="B1739" s="574"/>
      <c r="C1739" s="575">
        <v>30350</v>
      </c>
    </row>
    <row r="1740" spans="1:3">
      <c r="A1740" s="576"/>
      <c r="B1740" s="573"/>
      <c r="C1740" s="575"/>
    </row>
    <row r="1741" spans="1:3" ht="31.5">
      <c r="A1741" s="574" t="s">
        <v>867</v>
      </c>
      <c r="B1741" s="574"/>
      <c r="C1741" s="575">
        <v>30350</v>
      </c>
    </row>
    <row r="1742" spans="1:3">
      <c r="A1742" s="576"/>
      <c r="B1742" s="573"/>
      <c r="C1742" s="575"/>
    </row>
    <row r="1743" spans="1:3" ht="31.5">
      <c r="A1743" s="574" t="s">
        <v>1231</v>
      </c>
      <c r="B1743" s="578"/>
      <c r="C1743" s="578"/>
    </row>
    <row r="1744" spans="1:3">
      <c r="A1744" s="574" t="s">
        <v>749</v>
      </c>
      <c r="B1744" s="578"/>
      <c r="C1744" s="578"/>
    </row>
    <row r="1745" spans="1:3">
      <c r="A1745" s="574" t="s">
        <v>978</v>
      </c>
      <c r="B1745" s="578"/>
      <c r="C1745" s="578"/>
    </row>
    <row r="1746" spans="1:3" ht="31.5">
      <c r="A1746" s="576" t="s">
        <v>402</v>
      </c>
      <c r="B1746" s="577" t="s">
        <v>857</v>
      </c>
      <c r="C1746" s="575">
        <v>63000</v>
      </c>
    </row>
    <row r="1747" spans="1:3">
      <c r="A1747" s="574" t="s">
        <v>930</v>
      </c>
      <c r="B1747" s="578"/>
      <c r="C1747" s="575">
        <v>63000</v>
      </c>
    </row>
    <row r="1748" spans="1:3">
      <c r="A1748" s="574"/>
      <c r="B1748" s="578"/>
      <c r="C1748" s="575"/>
    </row>
    <row r="1749" spans="1:3">
      <c r="A1749" s="576" t="s">
        <v>647</v>
      </c>
      <c r="B1749" s="577" t="s">
        <v>688</v>
      </c>
      <c r="C1749" s="575">
        <v>11859</v>
      </c>
    </row>
    <row r="1750" spans="1:3">
      <c r="A1750" s="574" t="s">
        <v>862</v>
      </c>
      <c r="B1750" s="578"/>
      <c r="C1750" s="575">
        <v>11859</v>
      </c>
    </row>
    <row r="1751" spans="1:3">
      <c r="A1751" s="574"/>
      <c r="B1751" s="578"/>
      <c r="C1751" s="575"/>
    </row>
    <row r="1752" spans="1:3">
      <c r="A1752" s="574" t="s">
        <v>977</v>
      </c>
      <c r="B1752" s="574"/>
      <c r="C1752" s="575">
        <v>74859</v>
      </c>
    </row>
    <row r="1753" spans="1:3">
      <c r="A1753" s="576"/>
      <c r="B1753" s="573"/>
      <c r="C1753" s="575"/>
    </row>
    <row r="1754" spans="1:3" ht="39.75" customHeight="1">
      <c r="A1754" s="574" t="s">
        <v>1233</v>
      </c>
      <c r="B1754" s="578"/>
      <c r="C1754" s="578"/>
    </row>
    <row r="1755" spans="1:3" ht="42.75" customHeight="1">
      <c r="A1755" s="576" t="s">
        <v>345</v>
      </c>
      <c r="B1755" s="577" t="s">
        <v>3</v>
      </c>
      <c r="C1755" s="575">
        <v>125850</v>
      </c>
    </row>
    <row r="1756" spans="1:3" ht="42" customHeight="1">
      <c r="A1756" s="576" t="s">
        <v>707</v>
      </c>
      <c r="B1756" s="577" t="s">
        <v>706</v>
      </c>
      <c r="C1756" s="575">
        <v>125850</v>
      </c>
    </row>
    <row r="1757" spans="1:3" ht="22.5" customHeight="1">
      <c r="A1757" s="576" t="s">
        <v>351</v>
      </c>
      <c r="B1757" s="577" t="s">
        <v>668</v>
      </c>
      <c r="C1757" s="575">
        <v>5950</v>
      </c>
    </row>
    <row r="1758" spans="1:3" ht="24.75" customHeight="1">
      <c r="A1758" s="576" t="s">
        <v>670</v>
      </c>
      <c r="B1758" s="577" t="s">
        <v>669</v>
      </c>
      <c r="C1758" s="575">
        <v>2800</v>
      </c>
    </row>
    <row r="1759" spans="1:3" ht="39" customHeight="1">
      <c r="A1759" s="576" t="s">
        <v>1063</v>
      </c>
      <c r="B1759" s="577" t="s">
        <v>1062</v>
      </c>
      <c r="C1759" s="575">
        <v>3150</v>
      </c>
    </row>
    <row r="1760" spans="1:3" ht="26.25" customHeight="1">
      <c r="A1760" s="576" t="s">
        <v>361</v>
      </c>
      <c r="B1760" s="577" t="s">
        <v>712</v>
      </c>
      <c r="C1760" s="575">
        <v>26660</v>
      </c>
    </row>
    <row r="1761" spans="1:3" ht="31.5">
      <c r="A1761" s="576" t="s">
        <v>714</v>
      </c>
      <c r="B1761" s="577" t="s">
        <v>713</v>
      </c>
      <c r="C1761" s="575">
        <v>16370</v>
      </c>
    </row>
    <row r="1762" spans="1:3">
      <c r="A1762" s="576" t="s">
        <v>716</v>
      </c>
      <c r="B1762" s="577" t="s">
        <v>715</v>
      </c>
      <c r="C1762" s="575">
        <v>6510</v>
      </c>
    </row>
    <row r="1763" spans="1:3">
      <c r="A1763" s="576" t="s">
        <v>718</v>
      </c>
      <c r="B1763" s="577" t="s">
        <v>717</v>
      </c>
      <c r="C1763" s="575">
        <v>3780</v>
      </c>
    </row>
    <row r="1764" spans="1:3">
      <c r="A1764" s="576" t="s">
        <v>371</v>
      </c>
      <c r="B1764" s="577" t="s">
        <v>671</v>
      </c>
      <c r="C1764" s="575">
        <v>506732</v>
      </c>
    </row>
    <row r="1765" spans="1:3">
      <c r="A1765" s="576" t="s">
        <v>724</v>
      </c>
      <c r="B1765" s="577" t="s">
        <v>723</v>
      </c>
      <c r="C1765" s="575">
        <v>3600</v>
      </c>
    </row>
    <row r="1766" spans="1:3">
      <c r="A1766" s="576" t="s">
        <v>638</v>
      </c>
      <c r="B1766" s="577" t="s">
        <v>672</v>
      </c>
      <c r="C1766" s="575">
        <v>35700</v>
      </c>
    </row>
    <row r="1767" spans="1:3">
      <c r="A1767" s="576" t="s">
        <v>639</v>
      </c>
      <c r="B1767" s="577" t="s">
        <v>725</v>
      </c>
      <c r="C1767" s="575">
        <v>188500</v>
      </c>
    </row>
    <row r="1768" spans="1:3">
      <c r="A1768" s="576" t="s">
        <v>685</v>
      </c>
      <c r="B1768" s="577" t="s">
        <v>684</v>
      </c>
      <c r="C1768" s="575">
        <v>85932</v>
      </c>
    </row>
    <row r="1769" spans="1:3">
      <c r="A1769" s="576" t="s">
        <v>687</v>
      </c>
      <c r="B1769" s="577" t="s">
        <v>686</v>
      </c>
      <c r="C1769" s="575">
        <v>193000</v>
      </c>
    </row>
    <row r="1770" spans="1:3">
      <c r="A1770" s="576" t="s">
        <v>248</v>
      </c>
      <c r="B1770" s="577" t="s">
        <v>735</v>
      </c>
      <c r="C1770" s="575">
        <v>800</v>
      </c>
    </row>
    <row r="1771" spans="1:3" ht="31.5">
      <c r="A1771" s="576" t="s">
        <v>243</v>
      </c>
      <c r="B1771" s="577" t="s">
        <v>750</v>
      </c>
      <c r="C1771" s="575">
        <v>800</v>
      </c>
    </row>
    <row r="1772" spans="1:3">
      <c r="A1772" s="574" t="s">
        <v>866</v>
      </c>
      <c r="B1772" s="578"/>
      <c r="C1772" s="575">
        <v>665992</v>
      </c>
    </row>
    <row r="1773" spans="1:3">
      <c r="A1773" s="576" t="s">
        <v>647</v>
      </c>
      <c r="B1773" s="577" t="s">
        <v>688</v>
      </c>
      <c r="C1773" s="575">
        <v>7000</v>
      </c>
    </row>
    <row r="1774" spans="1:3">
      <c r="A1774" s="574" t="s">
        <v>862</v>
      </c>
      <c r="B1774" s="578"/>
      <c r="C1774" s="575">
        <v>7000</v>
      </c>
    </row>
    <row r="1775" spans="1:3">
      <c r="A1775" s="576"/>
      <c r="B1775" s="577"/>
      <c r="C1775" s="575"/>
    </row>
    <row r="1776" spans="1:3" ht="31.5">
      <c r="A1776" s="574" t="s">
        <v>865</v>
      </c>
      <c r="B1776" s="574"/>
      <c r="C1776" s="575">
        <v>672992</v>
      </c>
    </row>
    <row r="1777" spans="1:3">
      <c r="A1777" s="574"/>
      <c r="B1777" s="574"/>
      <c r="C1777" s="575"/>
    </row>
    <row r="1778" spans="1:3">
      <c r="A1778" s="574" t="s">
        <v>860</v>
      </c>
      <c r="B1778" s="574"/>
      <c r="C1778" s="575">
        <v>747851</v>
      </c>
    </row>
    <row r="1779" spans="1:3">
      <c r="A1779" s="576"/>
      <c r="B1779" s="573"/>
      <c r="C1779" s="575"/>
    </row>
    <row r="1780" spans="1:3" ht="31.5">
      <c r="A1780" s="574" t="s">
        <v>1234</v>
      </c>
      <c r="B1780" s="574"/>
      <c r="C1780" s="575">
        <v>747851</v>
      </c>
    </row>
    <row r="1781" spans="1:3">
      <c r="A1781" s="576"/>
      <c r="B1781" s="573"/>
      <c r="C1781" s="575"/>
    </row>
    <row r="1782" spans="1:3" s="572" customFormat="1" ht="31.5">
      <c r="A1782" s="574" t="s">
        <v>1496</v>
      </c>
      <c r="B1782" s="573"/>
      <c r="C1782" s="573">
        <v>1352390</v>
      </c>
    </row>
    <row r="1783" spans="1:3">
      <c r="A1783" s="576"/>
      <c r="B1783" s="573"/>
      <c r="C1783" s="575"/>
    </row>
    <row r="1784" spans="1:3" s="572" customFormat="1">
      <c r="A1784" s="574" t="s">
        <v>1495</v>
      </c>
      <c r="B1784" s="573"/>
      <c r="C1784" s="573">
        <f>SUM(C821,C1598,C1782)</f>
        <v>129511121</v>
      </c>
    </row>
    <row r="1787" spans="1:3">
      <c r="A1787" s="155"/>
    </row>
    <row r="1788" spans="1:3">
      <c r="A1788" s="156"/>
    </row>
    <row r="1789" spans="1:3">
      <c r="A1789" s="155"/>
    </row>
    <row r="1790" spans="1:3">
      <c r="A1790" s="157"/>
    </row>
    <row r="1791" spans="1:3">
      <c r="A1791" s="157" t="s">
        <v>1589</v>
      </c>
    </row>
    <row r="1792" spans="1:3">
      <c r="A1792" s="157" t="s">
        <v>1590</v>
      </c>
    </row>
    <row r="1793" spans="1:1">
      <c r="A1793" s="157" t="s">
        <v>1591</v>
      </c>
    </row>
    <row r="1794" spans="1:1">
      <c r="A1794" s="155"/>
    </row>
    <row r="1795" spans="1:1">
      <c r="A1795" s="156"/>
    </row>
    <row r="1796" spans="1:1">
      <c r="A1796" s="155"/>
    </row>
    <row r="1797" spans="1:1">
      <c r="A1797" s="155"/>
    </row>
    <row r="1798" spans="1:1">
      <c r="A1798" s="156"/>
    </row>
    <row r="1799" spans="1:1">
      <c r="A1799" s="156"/>
    </row>
    <row r="1800" spans="1:1">
      <c r="A1800" s="193"/>
    </row>
    <row r="1801" spans="1:1">
      <c r="A1801" s="192"/>
    </row>
    <row r="1802" spans="1:1">
      <c r="A1802" s="192"/>
    </row>
  </sheetData>
  <sheetProtection selectLockedCells="1" selectUnlockedCells="1"/>
  <autoFilter ref="C1:C1791"/>
  <mergeCells count="2">
    <mergeCell ref="A7:C7"/>
    <mergeCell ref="A6:C6"/>
  </mergeCells>
  <pageMargins left="0.70866141732283472" right="0.70866141732283472" top="0.74803149606299213" bottom="0.74803149606299213" header="0.51181102362204722" footer="0.51181102362204722"/>
  <pageSetup paperSize="9" scale="84" firstPageNumber="0" fitToHeight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3:A4"/>
  <sheetViews>
    <sheetView workbookViewId="0">
      <selection activeCell="J30" sqref="J30"/>
    </sheetView>
  </sheetViews>
  <sheetFormatPr defaultRowHeight="15"/>
  <sheetData>
    <row r="3" spans="1:1">
      <c r="A3" t="s">
        <v>1289</v>
      </c>
    </row>
    <row r="4" spans="1:1">
      <c r="A4" t="s">
        <v>1292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FO246"/>
  <sheetViews>
    <sheetView zoomScale="124" zoomScaleNormal="124" workbookViewId="0">
      <pane ySplit="8" topLeftCell="A235" activePane="bottomLeft" state="frozen"/>
      <selection activeCell="I8" sqref="I8"/>
      <selection pane="bottomLeft" activeCell="A237" sqref="A237"/>
    </sheetView>
  </sheetViews>
  <sheetFormatPr defaultColWidth="15.5703125" defaultRowHeight="15.75"/>
  <cols>
    <col min="1" max="1" width="53.42578125" style="202" customWidth="1"/>
    <col min="2" max="2" width="12.5703125" style="203" customWidth="1"/>
    <col min="3" max="3" width="15.5703125" style="203" customWidth="1"/>
    <col min="4" max="4" width="17.7109375" style="203" customWidth="1"/>
    <col min="5" max="5" width="12" style="203" customWidth="1"/>
    <col min="6" max="6" width="14.7109375" style="203" customWidth="1"/>
    <col min="7" max="7" width="10.85546875" style="203" customWidth="1"/>
    <col min="8" max="8" width="16.28515625" style="203" customWidth="1"/>
    <col min="9" max="9" width="12.7109375" style="203" customWidth="1"/>
    <col min="10" max="10" width="15.28515625" style="203" customWidth="1"/>
    <col min="11" max="150" width="29.28515625" style="203" customWidth="1"/>
    <col min="151" max="151" width="42.42578125" style="203" customWidth="1"/>
    <col min="152" max="154" width="12.42578125" style="203" customWidth="1"/>
    <col min="155" max="157" width="10.85546875" style="203" customWidth="1"/>
    <col min="158" max="160" width="14.5703125" style="203" bestFit="1" customWidth="1"/>
    <col min="161" max="163" width="11" style="203" customWidth="1"/>
    <col min="164" max="166" width="14.5703125" style="203" customWidth="1"/>
    <col min="167" max="169" width="15.28515625" style="203" customWidth="1"/>
    <col min="170" max="170" width="15.5703125" style="203"/>
    <col min="171" max="171" width="44.5703125" style="203" customWidth="1"/>
    <col min="172" max="172" width="13.85546875" style="203" customWidth="1"/>
    <col min="173" max="173" width="10.85546875" style="203" customWidth="1"/>
    <col min="174" max="174" width="14.5703125" style="203" customWidth="1"/>
    <col min="175" max="175" width="11" style="203" customWidth="1"/>
    <col min="176" max="176" width="10.85546875" style="203" customWidth="1"/>
    <col min="177" max="177" width="14.5703125" style="203" customWidth="1"/>
    <col min="178" max="179" width="15.5703125" style="203" customWidth="1"/>
    <col min="180" max="180" width="17.7109375" style="203" customWidth="1"/>
    <col min="181" max="406" width="29.28515625" style="203" customWidth="1"/>
    <col min="407" max="407" width="42.42578125" style="203" customWidth="1"/>
    <col min="408" max="410" width="12.42578125" style="203" customWidth="1"/>
    <col min="411" max="413" width="10.85546875" style="203" customWidth="1"/>
    <col min="414" max="416" width="14.5703125" style="203" bestFit="1" customWidth="1"/>
    <col min="417" max="419" width="11" style="203" customWidth="1"/>
    <col min="420" max="422" width="14.5703125" style="203" customWidth="1"/>
    <col min="423" max="425" width="15.28515625" style="203" customWidth="1"/>
    <col min="426" max="426" width="15.5703125" style="203"/>
    <col min="427" max="427" width="44.5703125" style="203" customWidth="1"/>
    <col min="428" max="428" width="13.85546875" style="203" customWidth="1"/>
    <col min="429" max="429" width="10.85546875" style="203" customWidth="1"/>
    <col min="430" max="430" width="14.5703125" style="203" customWidth="1"/>
    <col min="431" max="431" width="11" style="203" customWidth="1"/>
    <col min="432" max="432" width="10.85546875" style="203" customWidth="1"/>
    <col min="433" max="433" width="14.5703125" style="203" customWidth="1"/>
    <col min="434" max="435" width="15.5703125" style="203" customWidth="1"/>
    <col min="436" max="436" width="17.7109375" style="203" customWidth="1"/>
    <col min="437" max="662" width="29.28515625" style="203" customWidth="1"/>
    <col min="663" max="663" width="42.42578125" style="203" customWidth="1"/>
    <col min="664" max="666" width="12.42578125" style="203" customWidth="1"/>
    <col min="667" max="669" width="10.85546875" style="203" customWidth="1"/>
    <col min="670" max="672" width="14.5703125" style="203" bestFit="1" customWidth="1"/>
    <col min="673" max="675" width="11" style="203" customWidth="1"/>
    <col min="676" max="678" width="14.5703125" style="203" customWidth="1"/>
    <col min="679" max="681" width="15.28515625" style="203" customWidth="1"/>
    <col min="682" max="682" width="15.5703125" style="203"/>
    <col min="683" max="683" width="44.5703125" style="203" customWidth="1"/>
    <col min="684" max="684" width="13.85546875" style="203" customWidth="1"/>
    <col min="685" max="685" width="10.85546875" style="203" customWidth="1"/>
    <col min="686" max="686" width="14.5703125" style="203" customWidth="1"/>
    <col min="687" max="687" width="11" style="203" customWidth="1"/>
    <col min="688" max="688" width="10.85546875" style="203" customWidth="1"/>
    <col min="689" max="689" width="14.5703125" style="203" customWidth="1"/>
    <col min="690" max="691" width="15.5703125" style="203" customWidth="1"/>
    <col min="692" max="692" width="17.7109375" style="203" customWidth="1"/>
    <col min="693" max="918" width="29.28515625" style="203" customWidth="1"/>
    <col min="919" max="919" width="42.42578125" style="203" customWidth="1"/>
    <col min="920" max="922" width="12.42578125" style="203" customWidth="1"/>
    <col min="923" max="925" width="10.85546875" style="203" customWidth="1"/>
    <col min="926" max="928" width="14.5703125" style="203" bestFit="1" customWidth="1"/>
    <col min="929" max="931" width="11" style="203" customWidth="1"/>
    <col min="932" max="934" width="14.5703125" style="203" customWidth="1"/>
    <col min="935" max="937" width="15.28515625" style="203" customWidth="1"/>
    <col min="938" max="938" width="15.5703125" style="203"/>
    <col min="939" max="939" width="44.5703125" style="203" customWidth="1"/>
    <col min="940" max="940" width="13.85546875" style="203" customWidth="1"/>
    <col min="941" max="941" width="10.85546875" style="203" customWidth="1"/>
    <col min="942" max="942" width="14.5703125" style="203" customWidth="1"/>
    <col min="943" max="943" width="11" style="203" customWidth="1"/>
    <col min="944" max="944" width="10.85546875" style="203" customWidth="1"/>
    <col min="945" max="945" width="14.5703125" style="203" customWidth="1"/>
    <col min="946" max="947" width="15.5703125" style="203" customWidth="1"/>
    <col min="948" max="948" width="17.7109375" style="203" customWidth="1"/>
    <col min="949" max="1174" width="29.28515625" style="203" customWidth="1"/>
    <col min="1175" max="1175" width="42.42578125" style="203" customWidth="1"/>
    <col min="1176" max="1178" width="12.42578125" style="203" customWidth="1"/>
    <col min="1179" max="1181" width="10.85546875" style="203" customWidth="1"/>
    <col min="1182" max="1184" width="14.5703125" style="203" bestFit="1" customWidth="1"/>
    <col min="1185" max="1187" width="11" style="203" customWidth="1"/>
    <col min="1188" max="1190" width="14.5703125" style="203" customWidth="1"/>
    <col min="1191" max="1193" width="15.28515625" style="203" customWidth="1"/>
    <col min="1194" max="1194" width="15.5703125" style="203"/>
    <col min="1195" max="1195" width="44.5703125" style="203" customWidth="1"/>
    <col min="1196" max="1196" width="13.85546875" style="203" customWidth="1"/>
    <col min="1197" max="1197" width="10.85546875" style="203" customWidth="1"/>
    <col min="1198" max="1198" width="14.5703125" style="203" customWidth="1"/>
    <col min="1199" max="1199" width="11" style="203" customWidth="1"/>
    <col min="1200" max="1200" width="10.85546875" style="203" customWidth="1"/>
    <col min="1201" max="1201" width="14.5703125" style="203" customWidth="1"/>
    <col min="1202" max="1203" width="15.5703125" style="203" customWidth="1"/>
    <col min="1204" max="1204" width="17.7109375" style="203" customWidth="1"/>
    <col min="1205" max="1430" width="29.28515625" style="203" customWidth="1"/>
    <col min="1431" max="1431" width="42.42578125" style="203" customWidth="1"/>
    <col min="1432" max="1434" width="12.42578125" style="203" customWidth="1"/>
    <col min="1435" max="1437" width="10.85546875" style="203" customWidth="1"/>
    <col min="1438" max="1440" width="14.5703125" style="203" bestFit="1" customWidth="1"/>
    <col min="1441" max="1443" width="11" style="203" customWidth="1"/>
    <col min="1444" max="1446" width="14.5703125" style="203" customWidth="1"/>
    <col min="1447" max="1449" width="15.28515625" style="203" customWidth="1"/>
    <col min="1450" max="1450" width="15.5703125" style="203"/>
    <col min="1451" max="1451" width="44.5703125" style="203" customWidth="1"/>
    <col min="1452" max="1452" width="13.85546875" style="203" customWidth="1"/>
    <col min="1453" max="1453" width="10.85546875" style="203" customWidth="1"/>
    <col min="1454" max="1454" width="14.5703125" style="203" customWidth="1"/>
    <col min="1455" max="1455" width="11" style="203" customWidth="1"/>
    <col min="1456" max="1456" width="10.85546875" style="203" customWidth="1"/>
    <col min="1457" max="1457" width="14.5703125" style="203" customWidth="1"/>
    <col min="1458" max="1459" width="15.5703125" style="203" customWidth="1"/>
    <col min="1460" max="1460" width="17.7109375" style="203" customWidth="1"/>
    <col min="1461" max="1686" width="29.28515625" style="203" customWidth="1"/>
    <col min="1687" max="1687" width="42.42578125" style="203" customWidth="1"/>
    <col min="1688" max="1690" width="12.42578125" style="203" customWidth="1"/>
    <col min="1691" max="1693" width="10.85546875" style="203" customWidth="1"/>
    <col min="1694" max="1696" width="14.5703125" style="203" bestFit="1" customWidth="1"/>
    <col min="1697" max="1699" width="11" style="203" customWidth="1"/>
    <col min="1700" max="1702" width="14.5703125" style="203" customWidth="1"/>
    <col min="1703" max="1705" width="15.28515625" style="203" customWidth="1"/>
    <col min="1706" max="1706" width="15.5703125" style="203"/>
    <col min="1707" max="1707" width="44.5703125" style="203" customWidth="1"/>
    <col min="1708" max="1708" width="13.85546875" style="203" customWidth="1"/>
    <col min="1709" max="1709" width="10.85546875" style="203" customWidth="1"/>
    <col min="1710" max="1710" width="14.5703125" style="203" customWidth="1"/>
    <col min="1711" max="1711" width="11" style="203" customWidth="1"/>
    <col min="1712" max="1712" width="10.85546875" style="203" customWidth="1"/>
    <col min="1713" max="1713" width="14.5703125" style="203" customWidth="1"/>
    <col min="1714" max="1715" width="15.5703125" style="203" customWidth="1"/>
    <col min="1716" max="1716" width="17.7109375" style="203" customWidth="1"/>
    <col min="1717" max="1942" width="29.28515625" style="203" customWidth="1"/>
    <col min="1943" max="1943" width="42.42578125" style="203" customWidth="1"/>
    <col min="1944" max="1946" width="12.42578125" style="203" customWidth="1"/>
    <col min="1947" max="1949" width="10.85546875" style="203" customWidth="1"/>
    <col min="1950" max="1952" width="14.5703125" style="203" bestFit="1" customWidth="1"/>
    <col min="1953" max="1955" width="11" style="203" customWidth="1"/>
    <col min="1956" max="1958" width="14.5703125" style="203" customWidth="1"/>
    <col min="1959" max="1961" width="15.28515625" style="203" customWidth="1"/>
    <col min="1962" max="1962" width="15.5703125" style="203"/>
    <col min="1963" max="1963" width="44.5703125" style="203" customWidth="1"/>
    <col min="1964" max="1964" width="13.85546875" style="203" customWidth="1"/>
    <col min="1965" max="1965" width="10.85546875" style="203" customWidth="1"/>
    <col min="1966" max="1966" width="14.5703125" style="203" customWidth="1"/>
    <col min="1967" max="1967" width="11" style="203" customWidth="1"/>
    <col min="1968" max="1968" width="10.85546875" style="203" customWidth="1"/>
    <col min="1969" max="1969" width="14.5703125" style="203" customWidth="1"/>
    <col min="1970" max="1971" width="15.5703125" style="203" customWidth="1"/>
    <col min="1972" max="1972" width="17.7109375" style="203" customWidth="1"/>
    <col min="1973" max="2198" width="29.28515625" style="203" customWidth="1"/>
    <col min="2199" max="2199" width="42.42578125" style="203" customWidth="1"/>
    <col min="2200" max="2202" width="12.42578125" style="203" customWidth="1"/>
    <col min="2203" max="2205" width="10.85546875" style="203" customWidth="1"/>
    <col min="2206" max="2208" width="14.5703125" style="203" bestFit="1" customWidth="1"/>
    <col min="2209" max="2211" width="11" style="203" customWidth="1"/>
    <col min="2212" max="2214" width="14.5703125" style="203" customWidth="1"/>
    <col min="2215" max="2217" width="15.28515625" style="203" customWidth="1"/>
    <col min="2218" max="2218" width="15.5703125" style="203"/>
    <col min="2219" max="2219" width="44.5703125" style="203" customWidth="1"/>
    <col min="2220" max="2220" width="13.85546875" style="203" customWidth="1"/>
    <col min="2221" max="2221" width="10.85546875" style="203" customWidth="1"/>
    <col min="2222" max="2222" width="14.5703125" style="203" customWidth="1"/>
    <col min="2223" max="2223" width="11" style="203" customWidth="1"/>
    <col min="2224" max="2224" width="10.85546875" style="203" customWidth="1"/>
    <col min="2225" max="2225" width="14.5703125" style="203" customWidth="1"/>
    <col min="2226" max="2227" width="15.5703125" style="203" customWidth="1"/>
    <col min="2228" max="2228" width="17.7109375" style="203" customWidth="1"/>
    <col min="2229" max="2454" width="29.28515625" style="203" customWidth="1"/>
    <col min="2455" max="2455" width="42.42578125" style="203" customWidth="1"/>
    <col min="2456" max="2458" width="12.42578125" style="203" customWidth="1"/>
    <col min="2459" max="2461" width="10.85546875" style="203" customWidth="1"/>
    <col min="2462" max="2464" width="14.5703125" style="203" bestFit="1" customWidth="1"/>
    <col min="2465" max="2467" width="11" style="203" customWidth="1"/>
    <col min="2468" max="2470" width="14.5703125" style="203" customWidth="1"/>
    <col min="2471" max="2473" width="15.28515625" style="203" customWidth="1"/>
    <col min="2474" max="2474" width="15.5703125" style="203"/>
    <col min="2475" max="2475" width="44.5703125" style="203" customWidth="1"/>
    <col min="2476" max="2476" width="13.85546875" style="203" customWidth="1"/>
    <col min="2477" max="2477" width="10.85546875" style="203" customWidth="1"/>
    <col min="2478" max="2478" width="14.5703125" style="203" customWidth="1"/>
    <col min="2479" max="2479" width="11" style="203" customWidth="1"/>
    <col min="2480" max="2480" width="10.85546875" style="203" customWidth="1"/>
    <col min="2481" max="2481" width="14.5703125" style="203" customWidth="1"/>
    <col min="2482" max="2483" width="15.5703125" style="203" customWidth="1"/>
    <col min="2484" max="2484" width="17.7109375" style="203" customWidth="1"/>
    <col min="2485" max="2710" width="29.28515625" style="203" customWidth="1"/>
    <col min="2711" max="2711" width="42.42578125" style="203" customWidth="1"/>
    <col min="2712" max="2714" width="12.42578125" style="203" customWidth="1"/>
    <col min="2715" max="2717" width="10.85546875" style="203" customWidth="1"/>
    <col min="2718" max="2720" width="14.5703125" style="203" bestFit="1" customWidth="1"/>
    <col min="2721" max="2723" width="11" style="203" customWidth="1"/>
    <col min="2724" max="2726" width="14.5703125" style="203" customWidth="1"/>
    <col min="2727" max="2729" width="15.28515625" style="203" customWidth="1"/>
    <col min="2730" max="2730" width="15.5703125" style="203"/>
    <col min="2731" max="2731" width="44.5703125" style="203" customWidth="1"/>
    <col min="2732" max="2732" width="13.85546875" style="203" customWidth="1"/>
    <col min="2733" max="2733" width="10.85546875" style="203" customWidth="1"/>
    <col min="2734" max="2734" width="14.5703125" style="203" customWidth="1"/>
    <col min="2735" max="2735" width="11" style="203" customWidth="1"/>
    <col min="2736" max="2736" width="10.85546875" style="203" customWidth="1"/>
    <col min="2737" max="2737" width="14.5703125" style="203" customWidth="1"/>
    <col min="2738" max="2739" width="15.5703125" style="203" customWidth="1"/>
    <col min="2740" max="2740" width="17.7109375" style="203" customWidth="1"/>
    <col min="2741" max="2966" width="29.28515625" style="203" customWidth="1"/>
    <col min="2967" max="2967" width="42.42578125" style="203" customWidth="1"/>
    <col min="2968" max="2970" width="12.42578125" style="203" customWidth="1"/>
    <col min="2971" max="2973" width="10.85546875" style="203" customWidth="1"/>
    <col min="2974" max="2976" width="14.5703125" style="203" bestFit="1" customWidth="1"/>
    <col min="2977" max="2979" width="11" style="203" customWidth="1"/>
    <col min="2980" max="2982" width="14.5703125" style="203" customWidth="1"/>
    <col min="2983" max="2985" width="15.28515625" style="203" customWidth="1"/>
    <col min="2986" max="2986" width="15.5703125" style="203"/>
    <col min="2987" max="2987" width="44.5703125" style="203" customWidth="1"/>
    <col min="2988" max="2988" width="13.85546875" style="203" customWidth="1"/>
    <col min="2989" max="2989" width="10.85546875" style="203" customWidth="1"/>
    <col min="2990" max="2990" width="14.5703125" style="203" customWidth="1"/>
    <col min="2991" max="2991" width="11" style="203" customWidth="1"/>
    <col min="2992" max="2992" width="10.85546875" style="203" customWidth="1"/>
    <col min="2993" max="2993" width="14.5703125" style="203" customWidth="1"/>
    <col min="2994" max="2995" width="15.5703125" style="203" customWidth="1"/>
    <col min="2996" max="2996" width="17.7109375" style="203" customWidth="1"/>
    <col min="2997" max="3222" width="29.28515625" style="203" customWidth="1"/>
    <col min="3223" max="3223" width="42.42578125" style="203" customWidth="1"/>
    <col min="3224" max="3226" width="12.42578125" style="203" customWidth="1"/>
    <col min="3227" max="3229" width="10.85546875" style="203" customWidth="1"/>
    <col min="3230" max="3232" width="14.5703125" style="203" bestFit="1" customWidth="1"/>
    <col min="3233" max="3235" width="11" style="203" customWidth="1"/>
    <col min="3236" max="3238" width="14.5703125" style="203" customWidth="1"/>
    <col min="3239" max="3241" width="15.28515625" style="203" customWidth="1"/>
    <col min="3242" max="3242" width="15.5703125" style="203"/>
    <col min="3243" max="3243" width="44.5703125" style="203" customWidth="1"/>
    <col min="3244" max="3244" width="13.85546875" style="203" customWidth="1"/>
    <col min="3245" max="3245" width="10.85546875" style="203" customWidth="1"/>
    <col min="3246" max="3246" width="14.5703125" style="203" customWidth="1"/>
    <col min="3247" max="3247" width="11" style="203" customWidth="1"/>
    <col min="3248" max="3248" width="10.85546875" style="203" customWidth="1"/>
    <col min="3249" max="3249" width="14.5703125" style="203" customWidth="1"/>
    <col min="3250" max="3251" width="15.5703125" style="203" customWidth="1"/>
    <col min="3252" max="3252" width="17.7109375" style="203" customWidth="1"/>
    <col min="3253" max="3478" width="29.28515625" style="203" customWidth="1"/>
    <col min="3479" max="3479" width="42.42578125" style="203" customWidth="1"/>
    <col min="3480" max="3482" width="12.42578125" style="203" customWidth="1"/>
    <col min="3483" max="3485" width="10.85546875" style="203" customWidth="1"/>
    <col min="3486" max="3488" width="14.5703125" style="203" bestFit="1" customWidth="1"/>
    <col min="3489" max="3491" width="11" style="203" customWidth="1"/>
    <col min="3492" max="3494" width="14.5703125" style="203" customWidth="1"/>
    <col min="3495" max="3497" width="15.28515625" style="203" customWidth="1"/>
    <col min="3498" max="3498" width="15.5703125" style="203"/>
    <col min="3499" max="3499" width="44.5703125" style="203" customWidth="1"/>
    <col min="3500" max="3500" width="13.85546875" style="203" customWidth="1"/>
    <col min="3501" max="3501" width="10.85546875" style="203" customWidth="1"/>
    <col min="3502" max="3502" width="14.5703125" style="203" customWidth="1"/>
    <col min="3503" max="3503" width="11" style="203" customWidth="1"/>
    <col min="3504" max="3504" width="10.85546875" style="203" customWidth="1"/>
    <col min="3505" max="3505" width="14.5703125" style="203" customWidth="1"/>
    <col min="3506" max="3507" width="15.5703125" style="203" customWidth="1"/>
    <col min="3508" max="3508" width="17.7109375" style="203" customWidth="1"/>
    <col min="3509" max="3734" width="29.28515625" style="203" customWidth="1"/>
    <col min="3735" max="3735" width="42.42578125" style="203" customWidth="1"/>
    <col min="3736" max="3738" width="12.42578125" style="203" customWidth="1"/>
    <col min="3739" max="3741" width="10.85546875" style="203" customWidth="1"/>
    <col min="3742" max="3744" width="14.5703125" style="203" bestFit="1" customWidth="1"/>
    <col min="3745" max="3747" width="11" style="203" customWidth="1"/>
    <col min="3748" max="3750" width="14.5703125" style="203" customWidth="1"/>
    <col min="3751" max="3753" width="15.28515625" style="203" customWidth="1"/>
    <col min="3754" max="3754" width="15.5703125" style="203"/>
    <col min="3755" max="3755" width="44.5703125" style="203" customWidth="1"/>
    <col min="3756" max="3756" width="13.85546875" style="203" customWidth="1"/>
    <col min="3757" max="3757" width="10.85546875" style="203" customWidth="1"/>
    <col min="3758" max="3758" width="14.5703125" style="203" customWidth="1"/>
    <col min="3759" max="3759" width="11" style="203" customWidth="1"/>
    <col min="3760" max="3760" width="10.85546875" style="203" customWidth="1"/>
    <col min="3761" max="3761" width="14.5703125" style="203" customWidth="1"/>
    <col min="3762" max="3763" width="15.5703125" style="203" customWidth="1"/>
    <col min="3764" max="3764" width="17.7109375" style="203" customWidth="1"/>
    <col min="3765" max="3990" width="29.28515625" style="203" customWidth="1"/>
    <col min="3991" max="3991" width="42.42578125" style="203" customWidth="1"/>
    <col min="3992" max="3994" width="12.42578125" style="203" customWidth="1"/>
    <col min="3995" max="3997" width="10.85546875" style="203" customWidth="1"/>
    <col min="3998" max="4000" width="14.5703125" style="203" bestFit="1" customWidth="1"/>
    <col min="4001" max="4003" width="11" style="203" customWidth="1"/>
    <col min="4004" max="4006" width="14.5703125" style="203" customWidth="1"/>
    <col min="4007" max="4009" width="15.28515625" style="203" customWidth="1"/>
    <col min="4010" max="4010" width="15.5703125" style="203"/>
    <col min="4011" max="4011" width="44.5703125" style="203" customWidth="1"/>
    <col min="4012" max="4012" width="13.85546875" style="203" customWidth="1"/>
    <col min="4013" max="4013" width="10.85546875" style="203" customWidth="1"/>
    <col min="4014" max="4014" width="14.5703125" style="203" customWidth="1"/>
    <col min="4015" max="4015" width="11" style="203" customWidth="1"/>
    <col min="4016" max="4016" width="10.85546875" style="203" customWidth="1"/>
    <col min="4017" max="4017" width="14.5703125" style="203" customWidth="1"/>
    <col min="4018" max="4019" width="15.5703125" style="203" customWidth="1"/>
    <col min="4020" max="4020" width="17.7109375" style="203" customWidth="1"/>
    <col min="4021" max="4246" width="29.28515625" style="203" customWidth="1"/>
    <col min="4247" max="4247" width="42.42578125" style="203" customWidth="1"/>
    <col min="4248" max="4250" width="12.42578125" style="203" customWidth="1"/>
    <col min="4251" max="4253" width="10.85546875" style="203" customWidth="1"/>
    <col min="4254" max="4256" width="14.5703125" style="203" bestFit="1" customWidth="1"/>
    <col min="4257" max="4259" width="11" style="203" customWidth="1"/>
    <col min="4260" max="4262" width="14.5703125" style="203" customWidth="1"/>
    <col min="4263" max="4265" width="15.28515625" style="203" customWidth="1"/>
    <col min="4266" max="4266" width="15.5703125" style="203"/>
    <col min="4267" max="4267" width="44.5703125" style="203" customWidth="1"/>
    <col min="4268" max="4268" width="13.85546875" style="203" customWidth="1"/>
    <col min="4269" max="4269" width="10.85546875" style="203" customWidth="1"/>
    <col min="4270" max="4270" width="14.5703125" style="203" customWidth="1"/>
    <col min="4271" max="4271" width="11" style="203" customWidth="1"/>
    <col min="4272" max="4272" width="10.85546875" style="203" customWidth="1"/>
    <col min="4273" max="4273" width="14.5703125" style="203" customWidth="1"/>
    <col min="4274" max="4275" width="15.5703125" style="203" customWidth="1"/>
    <col min="4276" max="4276" width="17.7109375" style="203" customWidth="1"/>
    <col min="4277" max="4502" width="29.28515625" style="203" customWidth="1"/>
    <col min="4503" max="4503" width="42.42578125" style="203" customWidth="1"/>
    <col min="4504" max="4506" width="12.42578125" style="203" customWidth="1"/>
    <col min="4507" max="4509" width="10.85546875" style="203" customWidth="1"/>
    <col min="4510" max="4512" width="14.5703125" style="203" bestFit="1" customWidth="1"/>
    <col min="4513" max="4515" width="11" style="203" customWidth="1"/>
    <col min="4516" max="4518" width="14.5703125" style="203" customWidth="1"/>
    <col min="4519" max="4521" width="15.28515625" style="203" customWidth="1"/>
    <col min="4522" max="4522" width="15.5703125" style="203"/>
    <col min="4523" max="4523" width="44.5703125" style="203" customWidth="1"/>
    <col min="4524" max="4524" width="13.85546875" style="203" customWidth="1"/>
    <col min="4525" max="4525" width="10.85546875" style="203" customWidth="1"/>
    <col min="4526" max="4526" width="14.5703125" style="203" customWidth="1"/>
    <col min="4527" max="4527" width="11" style="203" customWidth="1"/>
    <col min="4528" max="4528" width="10.85546875" style="203" customWidth="1"/>
    <col min="4529" max="4529" width="14.5703125" style="203" customWidth="1"/>
    <col min="4530" max="4531" width="15.5703125" style="203" customWidth="1"/>
    <col min="4532" max="4532" width="17.7109375" style="203" customWidth="1"/>
    <col min="4533" max="4758" width="29.28515625" style="203" customWidth="1"/>
    <col min="4759" max="4759" width="42.42578125" style="203" customWidth="1"/>
    <col min="4760" max="4762" width="12.42578125" style="203" customWidth="1"/>
    <col min="4763" max="4765" width="10.85546875" style="203" customWidth="1"/>
    <col min="4766" max="4768" width="14.5703125" style="203" bestFit="1" customWidth="1"/>
    <col min="4769" max="4771" width="11" style="203" customWidth="1"/>
    <col min="4772" max="4774" width="14.5703125" style="203" customWidth="1"/>
    <col min="4775" max="4777" width="15.28515625" style="203" customWidth="1"/>
    <col min="4778" max="4778" width="15.5703125" style="203"/>
    <col min="4779" max="4779" width="44.5703125" style="203" customWidth="1"/>
    <col min="4780" max="4780" width="13.85546875" style="203" customWidth="1"/>
    <col min="4781" max="4781" width="10.85546875" style="203" customWidth="1"/>
    <col min="4782" max="4782" width="14.5703125" style="203" customWidth="1"/>
    <col min="4783" max="4783" width="11" style="203" customWidth="1"/>
    <col min="4784" max="4784" width="10.85546875" style="203" customWidth="1"/>
    <col min="4785" max="4785" width="14.5703125" style="203" customWidth="1"/>
    <col min="4786" max="4787" width="15.5703125" style="203" customWidth="1"/>
    <col min="4788" max="4788" width="17.7109375" style="203" customWidth="1"/>
    <col min="4789" max="5014" width="29.28515625" style="203" customWidth="1"/>
    <col min="5015" max="5015" width="42.42578125" style="203" customWidth="1"/>
    <col min="5016" max="5018" width="12.42578125" style="203" customWidth="1"/>
    <col min="5019" max="5021" width="10.85546875" style="203" customWidth="1"/>
    <col min="5022" max="5024" width="14.5703125" style="203" bestFit="1" customWidth="1"/>
    <col min="5025" max="5027" width="11" style="203" customWidth="1"/>
    <col min="5028" max="5030" width="14.5703125" style="203" customWidth="1"/>
    <col min="5031" max="5033" width="15.28515625" style="203" customWidth="1"/>
    <col min="5034" max="5034" width="15.5703125" style="203"/>
    <col min="5035" max="5035" width="44.5703125" style="203" customWidth="1"/>
    <col min="5036" max="5036" width="13.85546875" style="203" customWidth="1"/>
    <col min="5037" max="5037" width="10.85546875" style="203" customWidth="1"/>
    <col min="5038" max="5038" width="14.5703125" style="203" customWidth="1"/>
    <col min="5039" max="5039" width="11" style="203" customWidth="1"/>
    <col min="5040" max="5040" width="10.85546875" style="203" customWidth="1"/>
    <col min="5041" max="5041" width="14.5703125" style="203" customWidth="1"/>
    <col min="5042" max="5043" width="15.5703125" style="203" customWidth="1"/>
    <col min="5044" max="5044" width="17.7109375" style="203" customWidth="1"/>
    <col min="5045" max="5270" width="29.28515625" style="203" customWidth="1"/>
    <col min="5271" max="5271" width="42.42578125" style="203" customWidth="1"/>
    <col min="5272" max="5274" width="12.42578125" style="203" customWidth="1"/>
    <col min="5275" max="5277" width="10.85546875" style="203" customWidth="1"/>
    <col min="5278" max="5280" width="14.5703125" style="203" bestFit="1" customWidth="1"/>
    <col min="5281" max="5283" width="11" style="203" customWidth="1"/>
    <col min="5284" max="5286" width="14.5703125" style="203" customWidth="1"/>
    <col min="5287" max="5289" width="15.28515625" style="203" customWidth="1"/>
    <col min="5290" max="5290" width="15.5703125" style="203"/>
    <col min="5291" max="5291" width="44.5703125" style="203" customWidth="1"/>
    <col min="5292" max="5292" width="13.85546875" style="203" customWidth="1"/>
    <col min="5293" max="5293" width="10.85546875" style="203" customWidth="1"/>
    <col min="5294" max="5294" width="14.5703125" style="203" customWidth="1"/>
    <col min="5295" max="5295" width="11" style="203" customWidth="1"/>
    <col min="5296" max="5296" width="10.85546875" style="203" customWidth="1"/>
    <col min="5297" max="5297" width="14.5703125" style="203" customWidth="1"/>
    <col min="5298" max="5299" width="15.5703125" style="203" customWidth="1"/>
    <col min="5300" max="5300" width="17.7109375" style="203" customWidth="1"/>
    <col min="5301" max="5526" width="29.28515625" style="203" customWidth="1"/>
    <col min="5527" max="5527" width="42.42578125" style="203" customWidth="1"/>
    <col min="5528" max="5530" width="12.42578125" style="203" customWidth="1"/>
    <col min="5531" max="5533" width="10.85546875" style="203" customWidth="1"/>
    <col min="5534" max="5536" width="14.5703125" style="203" bestFit="1" customWidth="1"/>
    <col min="5537" max="5539" width="11" style="203" customWidth="1"/>
    <col min="5540" max="5542" width="14.5703125" style="203" customWidth="1"/>
    <col min="5543" max="5545" width="15.28515625" style="203" customWidth="1"/>
    <col min="5546" max="5546" width="15.5703125" style="203"/>
    <col min="5547" max="5547" width="44.5703125" style="203" customWidth="1"/>
    <col min="5548" max="5548" width="13.85546875" style="203" customWidth="1"/>
    <col min="5549" max="5549" width="10.85546875" style="203" customWidth="1"/>
    <col min="5550" max="5550" width="14.5703125" style="203" customWidth="1"/>
    <col min="5551" max="5551" width="11" style="203" customWidth="1"/>
    <col min="5552" max="5552" width="10.85546875" style="203" customWidth="1"/>
    <col min="5553" max="5553" width="14.5703125" style="203" customWidth="1"/>
    <col min="5554" max="5555" width="15.5703125" style="203" customWidth="1"/>
    <col min="5556" max="5556" width="17.7109375" style="203" customWidth="1"/>
    <col min="5557" max="5782" width="29.28515625" style="203" customWidth="1"/>
    <col min="5783" max="5783" width="42.42578125" style="203" customWidth="1"/>
    <col min="5784" max="5786" width="12.42578125" style="203" customWidth="1"/>
    <col min="5787" max="5789" width="10.85546875" style="203" customWidth="1"/>
    <col min="5790" max="5792" width="14.5703125" style="203" bestFit="1" customWidth="1"/>
    <col min="5793" max="5795" width="11" style="203" customWidth="1"/>
    <col min="5796" max="5798" width="14.5703125" style="203" customWidth="1"/>
    <col min="5799" max="5801" width="15.28515625" style="203" customWidth="1"/>
    <col min="5802" max="5802" width="15.5703125" style="203"/>
    <col min="5803" max="5803" width="44.5703125" style="203" customWidth="1"/>
    <col min="5804" max="5804" width="13.85546875" style="203" customWidth="1"/>
    <col min="5805" max="5805" width="10.85546875" style="203" customWidth="1"/>
    <col min="5806" max="5806" width="14.5703125" style="203" customWidth="1"/>
    <col min="5807" max="5807" width="11" style="203" customWidth="1"/>
    <col min="5808" max="5808" width="10.85546875" style="203" customWidth="1"/>
    <col min="5809" max="5809" width="14.5703125" style="203" customWidth="1"/>
    <col min="5810" max="5811" width="15.5703125" style="203" customWidth="1"/>
    <col min="5812" max="5812" width="17.7109375" style="203" customWidth="1"/>
    <col min="5813" max="6038" width="29.28515625" style="203" customWidth="1"/>
    <col min="6039" max="6039" width="42.42578125" style="203" customWidth="1"/>
    <col min="6040" max="6042" width="12.42578125" style="203" customWidth="1"/>
    <col min="6043" max="6045" width="10.85546875" style="203" customWidth="1"/>
    <col min="6046" max="6048" width="14.5703125" style="203" bestFit="1" customWidth="1"/>
    <col min="6049" max="6051" width="11" style="203" customWidth="1"/>
    <col min="6052" max="6054" width="14.5703125" style="203" customWidth="1"/>
    <col min="6055" max="6057" width="15.28515625" style="203" customWidth="1"/>
    <col min="6058" max="6058" width="15.5703125" style="203"/>
    <col min="6059" max="6059" width="44.5703125" style="203" customWidth="1"/>
    <col min="6060" max="6060" width="13.85546875" style="203" customWidth="1"/>
    <col min="6061" max="6061" width="10.85546875" style="203" customWidth="1"/>
    <col min="6062" max="6062" width="14.5703125" style="203" customWidth="1"/>
    <col min="6063" max="6063" width="11" style="203" customWidth="1"/>
    <col min="6064" max="6064" width="10.85546875" style="203" customWidth="1"/>
    <col min="6065" max="6065" width="14.5703125" style="203" customWidth="1"/>
    <col min="6066" max="6067" width="15.5703125" style="203" customWidth="1"/>
    <col min="6068" max="6068" width="17.7109375" style="203" customWidth="1"/>
    <col min="6069" max="6294" width="29.28515625" style="203" customWidth="1"/>
    <col min="6295" max="6295" width="42.42578125" style="203" customWidth="1"/>
    <col min="6296" max="6298" width="12.42578125" style="203" customWidth="1"/>
    <col min="6299" max="6301" width="10.85546875" style="203" customWidth="1"/>
    <col min="6302" max="6304" width="14.5703125" style="203" bestFit="1" customWidth="1"/>
    <col min="6305" max="6307" width="11" style="203" customWidth="1"/>
    <col min="6308" max="6310" width="14.5703125" style="203" customWidth="1"/>
    <col min="6311" max="6313" width="15.28515625" style="203" customWidth="1"/>
    <col min="6314" max="6314" width="15.5703125" style="203"/>
    <col min="6315" max="6315" width="44.5703125" style="203" customWidth="1"/>
    <col min="6316" max="6316" width="13.85546875" style="203" customWidth="1"/>
    <col min="6317" max="6317" width="10.85546875" style="203" customWidth="1"/>
    <col min="6318" max="6318" width="14.5703125" style="203" customWidth="1"/>
    <col min="6319" max="6319" width="11" style="203" customWidth="1"/>
    <col min="6320" max="6320" width="10.85546875" style="203" customWidth="1"/>
    <col min="6321" max="6321" width="14.5703125" style="203" customWidth="1"/>
    <col min="6322" max="6323" width="15.5703125" style="203" customWidth="1"/>
    <col min="6324" max="6324" width="17.7109375" style="203" customWidth="1"/>
    <col min="6325" max="6550" width="29.28515625" style="203" customWidth="1"/>
    <col min="6551" max="6551" width="42.42578125" style="203" customWidth="1"/>
    <col min="6552" max="6554" width="12.42578125" style="203" customWidth="1"/>
    <col min="6555" max="6557" width="10.85546875" style="203" customWidth="1"/>
    <col min="6558" max="6560" width="14.5703125" style="203" bestFit="1" customWidth="1"/>
    <col min="6561" max="6563" width="11" style="203" customWidth="1"/>
    <col min="6564" max="6566" width="14.5703125" style="203" customWidth="1"/>
    <col min="6567" max="6569" width="15.28515625" style="203" customWidth="1"/>
    <col min="6570" max="6570" width="15.5703125" style="203"/>
    <col min="6571" max="6571" width="44.5703125" style="203" customWidth="1"/>
    <col min="6572" max="6572" width="13.85546875" style="203" customWidth="1"/>
    <col min="6573" max="6573" width="10.85546875" style="203" customWidth="1"/>
    <col min="6574" max="6574" width="14.5703125" style="203" customWidth="1"/>
    <col min="6575" max="6575" width="11" style="203" customWidth="1"/>
    <col min="6576" max="6576" width="10.85546875" style="203" customWidth="1"/>
    <col min="6577" max="6577" width="14.5703125" style="203" customWidth="1"/>
    <col min="6578" max="6579" width="15.5703125" style="203" customWidth="1"/>
    <col min="6580" max="6580" width="17.7109375" style="203" customWidth="1"/>
    <col min="6581" max="6806" width="29.28515625" style="203" customWidth="1"/>
    <col min="6807" max="6807" width="42.42578125" style="203" customWidth="1"/>
    <col min="6808" max="6810" width="12.42578125" style="203" customWidth="1"/>
    <col min="6811" max="6813" width="10.85546875" style="203" customWidth="1"/>
    <col min="6814" max="6816" width="14.5703125" style="203" bestFit="1" customWidth="1"/>
    <col min="6817" max="6819" width="11" style="203" customWidth="1"/>
    <col min="6820" max="6822" width="14.5703125" style="203" customWidth="1"/>
    <col min="6823" max="6825" width="15.28515625" style="203" customWidth="1"/>
    <col min="6826" max="6826" width="15.5703125" style="203"/>
    <col min="6827" max="6827" width="44.5703125" style="203" customWidth="1"/>
    <col min="6828" max="6828" width="13.85546875" style="203" customWidth="1"/>
    <col min="6829" max="6829" width="10.85546875" style="203" customWidth="1"/>
    <col min="6830" max="6830" width="14.5703125" style="203" customWidth="1"/>
    <col min="6831" max="6831" width="11" style="203" customWidth="1"/>
    <col min="6832" max="6832" width="10.85546875" style="203" customWidth="1"/>
    <col min="6833" max="6833" width="14.5703125" style="203" customWidth="1"/>
    <col min="6834" max="6835" width="15.5703125" style="203" customWidth="1"/>
    <col min="6836" max="6836" width="17.7109375" style="203" customWidth="1"/>
    <col min="6837" max="7062" width="29.28515625" style="203" customWidth="1"/>
    <col min="7063" max="7063" width="42.42578125" style="203" customWidth="1"/>
    <col min="7064" max="7066" width="12.42578125" style="203" customWidth="1"/>
    <col min="7067" max="7069" width="10.85546875" style="203" customWidth="1"/>
    <col min="7070" max="7072" width="14.5703125" style="203" bestFit="1" customWidth="1"/>
    <col min="7073" max="7075" width="11" style="203" customWidth="1"/>
    <col min="7076" max="7078" width="14.5703125" style="203" customWidth="1"/>
    <col min="7079" max="7081" width="15.28515625" style="203" customWidth="1"/>
    <col min="7082" max="7082" width="15.5703125" style="203"/>
    <col min="7083" max="7083" width="44.5703125" style="203" customWidth="1"/>
    <col min="7084" max="7084" width="13.85546875" style="203" customWidth="1"/>
    <col min="7085" max="7085" width="10.85546875" style="203" customWidth="1"/>
    <col min="7086" max="7086" width="14.5703125" style="203" customWidth="1"/>
    <col min="7087" max="7087" width="11" style="203" customWidth="1"/>
    <col min="7088" max="7088" width="10.85546875" style="203" customWidth="1"/>
    <col min="7089" max="7089" width="14.5703125" style="203" customWidth="1"/>
    <col min="7090" max="7091" width="15.5703125" style="203" customWidth="1"/>
    <col min="7092" max="7092" width="17.7109375" style="203" customWidth="1"/>
    <col min="7093" max="7318" width="29.28515625" style="203" customWidth="1"/>
    <col min="7319" max="7319" width="42.42578125" style="203" customWidth="1"/>
    <col min="7320" max="7322" width="12.42578125" style="203" customWidth="1"/>
    <col min="7323" max="7325" width="10.85546875" style="203" customWidth="1"/>
    <col min="7326" max="7328" width="14.5703125" style="203" bestFit="1" customWidth="1"/>
    <col min="7329" max="7331" width="11" style="203" customWidth="1"/>
    <col min="7332" max="7334" width="14.5703125" style="203" customWidth="1"/>
    <col min="7335" max="7337" width="15.28515625" style="203" customWidth="1"/>
    <col min="7338" max="7338" width="15.5703125" style="203"/>
    <col min="7339" max="7339" width="44.5703125" style="203" customWidth="1"/>
    <col min="7340" max="7340" width="13.85546875" style="203" customWidth="1"/>
    <col min="7341" max="7341" width="10.85546875" style="203" customWidth="1"/>
    <col min="7342" max="7342" width="14.5703125" style="203" customWidth="1"/>
    <col min="7343" max="7343" width="11" style="203" customWidth="1"/>
    <col min="7344" max="7344" width="10.85546875" style="203" customWidth="1"/>
    <col min="7345" max="7345" width="14.5703125" style="203" customWidth="1"/>
    <col min="7346" max="7347" width="15.5703125" style="203" customWidth="1"/>
    <col min="7348" max="7348" width="17.7109375" style="203" customWidth="1"/>
    <col min="7349" max="7574" width="29.28515625" style="203" customWidth="1"/>
    <col min="7575" max="7575" width="42.42578125" style="203" customWidth="1"/>
    <col min="7576" max="7578" width="12.42578125" style="203" customWidth="1"/>
    <col min="7579" max="7581" width="10.85546875" style="203" customWidth="1"/>
    <col min="7582" max="7584" width="14.5703125" style="203" bestFit="1" customWidth="1"/>
    <col min="7585" max="7587" width="11" style="203" customWidth="1"/>
    <col min="7588" max="7590" width="14.5703125" style="203" customWidth="1"/>
    <col min="7591" max="7593" width="15.28515625" style="203" customWidth="1"/>
    <col min="7594" max="7594" width="15.5703125" style="203"/>
    <col min="7595" max="7595" width="44.5703125" style="203" customWidth="1"/>
    <col min="7596" max="7596" width="13.85546875" style="203" customWidth="1"/>
    <col min="7597" max="7597" width="10.85546875" style="203" customWidth="1"/>
    <col min="7598" max="7598" width="14.5703125" style="203" customWidth="1"/>
    <col min="7599" max="7599" width="11" style="203" customWidth="1"/>
    <col min="7600" max="7600" width="10.85546875" style="203" customWidth="1"/>
    <col min="7601" max="7601" width="14.5703125" style="203" customWidth="1"/>
    <col min="7602" max="7603" width="15.5703125" style="203" customWidth="1"/>
    <col min="7604" max="7604" width="17.7109375" style="203" customWidth="1"/>
    <col min="7605" max="7830" width="29.28515625" style="203" customWidth="1"/>
    <col min="7831" max="7831" width="42.42578125" style="203" customWidth="1"/>
    <col min="7832" max="7834" width="12.42578125" style="203" customWidth="1"/>
    <col min="7835" max="7837" width="10.85546875" style="203" customWidth="1"/>
    <col min="7838" max="7840" width="14.5703125" style="203" bestFit="1" customWidth="1"/>
    <col min="7841" max="7843" width="11" style="203" customWidth="1"/>
    <col min="7844" max="7846" width="14.5703125" style="203" customWidth="1"/>
    <col min="7847" max="7849" width="15.28515625" style="203" customWidth="1"/>
    <col min="7850" max="7850" width="15.5703125" style="203"/>
    <col min="7851" max="7851" width="44.5703125" style="203" customWidth="1"/>
    <col min="7852" max="7852" width="13.85546875" style="203" customWidth="1"/>
    <col min="7853" max="7853" width="10.85546875" style="203" customWidth="1"/>
    <col min="7854" max="7854" width="14.5703125" style="203" customWidth="1"/>
    <col min="7855" max="7855" width="11" style="203" customWidth="1"/>
    <col min="7856" max="7856" width="10.85546875" style="203" customWidth="1"/>
    <col min="7857" max="7857" width="14.5703125" style="203" customWidth="1"/>
    <col min="7858" max="7859" width="15.5703125" style="203" customWidth="1"/>
    <col min="7860" max="7860" width="17.7109375" style="203" customWidth="1"/>
    <col min="7861" max="8086" width="29.28515625" style="203" customWidth="1"/>
    <col min="8087" max="8087" width="42.42578125" style="203" customWidth="1"/>
    <col min="8088" max="8090" width="12.42578125" style="203" customWidth="1"/>
    <col min="8091" max="8093" width="10.85546875" style="203" customWidth="1"/>
    <col min="8094" max="8096" width="14.5703125" style="203" bestFit="1" customWidth="1"/>
    <col min="8097" max="8099" width="11" style="203" customWidth="1"/>
    <col min="8100" max="8102" width="14.5703125" style="203" customWidth="1"/>
    <col min="8103" max="8105" width="15.28515625" style="203" customWidth="1"/>
    <col min="8106" max="8106" width="15.5703125" style="203"/>
    <col min="8107" max="8107" width="44.5703125" style="203" customWidth="1"/>
    <col min="8108" max="8108" width="13.85546875" style="203" customWidth="1"/>
    <col min="8109" max="8109" width="10.85546875" style="203" customWidth="1"/>
    <col min="8110" max="8110" width="14.5703125" style="203" customWidth="1"/>
    <col min="8111" max="8111" width="11" style="203" customWidth="1"/>
    <col min="8112" max="8112" width="10.85546875" style="203" customWidth="1"/>
    <col min="8113" max="8113" width="14.5703125" style="203" customWidth="1"/>
    <col min="8114" max="8115" width="15.5703125" style="203" customWidth="1"/>
    <col min="8116" max="8116" width="17.7109375" style="203" customWidth="1"/>
    <col min="8117" max="8342" width="29.28515625" style="203" customWidth="1"/>
    <col min="8343" max="8343" width="42.42578125" style="203" customWidth="1"/>
    <col min="8344" max="8346" width="12.42578125" style="203" customWidth="1"/>
    <col min="8347" max="8349" width="10.85546875" style="203" customWidth="1"/>
    <col min="8350" max="8352" width="14.5703125" style="203" bestFit="1" customWidth="1"/>
    <col min="8353" max="8355" width="11" style="203" customWidth="1"/>
    <col min="8356" max="8358" width="14.5703125" style="203" customWidth="1"/>
    <col min="8359" max="8361" width="15.28515625" style="203" customWidth="1"/>
    <col min="8362" max="8362" width="15.5703125" style="203"/>
    <col min="8363" max="8363" width="44.5703125" style="203" customWidth="1"/>
    <col min="8364" max="8364" width="13.85546875" style="203" customWidth="1"/>
    <col min="8365" max="8365" width="10.85546875" style="203" customWidth="1"/>
    <col min="8366" max="8366" width="14.5703125" style="203" customWidth="1"/>
    <col min="8367" max="8367" width="11" style="203" customWidth="1"/>
    <col min="8368" max="8368" width="10.85546875" style="203" customWidth="1"/>
    <col min="8369" max="8369" width="14.5703125" style="203" customWidth="1"/>
    <col min="8370" max="8371" width="15.5703125" style="203" customWidth="1"/>
    <col min="8372" max="8372" width="17.7109375" style="203" customWidth="1"/>
    <col min="8373" max="8598" width="29.28515625" style="203" customWidth="1"/>
    <col min="8599" max="8599" width="42.42578125" style="203" customWidth="1"/>
    <col min="8600" max="8602" width="12.42578125" style="203" customWidth="1"/>
    <col min="8603" max="8605" width="10.85546875" style="203" customWidth="1"/>
    <col min="8606" max="8608" width="14.5703125" style="203" bestFit="1" customWidth="1"/>
    <col min="8609" max="8611" width="11" style="203" customWidth="1"/>
    <col min="8612" max="8614" width="14.5703125" style="203" customWidth="1"/>
    <col min="8615" max="8617" width="15.28515625" style="203" customWidth="1"/>
    <col min="8618" max="8618" width="15.5703125" style="203"/>
    <col min="8619" max="8619" width="44.5703125" style="203" customWidth="1"/>
    <col min="8620" max="8620" width="13.85546875" style="203" customWidth="1"/>
    <col min="8621" max="8621" width="10.85546875" style="203" customWidth="1"/>
    <col min="8622" max="8622" width="14.5703125" style="203" customWidth="1"/>
    <col min="8623" max="8623" width="11" style="203" customWidth="1"/>
    <col min="8624" max="8624" width="10.85546875" style="203" customWidth="1"/>
    <col min="8625" max="8625" width="14.5703125" style="203" customWidth="1"/>
    <col min="8626" max="8627" width="15.5703125" style="203" customWidth="1"/>
    <col min="8628" max="8628" width="17.7109375" style="203" customWidth="1"/>
    <col min="8629" max="8854" width="29.28515625" style="203" customWidth="1"/>
    <col min="8855" max="8855" width="42.42578125" style="203" customWidth="1"/>
    <col min="8856" max="8858" width="12.42578125" style="203" customWidth="1"/>
    <col min="8859" max="8861" width="10.85546875" style="203" customWidth="1"/>
    <col min="8862" max="8864" width="14.5703125" style="203" bestFit="1" customWidth="1"/>
    <col min="8865" max="8867" width="11" style="203" customWidth="1"/>
    <col min="8868" max="8870" width="14.5703125" style="203" customWidth="1"/>
    <col min="8871" max="8873" width="15.28515625" style="203" customWidth="1"/>
    <col min="8874" max="8874" width="15.5703125" style="203"/>
    <col min="8875" max="8875" width="44.5703125" style="203" customWidth="1"/>
    <col min="8876" max="8876" width="13.85546875" style="203" customWidth="1"/>
    <col min="8877" max="8877" width="10.85546875" style="203" customWidth="1"/>
    <col min="8878" max="8878" width="14.5703125" style="203" customWidth="1"/>
    <col min="8879" max="8879" width="11" style="203" customWidth="1"/>
    <col min="8880" max="8880" width="10.85546875" style="203" customWidth="1"/>
    <col min="8881" max="8881" width="14.5703125" style="203" customWidth="1"/>
    <col min="8882" max="8883" width="15.5703125" style="203" customWidth="1"/>
    <col min="8884" max="8884" width="17.7109375" style="203" customWidth="1"/>
    <col min="8885" max="9110" width="29.28515625" style="203" customWidth="1"/>
    <col min="9111" max="9111" width="42.42578125" style="203" customWidth="1"/>
    <col min="9112" max="9114" width="12.42578125" style="203" customWidth="1"/>
    <col min="9115" max="9117" width="10.85546875" style="203" customWidth="1"/>
    <col min="9118" max="9120" width="14.5703125" style="203" bestFit="1" customWidth="1"/>
    <col min="9121" max="9123" width="11" style="203" customWidth="1"/>
    <col min="9124" max="9126" width="14.5703125" style="203" customWidth="1"/>
    <col min="9127" max="9129" width="15.28515625" style="203" customWidth="1"/>
    <col min="9130" max="9130" width="15.5703125" style="203"/>
    <col min="9131" max="9131" width="44.5703125" style="203" customWidth="1"/>
    <col min="9132" max="9132" width="13.85546875" style="203" customWidth="1"/>
    <col min="9133" max="9133" width="10.85546875" style="203" customWidth="1"/>
    <col min="9134" max="9134" width="14.5703125" style="203" customWidth="1"/>
    <col min="9135" max="9135" width="11" style="203" customWidth="1"/>
    <col min="9136" max="9136" width="10.85546875" style="203" customWidth="1"/>
    <col min="9137" max="9137" width="14.5703125" style="203" customWidth="1"/>
    <col min="9138" max="9139" width="15.5703125" style="203" customWidth="1"/>
    <col min="9140" max="9140" width="17.7109375" style="203" customWidth="1"/>
    <col min="9141" max="9366" width="29.28515625" style="203" customWidth="1"/>
    <col min="9367" max="9367" width="42.42578125" style="203" customWidth="1"/>
    <col min="9368" max="9370" width="12.42578125" style="203" customWidth="1"/>
    <col min="9371" max="9373" width="10.85546875" style="203" customWidth="1"/>
    <col min="9374" max="9376" width="14.5703125" style="203" bestFit="1" customWidth="1"/>
    <col min="9377" max="9379" width="11" style="203" customWidth="1"/>
    <col min="9380" max="9382" width="14.5703125" style="203" customWidth="1"/>
    <col min="9383" max="9385" width="15.28515625" style="203" customWidth="1"/>
    <col min="9386" max="9386" width="15.5703125" style="203"/>
    <col min="9387" max="9387" width="44.5703125" style="203" customWidth="1"/>
    <col min="9388" max="9388" width="13.85546875" style="203" customWidth="1"/>
    <col min="9389" max="9389" width="10.85546875" style="203" customWidth="1"/>
    <col min="9390" max="9390" width="14.5703125" style="203" customWidth="1"/>
    <col min="9391" max="9391" width="11" style="203" customWidth="1"/>
    <col min="9392" max="9392" width="10.85546875" style="203" customWidth="1"/>
    <col min="9393" max="9393" width="14.5703125" style="203" customWidth="1"/>
    <col min="9394" max="9395" width="15.5703125" style="203" customWidth="1"/>
    <col min="9396" max="9396" width="17.7109375" style="203" customWidth="1"/>
    <col min="9397" max="9622" width="29.28515625" style="203" customWidth="1"/>
    <col min="9623" max="9623" width="42.42578125" style="203" customWidth="1"/>
    <col min="9624" max="9626" width="12.42578125" style="203" customWidth="1"/>
    <col min="9627" max="9629" width="10.85546875" style="203" customWidth="1"/>
    <col min="9630" max="9632" width="14.5703125" style="203" bestFit="1" customWidth="1"/>
    <col min="9633" max="9635" width="11" style="203" customWidth="1"/>
    <col min="9636" max="9638" width="14.5703125" style="203" customWidth="1"/>
    <col min="9639" max="9641" width="15.28515625" style="203" customWidth="1"/>
    <col min="9642" max="9642" width="15.5703125" style="203"/>
    <col min="9643" max="9643" width="44.5703125" style="203" customWidth="1"/>
    <col min="9644" max="9644" width="13.85546875" style="203" customWidth="1"/>
    <col min="9645" max="9645" width="10.85546875" style="203" customWidth="1"/>
    <col min="9646" max="9646" width="14.5703125" style="203" customWidth="1"/>
    <col min="9647" max="9647" width="11" style="203" customWidth="1"/>
    <col min="9648" max="9648" width="10.85546875" style="203" customWidth="1"/>
    <col min="9649" max="9649" width="14.5703125" style="203" customWidth="1"/>
    <col min="9650" max="9651" width="15.5703125" style="203" customWidth="1"/>
    <col min="9652" max="9652" width="17.7109375" style="203" customWidth="1"/>
    <col min="9653" max="9878" width="29.28515625" style="203" customWidth="1"/>
    <col min="9879" max="9879" width="42.42578125" style="203" customWidth="1"/>
    <col min="9880" max="9882" width="12.42578125" style="203" customWidth="1"/>
    <col min="9883" max="9885" width="10.85546875" style="203" customWidth="1"/>
    <col min="9886" max="9888" width="14.5703125" style="203" bestFit="1" customWidth="1"/>
    <col min="9889" max="9891" width="11" style="203" customWidth="1"/>
    <col min="9892" max="9894" width="14.5703125" style="203" customWidth="1"/>
    <col min="9895" max="9897" width="15.28515625" style="203" customWidth="1"/>
    <col min="9898" max="9898" width="15.5703125" style="203"/>
    <col min="9899" max="9899" width="44.5703125" style="203" customWidth="1"/>
    <col min="9900" max="9900" width="13.85546875" style="203" customWidth="1"/>
    <col min="9901" max="9901" width="10.85546875" style="203" customWidth="1"/>
    <col min="9902" max="9902" width="14.5703125" style="203" customWidth="1"/>
    <col min="9903" max="9903" width="11" style="203" customWidth="1"/>
    <col min="9904" max="9904" width="10.85546875" style="203" customWidth="1"/>
    <col min="9905" max="9905" width="14.5703125" style="203" customWidth="1"/>
    <col min="9906" max="9907" width="15.5703125" style="203" customWidth="1"/>
    <col min="9908" max="9908" width="17.7109375" style="203" customWidth="1"/>
    <col min="9909" max="10134" width="29.28515625" style="203" customWidth="1"/>
    <col min="10135" max="10135" width="42.42578125" style="203" customWidth="1"/>
    <col min="10136" max="10138" width="12.42578125" style="203" customWidth="1"/>
    <col min="10139" max="10141" width="10.85546875" style="203" customWidth="1"/>
    <col min="10142" max="10144" width="14.5703125" style="203" bestFit="1" customWidth="1"/>
    <col min="10145" max="10147" width="11" style="203" customWidth="1"/>
    <col min="10148" max="10150" width="14.5703125" style="203" customWidth="1"/>
    <col min="10151" max="10153" width="15.28515625" style="203" customWidth="1"/>
    <col min="10154" max="10154" width="15.5703125" style="203"/>
    <col min="10155" max="10155" width="44.5703125" style="203" customWidth="1"/>
    <col min="10156" max="10156" width="13.85546875" style="203" customWidth="1"/>
    <col min="10157" max="10157" width="10.85546875" style="203" customWidth="1"/>
    <col min="10158" max="10158" width="14.5703125" style="203" customWidth="1"/>
    <col min="10159" max="10159" width="11" style="203" customWidth="1"/>
    <col min="10160" max="10160" width="10.85546875" style="203" customWidth="1"/>
    <col min="10161" max="10161" width="14.5703125" style="203" customWidth="1"/>
    <col min="10162" max="10163" width="15.5703125" style="203" customWidth="1"/>
    <col min="10164" max="10164" width="17.7109375" style="203" customWidth="1"/>
    <col min="10165" max="10390" width="29.28515625" style="203" customWidth="1"/>
    <col min="10391" max="10391" width="42.42578125" style="203" customWidth="1"/>
    <col min="10392" max="10394" width="12.42578125" style="203" customWidth="1"/>
    <col min="10395" max="10397" width="10.85546875" style="203" customWidth="1"/>
    <col min="10398" max="10400" width="14.5703125" style="203" bestFit="1" customWidth="1"/>
    <col min="10401" max="10403" width="11" style="203" customWidth="1"/>
    <col min="10404" max="10406" width="14.5703125" style="203" customWidth="1"/>
    <col min="10407" max="10409" width="15.28515625" style="203" customWidth="1"/>
    <col min="10410" max="10410" width="15.5703125" style="203"/>
    <col min="10411" max="10411" width="44.5703125" style="203" customWidth="1"/>
    <col min="10412" max="10412" width="13.85546875" style="203" customWidth="1"/>
    <col min="10413" max="10413" width="10.85546875" style="203" customWidth="1"/>
    <col min="10414" max="10414" width="14.5703125" style="203" customWidth="1"/>
    <col min="10415" max="10415" width="11" style="203" customWidth="1"/>
    <col min="10416" max="10416" width="10.85546875" style="203" customWidth="1"/>
    <col min="10417" max="10417" width="14.5703125" style="203" customWidth="1"/>
    <col min="10418" max="10419" width="15.5703125" style="203" customWidth="1"/>
    <col min="10420" max="10420" width="17.7109375" style="203" customWidth="1"/>
    <col min="10421" max="10646" width="29.28515625" style="203" customWidth="1"/>
    <col min="10647" max="10647" width="42.42578125" style="203" customWidth="1"/>
    <col min="10648" max="10650" width="12.42578125" style="203" customWidth="1"/>
    <col min="10651" max="10653" width="10.85546875" style="203" customWidth="1"/>
    <col min="10654" max="10656" width="14.5703125" style="203" bestFit="1" customWidth="1"/>
    <col min="10657" max="10659" width="11" style="203" customWidth="1"/>
    <col min="10660" max="10662" width="14.5703125" style="203" customWidth="1"/>
    <col min="10663" max="10665" width="15.28515625" style="203" customWidth="1"/>
    <col min="10666" max="10666" width="15.5703125" style="203"/>
    <col min="10667" max="10667" width="44.5703125" style="203" customWidth="1"/>
    <col min="10668" max="10668" width="13.85546875" style="203" customWidth="1"/>
    <col min="10669" max="10669" width="10.85546875" style="203" customWidth="1"/>
    <col min="10670" max="10670" width="14.5703125" style="203" customWidth="1"/>
    <col min="10671" max="10671" width="11" style="203" customWidth="1"/>
    <col min="10672" max="10672" width="10.85546875" style="203" customWidth="1"/>
    <col min="10673" max="10673" width="14.5703125" style="203" customWidth="1"/>
    <col min="10674" max="10675" width="15.5703125" style="203" customWidth="1"/>
    <col min="10676" max="10676" width="17.7109375" style="203" customWidth="1"/>
    <col min="10677" max="10902" width="29.28515625" style="203" customWidth="1"/>
    <col min="10903" max="10903" width="42.42578125" style="203" customWidth="1"/>
    <col min="10904" max="10906" width="12.42578125" style="203" customWidth="1"/>
    <col min="10907" max="10909" width="10.85546875" style="203" customWidth="1"/>
    <col min="10910" max="10912" width="14.5703125" style="203" bestFit="1" customWidth="1"/>
    <col min="10913" max="10915" width="11" style="203" customWidth="1"/>
    <col min="10916" max="10918" width="14.5703125" style="203" customWidth="1"/>
    <col min="10919" max="10921" width="15.28515625" style="203" customWidth="1"/>
    <col min="10922" max="10922" width="15.5703125" style="203"/>
    <col min="10923" max="10923" width="44.5703125" style="203" customWidth="1"/>
    <col min="10924" max="10924" width="13.85546875" style="203" customWidth="1"/>
    <col min="10925" max="10925" width="10.85546875" style="203" customWidth="1"/>
    <col min="10926" max="10926" width="14.5703125" style="203" customWidth="1"/>
    <col min="10927" max="10927" width="11" style="203" customWidth="1"/>
    <col min="10928" max="10928" width="10.85546875" style="203" customWidth="1"/>
    <col min="10929" max="10929" width="14.5703125" style="203" customWidth="1"/>
    <col min="10930" max="10931" width="15.5703125" style="203" customWidth="1"/>
    <col min="10932" max="10932" width="17.7109375" style="203" customWidth="1"/>
    <col min="10933" max="11158" width="29.28515625" style="203" customWidth="1"/>
    <col min="11159" max="11159" width="42.42578125" style="203" customWidth="1"/>
    <col min="11160" max="11162" width="12.42578125" style="203" customWidth="1"/>
    <col min="11163" max="11165" width="10.85546875" style="203" customWidth="1"/>
    <col min="11166" max="11168" width="14.5703125" style="203" bestFit="1" customWidth="1"/>
    <col min="11169" max="11171" width="11" style="203" customWidth="1"/>
    <col min="11172" max="11174" width="14.5703125" style="203" customWidth="1"/>
    <col min="11175" max="11177" width="15.28515625" style="203" customWidth="1"/>
    <col min="11178" max="11178" width="15.5703125" style="203"/>
    <col min="11179" max="11179" width="44.5703125" style="203" customWidth="1"/>
    <col min="11180" max="11180" width="13.85546875" style="203" customWidth="1"/>
    <col min="11181" max="11181" width="10.85546875" style="203" customWidth="1"/>
    <col min="11182" max="11182" width="14.5703125" style="203" customWidth="1"/>
    <col min="11183" max="11183" width="11" style="203" customWidth="1"/>
    <col min="11184" max="11184" width="10.85546875" style="203" customWidth="1"/>
    <col min="11185" max="11185" width="14.5703125" style="203" customWidth="1"/>
    <col min="11186" max="11187" width="15.5703125" style="203" customWidth="1"/>
    <col min="11188" max="11188" width="17.7109375" style="203" customWidth="1"/>
    <col min="11189" max="11414" width="29.28515625" style="203" customWidth="1"/>
    <col min="11415" max="11415" width="42.42578125" style="203" customWidth="1"/>
    <col min="11416" max="11418" width="12.42578125" style="203" customWidth="1"/>
    <col min="11419" max="11421" width="10.85546875" style="203" customWidth="1"/>
    <col min="11422" max="11424" width="14.5703125" style="203" bestFit="1" customWidth="1"/>
    <col min="11425" max="11427" width="11" style="203" customWidth="1"/>
    <col min="11428" max="11430" width="14.5703125" style="203" customWidth="1"/>
    <col min="11431" max="11433" width="15.28515625" style="203" customWidth="1"/>
    <col min="11434" max="11434" width="15.5703125" style="203"/>
    <col min="11435" max="11435" width="44.5703125" style="203" customWidth="1"/>
    <col min="11436" max="11436" width="13.85546875" style="203" customWidth="1"/>
    <col min="11437" max="11437" width="10.85546875" style="203" customWidth="1"/>
    <col min="11438" max="11438" width="14.5703125" style="203" customWidth="1"/>
    <col min="11439" max="11439" width="11" style="203" customWidth="1"/>
    <col min="11440" max="11440" width="10.85546875" style="203" customWidth="1"/>
    <col min="11441" max="11441" width="14.5703125" style="203" customWidth="1"/>
    <col min="11442" max="11443" width="15.5703125" style="203" customWidth="1"/>
    <col min="11444" max="11444" width="17.7109375" style="203" customWidth="1"/>
    <col min="11445" max="11670" width="29.28515625" style="203" customWidth="1"/>
    <col min="11671" max="11671" width="42.42578125" style="203" customWidth="1"/>
    <col min="11672" max="11674" width="12.42578125" style="203" customWidth="1"/>
    <col min="11675" max="11677" width="10.85546875" style="203" customWidth="1"/>
    <col min="11678" max="11680" width="14.5703125" style="203" bestFit="1" customWidth="1"/>
    <col min="11681" max="11683" width="11" style="203" customWidth="1"/>
    <col min="11684" max="11686" width="14.5703125" style="203" customWidth="1"/>
    <col min="11687" max="11689" width="15.28515625" style="203" customWidth="1"/>
    <col min="11690" max="11690" width="15.5703125" style="203"/>
    <col min="11691" max="11691" width="44.5703125" style="203" customWidth="1"/>
    <col min="11692" max="11692" width="13.85546875" style="203" customWidth="1"/>
    <col min="11693" max="11693" width="10.85546875" style="203" customWidth="1"/>
    <col min="11694" max="11694" width="14.5703125" style="203" customWidth="1"/>
    <col min="11695" max="11695" width="11" style="203" customWidth="1"/>
    <col min="11696" max="11696" width="10.85546875" style="203" customWidth="1"/>
    <col min="11697" max="11697" width="14.5703125" style="203" customWidth="1"/>
    <col min="11698" max="11699" width="15.5703125" style="203" customWidth="1"/>
    <col min="11700" max="11700" width="17.7109375" style="203" customWidth="1"/>
    <col min="11701" max="11926" width="29.28515625" style="203" customWidth="1"/>
    <col min="11927" max="11927" width="42.42578125" style="203" customWidth="1"/>
    <col min="11928" max="11930" width="12.42578125" style="203" customWidth="1"/>
    <col min="11931" max="11933" width="10.85546875" style="203" customWidth="1"/>
    <col min="11934" max="11936" width="14.5703125" style="203" bestFit="1" customWidth="1"/>
    <col min="11937" max="11939" width="11" style="203" customWidth="1"/>
    <col min="11940" max="11942" width="14.5703125" style="203" customWidth="1"/>
    <col min="11943" max="11945" width="15.28515625" style="203" customWidth="1"/>
    <col min="11946" max="11946" width="15.5703125" style="203"/>
    <col min="11947" max="11947" width="44.5703125" style="203" customWidth="1"/>
    <col min="11948" max="11948" width="13.85546875" style="203" customWidth="1"/>
    <col min="11949" max="11949" width="10.85546875" style="203" customWidth="1"/>
    <col min="11950" max="11950" width="14.5703125" style="203" customWidth="1"/>
    <col min="11951" max="11951" width="11" style="203" customWidth="1"/>
    <col min="11952" max="11952" width="10.85546875" style="203" customWidth="1"/>
    <col min="11953" max="11953" width="14.5703125" style="203" customWidth="1"/>
    <col min="11954" max="11955" width="15.5703125" style="203" customWidth="1"/>
    <col min="11956" max="11956" width="17.7109375" style="203" customWidth="1"/>
    <col min="11957" max="12182" width="29.28515625" style="203" customWidth="1"/>
    <col min="12183" max="12183" width="42.42578125" style="203" customWidth="1"/>
    <col min="12184" max="12186" width="12.42578125" style="203" customWidth="1"/>
    <col min="12187" max="12189" width="10.85546875" style="203" customWidth="1"/>
    <col min="12190" max="12192" width="14.5703125" style="203" bestFit="1" customWidth="1"/>
    <col min="12193" max="12195" width="11" style="203" customWidth="1"/>
    <col min="12196" max="12198" width="14.5703125" style="203" customWidth="1"/>
    <col min="12199" max="12201" width="15.28515625" style="203" customWidth="1"/>
    <col min="12202" max="12202" width="15.5703125" style="203"/>
    <col min="12203" max="12203" width="44.5703125" style="203" customWidth="1"/>
    <col min="12204" max="12204" width="13.85546875" style="203" customWidth="1"/>
    <col min="12205" max="12205" width="10.85546875" style="203" customWidth="1"/>
    <col min="12206" max="12206" width="14.5703125" style="203" customWidth="1"/>
    <col min="12207" max="12207" width="11" style="203" customWidth="1"/>
    <col min="12208" max="12208" width="10.85546875" style="203" customWidth="1"/>
    <col min="12209" max="12209" width="14.5703125" style="203" customWidth="1"/>
    <col min="12210" max="12211" width="15.5703125" style="203" customWidth="1"/>
    <col min="12212" max="12212" width="17.7109375" style="203" customWidth="1"/>
    <col min="12213" max="12438" width="29.28515625" style="203" customWidth="1"/>
    <col min="12439" max="12439" width="42.42578125" style="203" customWidth="1"/>
    <col min="12440" max="12442" width="12.42578125" style="203" customWidth="1"/>
    <col min="12443" max="12445" width="10.85546875" style="203" customWidth="1"/>
    <col min="12446" max="12448" width="14.5703125" style="203" bestFit="1" customWidth="1"/>
    <col min="12449" max="12451" width="11" style="203" customWidth="1"/>
    <col min="12452" max="12454" width="14.5703125" style="203" customWidth="1"/>
    <col min="12455" max="12457" width="15.28515625" style="203" customWidth="1"/>
    <col min="12458" max="12458" width="15.5703125" style="203"/>
    <col min="12459" max="12459" width="44.5703125" style="203" customWidth="1"/>
    <col min="12460" max="12460" width="13.85546875" style="203" customWidth="1"/>
    <col min="12461" max="12461" width="10.85546875" style="203" customWidth="1"/>
    <col min="12462" max="12462" width="14.5703125" style="203" customWidth="1"/>
    <col min="12463" max="12463" width="11" style="203" customWidth="1"/>
    <col min="12464" max="12464" width="10.85546875" style="203" customWidth="1"/>
    <col min="12465" max="12465" width="14.5703125" style="203" customWidth="1"/>
    <col min="12466" max="12467" width="15.5703125" style="203" customWidth="1"/>
    <col min="12468" max="12468" width="17.7109375" style="203" customWidth="1"/>
    <col min="12469" max="12694" width="29.28515625" style="203" customWidth="1"/>
    <col min="12695" max="12695" width="42.42578125" style="203" customWidth="1"/>
    <col min="12696" max="12698" width="12.42578125" style="203" customWidth="1"/>
    <col min="12699" max="12701" width="10.85546875" style="203" customWidth="1"/>
    <col min="12702" max="12704" width="14.5703125" style="203" bestFit="1" customWidth="1"/>
    <col min="12705" max="12707" width="11" style="203" customWidth="1"/>
    <col min="12708" max="12710" width="14.5703125" style="203" customWidth="1"/>
    <col min="12711" max="12713" width="15.28515625" style="203" customWidth="1"/>
    <col min="12714" max="12714" width="15.5703125" style="203"/>
    <col min="12715" max="12715" width="44.5703125" style="203" customWidth="1"/>
    <col min="12716" max="12716" width="13.85546875" style="203" customWidth="1"/>
    <col min="12717" max="12717" width="10.85546875" style="203" customWidth="1"/>
    <col min="12718" max="12718" width="14.5703125" style="203" customWidth="1"/>
    <col min="12719" max="12719" width="11" style="203" customWidth="1"/>
    <col min="12720" max="12720" width="10.85546875" style="203" customWidth="1"/>
    <col min="12721" max="12721" width="14.5703125" style="203" customWidth="1"/>
    <col min="12722" max="12723" width="15.5703125" style="203" customWidth="1"/>
    <col min="12724" max="12724" width="17.7109375" style="203" customWidth="1"/>
    <col min="12725" max="12950" width="29.28515625" style="203" customWidth="1"/>
    <col min="12951" max="12951" width="42.42578125" style="203" customWidth="1"/>
    <col min="12952" max="12954" width="12.42578125" style="203" customWidth="1"/>
    <col min="12955" max="12957" width="10.85546875" style="203" customWidth="1"/>
    <col min="12958" max="12960" width="14.5703125" style="203" bestFit="1" customWidth="1"/>
    <col min="12961" max="12963" width="11" style="203" customWidth="1"/>
    <col min="12964" max="12966" width="14.5703125" style="203" customWidth="1"/>
    <col min="12967" max="12969" width="15.28515625" style="203" customWidth="1"/>
    <col min="12970" max="12970" width="15.5703125" style="203"/>
    <col min="12971" max="12971" width="44.5703125" style="203" customWidth="1"/>
    <col min="12972" max="12972" width="13.85546875" style="203" customWidth="1"/>
    <col min="12973" max="12973" width="10.85546875" style="203" customWidth="1"/>
    <col min="12974" max="12974" width="14.5703125" style="203" customWidth="1"/>
    <col min="12975" max="12975" width="11" style="203" customWidth="1"/>
    <col min="12976" max="12976" width="10.85546875" style="203" customWidth="1"/>
    <col min="12977" max="12977" width="14.5703125" style="203" customWidth="1"/>
    <col min="12978" max="12979" width="15.5703125" style="203" customWidth="1"/>
    <col min="12980" max="12980" width="17.7109375" style="203" customWidth="1"/>
    <col min="12981" max="13206" width="29.28515625" style="203" customWidth="1"/>
    <col min="13207" max="13207" width="42.42578125" style="203" customWidth="1"/>
    <col min="13208" max="13210" width="12.42578125" style="203" customWidth="1"/>
    <col min="13211" max="13213" width="10.85546875" style="203" customWidth="1"/>
    <col min="13214" max="13216" width="14.5703125" style="203" bestFit="1" customWidth="1"/>
    <col min="13217" max="13219" width="11" style="203" customWidth="1"/>
    <col min="13220" max="13222" width="14.5703125" style="203" customWidth="1"/>
    <col min="13223" max="13225" width="15.28515625" style="203" customWidth="1"/>
    <col min="13226" max="13226" width="15.5703125" style="203"/>
    <col min="13227" max="13227" width="44.5703125" style="203" customWidth="1"/>
    <col min="13228" max="13228" width="13.85546875" style="203" customWidth="1"/>
    <col min="13229" max="13229" width="10.85546875" style="203" customWidth="1"/>
    <col min="13230" max="13230" width="14.5703125" style="203" customWidth="1"/>
    <col min="13231" max="13231" width="11" style="203" customWidth="1"/>
    <col min="13232" max="13232" width="10.85546875" style="203" customWidth="1"/>
    <col min="13233" max="13233" width="14.5703125" style="203" customWidth="1"/>
    <col min="13234" max="13235" width="15.5703125" style="203" customWidth="1"/>
    <col min="13236" max="13236" width="17.7109375" style="203" customWidth="1"/>
    <col min="13237" max="13462" width="29.28515625" style="203" customWidth="1"/>
    <col min="13463" max="13463" width="42.42578125" style="203" customWidth="1"/>
    <col min="13464" max="13466" width="12.42578125" style="203" customWidth="1"/>
    <col min="13467" max="13469" width="10.85546875" style="203" customWidth="1"/>
    <col min="13470" max="13472" width="14.5703125" style="203" bestFit="1" customWidth="1"/>
    <col min="13473" max="13475" width="11" style="203" customWidth="1"/>
    <col min="13476" max="13478" width="14.5703125" style="203" customWidth="1"/>
    <col min="13479" max="13481" width="15.28515625" style="203" customWidth="1"/>
    <col min="13482" max="13482" width="15.5703125" style="203"/>
    <col min="13483" max="13483" width="44.5703125" style="203" customWidth="1"/>
    <col min="13484" max="13484" width="13.85546875" style="203" customWidth="1"/>
    <col min="13485" max="13485" width="10.85546875" style="203" customWidth="1"/>
    <col min="13486" max="13486" width="14.5703125" style="203" customWidth="1"/>
    <col min="13487" max="13487" width="11" style="203" customWidth="1"/>
    <col min="13488" max="13488" width="10.85546875" style="203" customWidth="1"/>
    <col min="13489" max="13489" width="14.5703125" style="203" customWidth="1"/>
    <col min="13490" max="13491" width="15.5703125" style="203" customWidth="1"/>
    <col min="13492" max="13492" width="17.7109375" style="203" customWidth="1"/>
    <col min="13493" max="13718" width="29.28515625" style="203" customWidth="1"/>
    <col min="13719" max="13719" width="42.42578125" style="203" customWidth="1"/>
    <col min="13720" max="13722" width="12.42578125" style="203" customWidth="1"/>
    <col min="13723" max="13725" width="10.85546875" style="203" customWidth="1"/>
    <col min="13726" max="13728" width="14.5703125" style="203" bestFit="1" customWidth="1"/>
    <col min="13729" max="13731" width="11" style="203" customWidth="1"/>
    <col min="13732" max="13734" width="14.5703125" style="203" customWidth="1"/>
    <col min="13735" max="13737" width="15.28515625" style="203" customWidth="1"/>
    <col min="13738" max="13738" width="15.5703125" style="203"/>
    <col min="13739" max="13739" width="44.5703125" style="203" customWidth="1"/>
    <col min="13740" max="13740" width="13.85546875" style="203" customWidth="1"/>
    <col min="13741" max="13741" width="10.85546875" style="203" customWidth="1"/>
    <col min="13742" max="13742" width="14.5703125" style="203" customWidth="1"/>
    <col min="13743" max="13743" width="11" style="203" customWidth="1"/>
    <col min="13744" max="13744" width="10.85546875" style="203" customWidth="1"/>
    <col min="13745" max="13745" width="14.5703125" style="203" customWidth="1"/>
    <col min="13746" max="13747" width="15.5703125" style="203" customWidth="1"/>
    <col min="13748" max="13748" width="17.7109375" style="203" customWidth="1"/>
    <col min="13749" max="13974" width="29.28515625" style="203" customWidth="1"/>
    <col min="13975" max="13975" width="42.42578125" style="203" customWidth="1"/>
    <col min="13976" max="13978" width="12.42578125" style="203" customWidth="1"/>
    <col min="13979" max="13981" width="10.85546875" style="203" customWidth="1"/>
    <col min="13982" max="13984" width="14.5703125" style="203" bestFit="1" customWidth="1"/>
    <col min="13985" max="13987" width="11" style="203" customWidth="1"/>
    <col min="13988" max="13990" width="14.5703125" style="203" customWidth="1"/>
    <col min="13991" max="13993" width="15.28515625" style="203" customWidth="1"/>
    <col min="13994" max="13994" width="15.5703125" style="203"/>
    <col min="13995" max="13995" width="44.5703125" style="203" customWidth="1"/>
    <col min="13996" max="13996" width="13.85546875" style="203" customWidth="1"/>
    <col min="13997" max="13997" width="10.85546875" style="203" customWidth="1"/>
    <col min="13998" max="13998" width="14.5703125" style="203" customWidth="1"/>
    <col min="13999" max="13999" width="11" style="203" customWidth="1"/>
    <col min="14000" max="14000" width="10.85546875" style="203" customWidth="1"/>
    <col min="14001" max="14001" width="14.5703125" style="203" customWidth="1"/>
    <col min="14002" max="14003" width="15.5703125" style="203" customWidth="1"/>
    <col min="14004" max="14004" width="17.7109375" style="203" customWidth="1"/>
    <col min="14005" max="14230" width="29.28515625" style="203" customWidth="1"/>
    <col min="14231" max="14231" width="42.42578125" style="203" customWidth="1"/>
    <col min="14232" max="14234" width="12.42578125" style="203" customWidth="1"/>
    <col min="14235" max="14237" width="10.85546875" style="203" customWidth="1"/>
    <col min="14238" max="14240" width="14.5703125" style="203" bestFit="1" customWidth="1"/>
    <col min="14241" max="14243" width="11" style="203" customWidth="1"/>
    <col min="14244" max="14246" width="14.5703125" style="203" customWidth="1"/>
    <col min="14247" max="14249" width="15.28515625" style="203" customWidth="1"/>
    <col min="14250" max="14250" width="15.5703125" style="203"/>
    <col min="14251" max="14251" width="44.5703125" style="203" customWidth="1"/>
    <col min="14252" max="14252" width="13.85546875" style="203" customWidth="1"/>
    <col min="14253" max="14253" width="10.85546875" style="203" customWidth="1"/>
    <col min="14254" max="14254" width="14.5703125" style="203" customWidth="1"/>
    <col min="14255" max="14255" width="11" style="203" customWidth="1"/>
    <col min="14256" max="14256" width="10.85546875" style="203" customWidth="1"/>
    <col min="14257" max="14257" width="14.5703125" style="203" customWidth="1"/>
    <col min="14258" max="14259" width="15.5703125" style="203" customWidth="1"/>
    <col min="14260" max="14260" width="17.7109375" style="203" customWidth="1"/>
    <col min="14261" max="14486" width="29.28515625" style="203" customWidth="1"/>
    <col min="14487" max="14487" width="42.42578125" style="203" customWidth="1"/>
    <col min="14488" max="14490" width="12.42578125" style="203" customWidth="1"/>
    <col min="14491" max="14493" width="10.85546875" style="203" customWidth="1"/>
    <col min="14494" max="14496" width="14.5703125" style="203" bestFit="1" customWidth="1"/>
    <col min="14497" max="14499" width="11" style="203" customWidth="1"/>
    <col min="14500" max="14502" width="14.5703125" style="203" customWidth="1"/>
    <col min="14503" max="14505" width="15.28515625" style="203" customWidth="1"/>
    <col min="14506" max="14506" width="15.5703125" style="203"/>
    <col min="14507" max="14507" width="44.5703125" style="203" customWidth="1"/>
    <col min="14508" max="14508" width="13.85546875" style="203" customWidth="1"/>
    <col min="14509" max="14509" width="10.85546875" style="203" customWidth="1"/>
    <col min="14510" max="14510" width="14.5703125" style="203" customWidth="1"/>
    <col min="14511" max="14511" width="11" style="203" customWidth="1"/>
    <col min="14512" max="14512" width="10.85546875" style="203" customWidth="1"/>
    <col min="14513" max="14513" width="14.5703125" style="203" customWidth="1"/>
    <col min="14514" max="14515" width="15.5703125" style="203" customWidth="1"/>
    <col min="14516" max="14516" width="17.7109375" style="203" customWidth="1"/>
    <col min="14517" max="14742" width="29.28515625" style="203" customWidth="1"/>
    <col min="14743" max="14743" width="42.42578125" style="203" customWidth="1"/>
    <col min="14744" max="14746" width="12.42578125" style="203" customWidth="1"/>
    <col min="14747" max="14749" width="10.85546875" style="203" customWidth="1"/>
    <col min="14750" max="14752" width="14.5703125" style="203" bestFit="1" customWidth="1"/>
    <col min="14753" max="14755" width="11" style="203" customWidth="1"/>
    <col min="14756" max="14758" width="14.5703125" style="203" customWidth="1"/>
    <col min="14759" max="14761" width="15.28515625" style="203" customWidth="1"/>
    <col min="14762" max="14762" width="15.5703125" style="203"/>
    <col min="14763" max="14763" width="44.5703125" style="203" customWidth="1"/>
    <col min="14764" max="14764" width="13.85546875" style="203" customWidth="1"/>
    <col min="14765" max="14765" width="10.85546875" style="203" customWidth="1"/>
    <col min="14766" max="14766" width="14.5703125" style="203" customWidth="1"/>
    <col min="14767" max="14767" width="11" style="203" customWidth="1"/>
    <col min="14768" max="14768" width="10.85546875" style="203" customWidth="1"/>
    <col min="14769" max="14769" width="14.5703125" style="203" customWidth="1"/>
    <col min="14770" max="14771" width="15.5703125" style="203" customWidth="1"/>
    <col min="14772" max="14772" width="17.7109375" style="203" customWidth="1"/>
    <col min="14773" max="14998" width="29.28515625" style="203" customWidth="1"/>
    <col min="14999" max="14999" width="42.42578125" style="203" customWidth="1"/>
    <col min="15000" max="15002" width="12.42578125" style="203" customWidth="1"/>
    <col min="15003" max="15005" width="10.85546875" style="203" customWidth="1"/>
    <col min="15006" max="15008" width="14.5703125" style="203" bestFit="1" customWidth="1"/>
    <col min="15009" max="15011" width="11" style="203" customWidth="1"/>
    <col min="15012" max="15014" width="14.5703125" style="203" customWidth="1"/>
    <col min="15015" max="15017" width="15.28515625" style="203" customWidth="1"/>
    <col min="15018" max="15018" width="15.5703125" style="203"/>
    <col min="15019" max="15019" width="44.5703125" style="203" customWidth="1"/>
    <col min="15020" max="15020" width="13.85546875" style="203" customWidth="1"/>
    <col min="15021" max="15021" width="10.85546875" style="203" customWidth="1"/>
    <col min="15022" max="15022" width="14.5703125" style="203" customWidth="1"/>
    <col min="15023" max="15023" width="11" style="203" customWidth="1"/>
    <col min="15024" max="15024" width="10.85546875" style="203" customWidth="1"/>
    <col min="15025" max="15025" width="14.5703125" style="203" customWidth="1"/>
    <col min="15026" max="15027" width="15.5703125" style="203" customWidth="1"/>
    <col min="15028" max="15028" width="17.7109375" style="203" customWidth="1"/>
    <col min="15029" max="15254" width="29.28515625" style="203" customWidth="1"/>
    <col min="15255" max="15255" width="42.42578125" style="203" customWidth="1"/>
    <col min="15256" max="15258" width="12.42578125" style="203" customWidth="1"/>
    <col min="15259" max="15261" width="10.85546875" style="203" customWidth="1"/>
    <col min="15262" max="15264" width="14.5703125" style="203" bestFit="1" customWidth="1"/>
    <col min="15265" max="15267" width="11" style="203" customWidth="1"/>
    <col min="15268" max="15270" width="14.5703125" style="203" customWidth="1"/>
    <col min="15271" max="15273" width="15.28515625" style="203" customWidth="1"/>
    <col min="15274" max="15274" width="15.5703125" style="203"/>
    <col min="15275" max="15275" width="44.5703125" style="203" customWidth="1"/>
    <col min="15276" max="15276" width="13.85546875" style="203" customWidth="1"/>
    <col min="15277" max="15277" width="10.85546875" style="203" customWidth="1"/>
    <col min="15278" max="15278" width="14.5703125" style="203" customWidth="1"/>
    <col min="15279" max="15279" width="11" style="203" customWidth="1"/>
    <col min="15280" max="15280" width="10.85546875" style="203" customWidth="1"/>
    <col min="15281" max="15281" width="14.5703125" style="203" customWidth="1"/>
    <col min="15282" max="15283" width="15.5703125" style="203" customWidth="1"/>
    <col min="15284" max="15284" width="17.7109375" style="203" customWidth="1"/>
    <col min="15285" max="15510" width="29.28515625" style="203" customWidth="1"/>
    <col min="15511" max="15511" width="42.42578125" style="203" customWidth="1"/>
    <col min="15512" max="15514" width="12.42578125" style="203" customWidth="1"/>
    <col min="15515" max="15517" width="10.85546875" style="203" customWidth="1"/>
    <col min="15518" max="15520" width="14.5703125" style="203" bestFit="1" customWidth="1"/>
    <col min="15521" max="15523" width="11" style="203" customWidth="1"/>
    <col min="15524" max="15526" width="14.5703125" style="203" customWidth="1"/>
    <col min="15527" max="15529" width="15.28515625" style="203" customWidth="1"/>
    <col min="15530" max="15530" width="15.5703125" style="203"/>
    <col min="15531" max="15531" width="44.5703125" style="203" customWidth="1"/>
    <col min="15532" max="15532" width="13.85546875" style="203" customWidth="1"/>
    <col min="15533" max="15533" width="10.85546875" style="203" customWidth="1"/>
    <col min="15534" max="15534" width="14.5703125" style="203" customWidth="1"/>
    <col min="15535" max="15535" width="11" style="203" customWidth="1"/>
    <col min="15536" max="15536" width="10.85546875" style="203" customWidth="1"/>
    <col min="15537" max="15537" width="14.5703125" style="203" customWidth="1"/>
    <col min="15538" max="15539" width="15.5703125" style="203" customWidth="1"/>
    <col min="15540" max="15540" width="17.7109375" style="203" customWidth="1"/>
    <col min="15541" max="15766" width="29.28515625" style="203" customWidth="1"/>
    <col min="15767" max="15767" width="42.42578125" style="203" customWidth="1"/>
    <col min="15768" max="15770" width="12.42578125" style="203" customWidth="1"/>
    <col min="15771" max="15773" width="10.85546875" style="203" customWidth="1"/>
    <col min="15774" max="15776" width="14.5703125" style="203" bestFit="1" customWidth="1"/>
    <col min="15777" max="15779" width="11" style="203" customWidth="1"/>
    <col min="15780" max="15782" width="14.5703125" style="203" customWidth="1"/>
    <col min="15783" max="15785" width="15.28515625" style="203" customWidth="1"/>
    <col min="15786" max="15786" width="15.5703125" style="203"/>
    <col min="15787" max="15787" width="44.5703125" style="203" customWidth="1"/>
    <col min="15788" max="15788" width="13.85546875" style="203" customWidth="1"/>
    <col min="15789" max="15789" width="10.85546875" style="203" customWidth="1"/>
    <col min="15790" max="15790" width="14.5703125" style="203" customWidth="1"/>
    <col min="15791" max="15791" width="11" style="203" customWidth="1"/>
    <col min="15792" max="15792" width="10.85546875" style="203" customWidth="1"/>
    <col min="15793" max="15793" width="14.5703125" style="203" customWidth="1"/>
    <col min="15794" max="15795" width="15.5703125" style="203" customWidth="1"/>
    <col min="15796" max="15796" width="17.7109375" style="203" customWidth="1"/>
    <col min="15797" max="16022" width="29.28515625" style="203" customWidth="1"/>
    <col min="16023" max="16023" width="42.42578125" style="203" customWidth="1"/>
    <col min="16024" max="16026" width="12.42578125" style="203" customWidth="1"/>
    <col min="16027" max="16029" width="10.85546875" style="203" customWidth="1"/>
    <col min="16030" max="16032" width="14.5703125" style="203" bestFit="1" customWidth="1"/>
    <col min="16033" max="16035" width="11" style="203" customWidth="1"/>
    <col min="16036" max="16038" width="14.5703125" style="203" customWidth="1"/>
    <col min="16039" max="16041" width="15.28515625" style="203" customWidth="1"/>
    <col min="16042" max="16042" width="15.5703125" style="203"/>
    <col min="16043" max="16043" width="44.5703125" style="203" customWidth="1"/>
    <col min="16044" max="16044" width="13.85546875" style="203" customWidth="1"/>
    <col min="16045" max="16045" width="10.85546875" style="203" customWidth="1"/>
    <col min="16046" max="16046" width="14.5703125" style="203" customWidth="1"/>
    <col min="16047" max="16047" width="11" style="203" customWidth="1"/>
    <col min="16048" max="16048" width="10.85546875" style="203" customWidth="1"/>
    <col min="16049" max="16049" width="14.5703125" style="203" customWidth="1"/>
    <col min="16050" max="16051" width="15.5703125" style="203" customWidth="1"/>
    <col min="16052" max="16052" width="17.7109375" style="203" customWidth="1"/>
    <col min="16053" max="16278" width="29.28515625" style="203" customWidth="1"/>
    <col min="16279" max="16279" width="42.42578125" style="203" customWidth="1"/>
    <col min="16280" max="16384" width="12.42578125" style="203" customWidth="1"/>
  </cols>
  <sheetData>
    <row r="1" spans="1:170">
      <c r="H1" s="388"/>
      <c r="I1" s="388"/>
      <c r="J1" s="389" t="s">
        <v>1523</v>
      </c>
    </row>
    <row r="2" spans="1:170">
      <c r="A2" s="783"/>
      <c r="B2" s="783"/>
      <c r="C2" s="783"/>
      <c r="D2" s="783"/>
      <c r="E2" s="783"/>
      <c r="F2" s="783"/>
      <c r="G2" s="783"/>
      <c r="H2" s="783"/>
      <c r="I2" s="783"/>
      <c r="J2" s="783"/>
    </row>
    <row r="3" spans="1:170">
      <c r="A3" s="204" t="s">
        <v>1601</v>
      </c>
      <c r="B3" s="204"/>
      <c r="C3" s="204"/>
      <c r="D3" s="204"/>
      <c r="E3" s="204"/>
      <c r="F3" s="204"/>
      <c r="G3" s="204"/>
      <c r="H3" s="204"/>
      <c r="I3" s="204"/>
      <c r="J3" s="204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</row>
    <row r="4" spans="1:170" s="112" customFormat="1">
      <c r="A4" s="205"/>
      <c r="B4" s="204"/>
      <c r="C4" s="204"/>
      <c r="D4" s="204"/>
      <c r="E4" s="204"/>
      <c r="F4" s="204"/>
      <c r="G4" s="204"/>
      <c r="H4" s="204"/>
      <c r="I4" s="204"/>
      <c r="J4" s="204"/>
    </row>
    <row r="5" spans="1:170" s="112" customFormat="1">
      <c r="A5" s="450"/>
      <c r="B5" s="204"/>
      <c r="C5" s="451"/>
      <c r="D5" s="451"/>
      <c r="E5" s="204"/>
      <c r="F5" s="204"/>
      <c r="G5" s="204"/>
      <c r="H5" s="204"/>
      <c r="I5" s="204"/>
      <c r="J5" s="204"/>
    </row>
    <row r="6" spans="1:170" s="209" customFormat="1" ht="63">
      <c r="A6" s="341" t="s">
        <v>755</v>
      </c>
      <c r="B6" s="207" t="s">
        <v>1131</v>
      </c>
      <c r="C6" s="208" t="s">
        <v>1244</v>
      </c>
      <c r="D6" s="208" t="s">
        <v>548</v>
      </c>
      <c r="E6" s="208" t="s">
        <v>549</v>
      </c>
      <c r="F6" s="208" t="s">
        <v>551</v>
      </c>
      <c r="G6" s="208" t="s">
        <v>550</v>
      </c>
      <c r="H6" s="208" t="s">
        <v>552</v>
      </c>
      <c r="I6" s="208" t="s">
        <v>1324</v>
      </c>
      <c r="J6" s="208" t="s">
        <v>553</v>
      </c>
    </row>
    <row r="7" spans="1:170" s="209" customFormat="1">
      <c r="A7" s="452"/>
      <c r="B7" s="453" t="s">
        <v>1325</v>
      </c>
      <c r="C7" s="453" t="s">
        <v>1325</v>
      </c>
      <c r="D7" s="453" t="s">
        <v>1325</v>
      </c>
      <c r="E7" s="453" t="s">
        <v>1325</v>
      </c>
      <c r="F7" s="453" t="s">
        <v>1325</v>
      </c>
      <c r="G7" s="453" t="s">
        <v>1325</v>
      </c>
      <c r="H7" s="453" t="s">
        <v>1325</v>
      </c>
      <c r="I7" s="453" t="s">
        <v>1325</v>
      </c>
      <c r="J7" s="453" t="s">
        <v>1325</v>
      </c>
    </row>
    <row r="8" spans="1:170" s="111" customFormat="1">
      <c r="A8" s="210" t="s">
        <v>241</v>
      </c>
      <c r="B8" s="211">
        <f>C8+D8+E8+F8+G8+H8+I8+J8</f>
        <v>50856384</v>
      </c>
      <c r="C8" s="211">
        <f t="shared" ref="C8:J8" si="0">SUM(C9,C79,C216,C223,C227,C230)</f>
        <v>2978900</v>
      </c>
      <c r="D8" s="211">
        <f t="shared" si="0"/>
        <v>865440</v>
      </c>
      <c r="E8" s="211">
        <f t="shared" si="0"/>
        <v>6375983</v>
      </c>
      <c r="F8" s="211">
        <f t="shared" si="0"/>
        <v>25187838</v>
      </c>
      <c r="G8" s="211">
        <f t="shared" si="0"/>
        <v>1741796</v>
      </c>
      <c r="H8" s="211">
        <f t="shared" si="0"/>
        <v>7509932</v>
      </c>
      <c r="I8" s="211">
        <f t="shared" si="0"/>
        <v>0</v>
      </c>
      <c r="J8" s="211">
        <f t="shared" si="0"/>
        <v>6196495</v>
      </c>
      <c r="K8" s="454"/>
    </row>
    <row r="9" spans="1:170" s="111" customFormat="1">
      <c r="A9" s="212" t="s">
        <v>554</v>
      </c>
      <c r="B9" s="213">
        <f t="shared" ref="B9:B72" si="1">C9+D9+E9+F9+G9+H9+I9+J9</f>
        <v>27420562</v>
      </c>
      <c r="C9" s="213">
        <f t="shared" ref="C9:J9" si="2">SUM(C10,C17,C31,C42,C65,C76,C37,C49)</f>
        <v>1109620</v>
      </c>
      <c r="D9" s="213">
        <f t="shared" si="2"/>
        <v>849539</v>
      </c>
      <c r="E9" s="213">
        <f t="shared" si="2"/>
        <v>5434323</v>
      </c>
      <c r="F9" s="213">
        <f t="shared" si="2"/>
        <v>13873759</v>
      </c>
      <c r="G9" s="213">
        <f t="shared" si="2"/>
        <v>1266130</v>
      </c>
      <c r="H9" s="213">
        <f t="shared" si="2"/>
        <v>2485240</v>
      </c>
      <c r="I9" s="213">
        <f t="shared" si="2"/>
        <v>0</v>
      </c>
      <c r="J9" s="213">
        <f t="shared" si="2"/>
        <v>2401951</v>
      </c>
    </row>
    <row r="10" spans="1:170" s="214" customFormat="1">
      <c r="A10" s="212" t="s">
        <v>555</v>
      </c>
      <c r="B10" s="213">
        <f t="shared" si="1"/>
        <v>407273</v>
      </c>
      <c r="C10" s="213">
        <f t="shared" ref="C10:J10" si="3">SUM(C11)</f>
        <v>273200</v>
      </c>
      <c r="D10" s="213">
        <f t="shared" si="3"/>
        <v>131001</v>
      </c>
      <c r="E10" s="213">
        <f t="shared" si="3"/>
        <v>3072</v>
      </c>
      <c r="F10" s="213">
        <f t="shared" si="3"/>
        <v>0</v>
      </c>
      <c r="G10" s="213">
        <f t="shared" si="3"/>
        <v>0</v>
      </c>
      <c r="H10" s="213">
        <f t="shared" si="3"/>
        <v>0</v>
      </c>
      <c r="I10" s="213">
        <f t="shared" si="3"/>
        <v>0</v>
      </c>
      <c r="J10" s="213">
        <f t="shared" si="3"/>
        <v>0</v>
      </c>
    </row>
    <row r="11" spans="1:170" s="111" customFormat="1">
      <c r="A11" s="212" t="s">
        <v>556</v>
      </c>
      <c r="B11" s="215">
        <f t="shared" si="1"/>
        <v>407273</v>
      </c>
      <c r="C11" s="215">
        <f t="shared" ref="C11:J11" si="4">SUM(C12:C16)</f>
        <v>273200</v>
      </c>
      <c r="D11" s="215">
        <f t="shared" si="4"/>
        <v>131001</v>
      </c>
      <c r="E11" s="215">
        <f t="shared" si="4"/>
        <v>3072</v>
      </c>
      <c r="F11" s="215">
        <f t="shared" si="4"/>
        <v>0</v>
      </c>
      <c r="G11" s="215">
        <f t="shared" si="4"/>
        <v>0</v>
      </c>
      <c r="H11" s="215">
        <f t="shared" si="4"/>
        <v>0</v>
      </c>
      <c r="I11" s="215">
        <f t="shared" si="4"/>
        <v>0</v>
      </c>
      <c r="J11" s="215">
        <f t="shared" si="4"/>
        <v>0</v>
      </c>
    </row>
    <row r="12" spans="1:170" s="214" customFormat="1" ht="47.25">
      <c r="A12" s="216" t="s">
        <v>557</v>
      </c>
      <c r="B12" s="217">
        <f t="shared" si="1"/>
        <v>1290</v>
      </c>
      <c r="C12" s="217">
        <v>0</v>
      </c>
      <c r="D12" s="217">
        <v>0</v>
      </c>
      <c r="E12" s="217">
        <v>1290</v>
      </c>
      <c r="F12" s="217"/>
      <c r="G12" s="217"/>
      <c r="H12" s="217"/>
      <c r="I12" s="217"/>
      <c r="J12" s="217"/>
    </row>
    <row r="13" spans="1:170" s="214" customFormat="1" ht="63">
      <c r="A13" s="216" t="s">
        <v>1326</v>
      </c>
      <c r="B13" s="217">
        <f t="shared" si="1"/>
        <v>219200</v>
      </c>
      <c r="C13" s="217">
        <f>13200+200000+3000+3000</f>
        <v>219200</v>
      </c>
      <c r="D13" s="217"/>
      <c r="E13" s="217"/>
      <c r="F13" s="217"/>
      <c r="G13" s="217"/>
      <c r="H13" s="217"/>
      <c r="I13" s="217"/>
      <c r="J13" s="217"/>
    </row>
    <row r="14" spans="1:170" s="214" customFormat="1" ht="31.5">
      <c r="A14" s="216" t="s">
        <v>1327</v>
      </c>
      <c r="B14" s="217">
        <f t="shared" si="1"/>
        <v>54000</v>
      </c>
      <c r="C14" s="217">
        <v>54000</v>
      </c>
      <c r="D14" s="217"/>
      <c r="E14" s="217"/>
      <c r="F14" s="217"/>
      <c r="G14" s="217"/>
      <c r="H14" s="217"/>
      <c r="I14" s="217"/>
      <c r="J14" s="217"/>
    </row>
    <row r="15" spans="1:170" s="214" customFormat="1" ht="31.5">
      <c r="A15" s="216" t="s">
        <v>1328</v>
      </c>
      <c r="B15" s="217">
        <f t="shared" si="1"/>
        <v>131001</v>
      </c>
      <c r="C15" s="217"/>
      <c r="D15" s="217">
        <f>47490+70572+12939</f>
        <v>131001</v>
      </c>
      <c r="E15" s="217"/>
      <c r="F15" s="217"/>
      <c r="G15" s="217"/>
      <c r="H15" s="217"/>
      <c r="I15" s="217"/>
      <c r="J15" s="217"/>
    </row>
    <row r="16" spans="1:170" s="214" customFormat="1" ht="31.5">
      <c r="A16" s="216" t="s">
        <v>558</v>
      </c>
      <c r="B16" s="217">
        <f t="shared" si="1"/>
        <v>1782</v>
      </c>
      <c r="C16" s="217">
        <v>0</v>
      </c>
      <c r="D16" s="217"/>
      <c r="E16" s="217">
        <v>1782</v>
      </c>
      <c r="F16" s="217"/>
      <c r="G16" s="217"/>
      <c r="H16" s="217"/>
      <c r="I16" s="217"/>
      <c r="J16" s="217"/>
    </row>
    <row r="17" spans="1:170" s="111" customFormat="1">
      <c r="A17" s="218" t="s">
        <v>559</v>
      </c>
      <c r="B17" s="215">
        <f t="shared" si="1"/>
        <v>530403</v>
      </c>
      <c r="C17" s="215">
        <f t="shared" ref="C17:J17" si="5">SUM(C18)</f>
        <v>0</v>
      </c>
      <c r="D17" s="215">
        <f t="shared" si="5"/>
        <v>0</v>
      </c>
      <c r="E17" s="215">
        <f t="shared" si="5"/>
        <v>0</v>
      </c>
      <c r="F17" s="215">
        <f t="shared" si="5"/>
        <v>0</v>
      </c>
      <c r="G17" s="215">
        <f t="shared" si="5"/>
        <v>125580</v>
      </c>
      <c r="H17" s="215">
        <f t="shared" si="5"/>
        <v>294823</v>
      </c>
      <c r="I17" s="215">
        <f t="shared" si="5"/>
        <v>0</v>
      </c>
      <c r="J17" s="215">
        <f t="shared" si="5"/>
        <v>110000</v>
      </c>
    </row>
    <row r="18" spans="1:170" s="111" customFormat="1">
      <c r="A18" s="212" t="s">
        <v>556</v>
      </c>
      <c r="B18" s="215">
        <f t="shared" si="1"/>
        <v>530403</v>
      </c>
      <c r="C18" s="215">
        <f t="shared" ref="C18:J18" si="6">SUM(C19:C30)</f>
        <v>0</v>
      </c>
      <c r="D18" s="215">
        <f t="shared" si="6"/>
        <v>0</v>
      </c>
      <c r="E18" s="215">
        <f t="shared" si="6"/>
        <v>0</v>
      </c>
      <c r="F18" s="215">
        <f t="shared" si="6"/>
        <v>0</v>
      </c>
      <c r="G18" s="215">
        <f t="shared" si="6"/>
        <v>125580</v>
      </c>
      <c r="H18" s="215">
        <f t="shared" si="6"/>
        <v>294823</v>
      </c>
      <c r="I18" s="215">
        <f t="shared" si="6"/>
        <v>0</v>
      </c>
      <c r="J18" s="215">
        <f t="shared" si="6"/>
        <v>110000</v>
      </c>
    </row>
    <row r="19" spans="1:170" s="214" customFormat="1">
      <c r="A19" s="219" t="s">
        <v>1245</v>
      </c>
      <c r="B19" s="220">
        <f t="shared" si="1"/>
        <v>110000</v>
      </c>
      <c r="C19" s="220">
        <v>0</v>
      </c>
      <c r="D19" s="220">
        <v>0</v>
      </c>
      <c r="E19" s="220">
        <v>0</v>
      </c>
      <c r="F19" s="220"/>
      <c r="G19" s="220"/>
      <c r="H19" s="220">
        <v>0</v>
      </c>
      <c r="I19" s="220"/>
      <c r="J19" s="220">
        <v>110000</v>
      </c>
    </row>
    <row r="20" spans="1:170" s="214" customFormat="1">
      <c r="A20" s="225" t="s">
        <v>1329</v>
      </c>
      <c r="B20" s="220">
        <f t="shared" si="1"/>
        <v>54000</v>
      </c>
      <c r="C20" s="220">
        <v>0</v>
      </c>
      <c r="D20" s="220">
        <v>0</v>
      </c>
      <c r="E20" s="220"/>
      <c r="F20" s="220">
        <v>0</v>
      </c>
      <c r="G20" s="220">
        <v>54000</v>
      </c>
      <c r="H20" s="220">
        <v>0</v>
      </c>
      <c r="I20" s="220">
        <v>0</v>
      </c>
      <c r="J20" s="220"/>
    </row>
    <row r="21" spans="1:170" s="214" customFormat="1">
      <c r="A21" s="225" t="s">
        <v>1330</v>
      </c>
      <c r="B21" s="220">
        <f t="shared" si="1"/>
        <v>39400</v>
      </c>
      <c r="C21" s="220">
        <v>0</v>
      </c>
      <c r="D21" s="220">
        <v>0</v>
      </c>
      <c r="E21" s="220"/>
      <c r="F21" s="220">
        <v>0</v>
      </c>
      <c r="G21" s="220">
        <v>39400</v>
      </c>
      <c r="H21" s="220">
        <v>0</v>
      </c>
      <c r="I21" s="220">
        <v>0</v>
      </c>
      <c r="J21" s="220"/>
    </row>
    <row r="22" spans="1:170" s="214" customFormat="1" ht="31.5">
      <c r="A22" s="225" t="s">
        <v>1331</v>
      </c>
      <c r="B22" s="220">
        <f t="shared" si="1"/>
        <v>22180</v>
      </c>
      <c r="C22" s="220">
        <v>0</v>
      </c>
      <c r="D22" s="220">
        <v>0</v>
      </c>
      <c r="E22" s="220"/>
      <c r="F22" s="220">
        <v>0</v>
      </c>
      <c r="G22" s="220">
        <v>22180</v>
      </c>
      <c r="H22" s="220">
        <v>0</v>
      </c>
      <c r="I22" s="220">
        <v>0</v>
      </c>
      <c r="J22" s="220"/>
    </row>
    <row r="23" spans="1:170" s="214" customFormat="1">
      <c r="A23" s="219" t="s">
        <v>1206</v>
      </c>
      <c r="B23" s="220">
        <f t="shared" si="1"/>
        <v>10000</v>
      </c>
      <c r="C23" s="220">
        <v>0</v>
      </c>
      <c r="D23" s="220">
        <v>0</v>
      </c>
      <c r="E23" s="220">
        <v>0</v>
      </c>
      <c r="F23" s="220"/>
      <c r="G23" s="220">
        <v>10000</v>
      </c>
      <c r="H23" s="220">
        <v>0</v>
      </c>
      <c r="I23" s="220"/>
      <c r="J23" s="220">
        <v>0</v>
      </c>
      <c r="K23" s="209"/>
      <c r="L23" s="209"/>
    </row>
    <row r="24" spans="1:170" s="214" customFormat="1" ht="31.5">
      <c r="A24" s="221" t="s">
        <v>560</v>
      </c>
      <c r="B24" s="220">
        <f t="shared" si="1"/>
        <v>21270</v>
      </c>
      <c r="C24" s="220">
        <v>0</v>
      </c>
      <c r="D24" s="220">
        <v>0</v>
      </c>
      <c r="E24" s="220">
        <v>0</v>
      </c>
      <c r="F24" s="220"/>
      <c r="G24" s="220"/>
      <c r="H24" s="220">
        <v>21270</v>
      </c>
      <c r="I24" s="220"/>
      <c r="J24" s="220"/>
    </row>
    <row r="25" spans="1:170" s="214" customFormat="1" ht="47.25">
      <c r="A25" s="221" t="s">
        <v>561</v>
      </c>
      <c r="B25" s="220">
        <f t="shared" si="1"/>
        <v>1645</v>
      </c>
      <c r="C25" s="220">
        <v>0</v>
      </c>
      <c r="D25" s="220">
        <v>0</v>
      </c>
      <c r="E25" s="220">
        <v>0</v>
      </c>
      <c r="F25" s="220"/>
      <c r="G25" s="220"/>
      <c r="H25" s="220">
        <v>1645</v>
      </c>
      <c r="I25" s="220"/>
      <c r="J25" s="220"/>
    </row>
    <row r="26" spans="1:170" s="214" customFormat="1" ht="31.5">
      <c r="A26" s="221" t="s">
        <v>1246</v>
      </c>
      <c r="B26" s="220">
        <f t="shared" si="1"/>
        <v>79916</v>
      </c>
      <c r="C26" s="220">
        <v>0</v>
      </c>
      <c r="D26" s="220">
        <v>0</v>
      </c>
      <c r="E26" s="220">
        <v>0</v>
      </c>
      <c r="F26" s="220"/>
      <c r="G26" s="220"/>
      <c r="H26" s="220">
        <v>79916</v>
      </c>
      <c r="I26" s="220"/>
      <c r="J26" s="220"/>
    </row>
    <row r="27" spans="1:170" s="214" customFormat="1" ht="78.75">
      <c r="A27" s="221" t="s">
        <v>1132</v>
      </c>
      <c r="B27" s="220">
        <f t="shared" si="1"/>
        <v>15596</v>
      </c>
      <c r="C27" s="220">
        <v>0</v>
      </c>
      <c r="D27" s="220">
        <v>0</v>
      </c>
      <c r="E27" s="220">
        <v>0</v>
      </c>
      <c r="F27" s="220"/>
      <c r="G27" s="220"/>
      <c r="H27" s="220">
        <v>15596</v>
      </c>
      <c r="I27" s="220"/>
      <c r="J27" s="220"/>
    </row>
    <row r="28" spans="1:170" s="214" customFormat="1" ht="63">
      <c r="A28" s="219" t="s">
        <v>1332</v>
      </c>
      <c r="B28" s="217">
        <f t="shared" si="1"/>
        <v>1526</v>
      </c>
      <c r="C28" s="217">
        <v>0</v>
      </c>
      <c r="D28" s="217">
        <v>0</v>
      </c>
      <c r="E28" s="217">
        <v>0</v>
      </c>
      <c r="F28" s="217"/>
      <c r="G28" s="217"/>
      <c r="H28" s="217">
        <f>9516-7990</f>
        <v>1526</v>
      </c>
      <c r="I28" s="217"/>
      <c r="J28" s="217"/>
    </row>
    <row r="29" spans="1:170" s="214" customFormat="1" ht="94.5">
      <c r="A29" s="221" t="s">
        <v>1333</v>
      </c>
      <c r="B29" s="220">
        <f t="shared" si="1"/>
        <v>122493</v>
      </c>
      <c r="C29" s="220">
        <f>50000-50000</f>
        <v>0</v>
      </c>
      <c r="D29" s="220">
        <v>0</v>
      </c>
      <c r="E29" s="220">
        <v>0</v>
      </c>
      <c r="F29" s="220"/>
      <c r="G29" s="220"/>
      <c r="H29" s="220">
        <f>72493+50000</f>
        <v>122493</v>
      </c>
      <c r="I29" s="220"/>
      <c r="J29" s="220"/>
    </row>
    <row r="30" spans="1:170" s="214" customFormat="1" ht="47.25">
      <c r="A30" s="219" t="s">
        <v>1334</v>
      </c>
      <c r="B30" s="217">
        <f t="shared" si="1"/>
        <v>52377</v>
      </c>
      <c r="C30" s="217">
        <v>0</v>
      </c>
      <c r="D30" s="217">
        <v>0</v>
      </c>
      <c r="E30" s="217">
        <v>0</v>
      </c>
      <c r="F30" s="217"/>
      <c r="G30" s="217"/>
      <c r="H30" s="217">
        <f>2066+50311</f>
        <v>52377</v>
      </c>
      <c r="I30" s="217">
        <f>50311-50311</f>
        <v>0</v>
      </c>
      <c r="J30" s="217">
        <f>50312-50312</f>
        <v>0</v>
      </c>
    </row>
    <row r="31" spans="1:170" s="214" customFormat="1">
      <c r="A31" s="212" t="s">
        <v>562</v>
      </c>
      <c r="B31" s="213">
        <f t="shared" si="1"/>
        <v>2567192</v>
      </c>
      <c r="C31" s="213">
        <f t="shared" ref="C31:J31" si="7">SUM(C32)</f>
        <v>0</v>
      </c>
      <c r="D31" s="213">
        <f t="shared" si="7"/>
        <v>0</v>
      </c>
      <c r="E31" s="213">
        <f t="shared" si="7"/>
        <v>0</v>
      </c>
      <c r="F31" s="213">
        <f t="shared" si="7"/>
        <v>0</v>
      </c>
      <c r="G31" s="213">
        <f t="shared" si="7"/>
        <v>436571</v>
      </c>
      <c r="H31" s="213">
        <f t="shared" si="7"/>
        <v>17769</v>
      </c>
      <c r="I31" s="213">
        <f t="shared" si="7"/>
        <v>0</v>
      </c>
      <c r="J31" s="213">
        <f t="shared" si="7"/>
        <v>2112852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DQ31" s="111"/>
      <c r="DR31" s="111"/>
      <c r="DS31" s="111"/>
      <c r="DT31" s="111"/>
      <c r="DU31" s="111"/>
      <c r="DV31" s="111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1"/>
      <c r="FL31" s="111"/>
      <c r="FM31" s="111"/>
      <c r="FN31" s="111"/>
    </row>
    <row r="32" spans="1:170" s="214" customFormat="1">
      <c r="A32" s="212" t="s">
        <v>556</v>
      </c>
      <c r="B32" s="213">
        <f t="shared" si="1"/>
        <v>2567192</v>
      </c>
      <c r="C32" s="213">
        <f t="shared" ref="C32:J32" si="8">SUM(C33:C36)</f>
        <v>0</v>
      </c>
      <c r="D32" s="213">
        <f t="shared" si="8"/>
        <v>0</v>
      </c>
      <c r="E32" s="213">
        <f t="shared" si="8"/>
        <v>0</v>
      </c>
      <c r="F32" s="213">
        <f t="shared" si="8"/>
        <v>0</v>
      </c>
      <c r="G32" s="213">
        <f t="shared" si="8"/>
        <v>436571</v>
      </c>
      <c r="H32" s="213">
        <f t="shared" si="8"/>
        <v>17769</v>
      </c>
      <c r="I32" s="213">
        <f t="shared" si="8"/>
        <v>0</v>
      </c>
      <c r="J32" s="213">
        <f t="shared" si="8"/>
        <v>2112852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111"/>
      <c r="DM32" s="111"/>
      <c r="DN32" s="111"/>
      <c r="DO32" s="111"/>
      <c r="DP32" s="111"/>
      <c r="DQ32" s="111"/>
      <c r="DR32" s="111"/>
      <c r="DS32" s="111"/>
      <c r="DT32" s="111"/>
      <c r="DU32" s="111"/>
      <c r="DV32" s="111"/>
      <c r="DW32" s="111"/>
      <c r="DX32" s="111"/>
      <c r="DY32" s="111"/>
      <c r="DZ32" s="111"/>
      <c r="EA32" s="111"/>
      <c r="EB32" s="111"/>
      <c r="EC32" s="111"/>
      <c r="ED32" s="111"/>
      <c r="EE32" s="111"/>
      <c r="EF32" s="111"/>
      <c r="EG32" s="111"/>
      <c r="EH32" s="111"/>
      <c r="EI32" s="111"/>
      <c r="EJ32" s="111"/>
      <c r="EK32" s="111"/>
      <c r="EL32" s="111"/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/>
      <c r="FF32" s="111"/>
      <c r="FG32" s="111"/>
      <c r="FH32" s="111"/>
      <c r="FI32" s="111"/>
      <c r="FJ32" s="111"/>
      <c r="FK32" s="111"/>
      <c r="FL32" s="111"/>
      <c r="FM32" s="111"/>
      <c r="FN32" s="111"/>
    </row>
    <row r="33" spans="1:170" s="214" customFormat="1" ht="31.5">
      <c r="A33" s="222" t="s">
        <v>1247</v>
      </c>
      <c r="B33" s="220">
        <f t="shared" si="1"/>
        <v>1365800</v>
      </c>
      <c r="C33" s="220">
        <v>0</v>
      </c>
      <c r="D33" s="220"/>
      <c r="E33" s="220">
        <v>0</v>
      </c>
      <c r="F33" s="220"/>
      <c r="G33" s="220"/>
      <c r="H33" s="220"/>
      <c r="I33" s="220"/>
      <c r="J33" s="220">
        <v>1365800</v>
      </c>
    </row>
    <row r="34" spans="1:170" s="214" customFormat="1" ht="31.5">
      <c r="A34" s="222" t="s">
        <v>1133</v>
      </c>
      <c r="B34" s="220">
        <f t="shared" si="1"/>
        <v>100000</v>
      </c>
      <c r="C34" s="220">
        <v>0</v>
      </c>
      <c r="D34" s="220"/>
      <c r="E34" s="220">
        <v>0</v>
      </c>
      <c r="F34" s="220"/>
      <c r="G34" s="220"/>
      <c r="H34" s="220"/>
      <c r="I34" s="220"/>
      <c r="J34" s="220">
        <v>100000</v>
      </c>
    </row>
    <row r="35" spans="1:170" s="214" customFormat="1" ht="47.25">
      <c r="A35" s="222" t="s">
        <v>1335</v>
      </c>
      <c r="B35" s="220">
        <f t="shared" si="1"/>
        <v>962096</v>
      </c>
      <c r="C35" s="220">
        <f>15233-15233</f>
        <v>0</v>
      </c>
      <c r="D35" s="220"/>
      <c r="E35" s="220"/>
      <c r="F35" s="220"/>
      <c r="G35" s="220">
        <v>297275</v>
      </c>
      <c r="H35" s="220">
        <f>15233+2534+2</f>
        <v>17769</v>
      </c>
      <c r="I35" s="220"/>
      <c r="J35" s="220">
        <v>647052</v>
      </c>
    </row>
    <row r="36" spans="1:170" s="214" customFormat="1">
      <c r="A36" s="222" t="s">
        <v>1248</v>
      </c>
      <c r="B36" s="220">
        <f t="shared" si="1"/>
        <v>139296</v>
      </c>
      <c r="C36" s="220">
        <v>0</v>
      </c>
      <c r="D36" s="220"/>
      <c r="E36" s="220">
        <v>0</v>
      </c>
      <c r="F36" s="220"/>
      <c r="G36" s="220">
        <v>139296</v>
      </c>
      <c r="H36" s="220"/>
      <c r="I36" s="220"/>
      <c r="J36" s="220"/>
    </row>
    <row r="37" spans="1:170" s="214" customFormat="1">
      <c r="A37" s="212" t="s">
        <v>563</v>
      </c>
      <c r="B37" s="213">
        <f t="shared" si="1"/>
        <v>605422</v>
      </c>
      <c r="C37" s="213">
        <f t="shared" ref="C37:J37" si="9">SUM(C38)</f>
        <v>0</v>
      </c>
      <c r="D37" s="213">
        <f>SUM(D38)</f>
        <v>0</v>
      </c>
      <c r="E37" s="213">
        <f t="shared" si="9"/>
        <v>0</v>
      </c>
      <c r="F37" s="213">
        <f t="shared" si="9"/>
        <v>0</v>
      </c>
      <c r="G37" s="213">
        <f t="shared" si="9"/>
        <v>426323</v>
      </c>
      <c r="H37" s="213">
        <f t="shared" si="9"/>
        <v>0</v>
      </c>
      <c r="I37" s="213">
        <f t="shared" si="9"/>
        <v>0</v>
      </c>
      <c r="J37" s="213">
        <f t="shared" si="9"/>
        <v>179099</v>
      </c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1"/>
      <c r="BQ37" s="111"/>
      <c r="BR37" s="111"/>
      <c r="BS37" s="111"/>
      <c r="BT37" s="111"/>
      <c r="BU37" s="111"/>
      <c r="BV37" s="111"/>
      <c r="BW37" s="111"/>
      <c r="BX37" s="111"/>
      <c r="BY37" s="111"/>
      <c r="BZ37" s="111"/>
      <c r="CA37" s="111"/>
      <c r="CB37" s="111"/>
      <c r="CC37" s="111"/>
      <c r="CD37" s="111"/>
      <c r="CE37" s="111"/>
      <c r="CF37" s="111"/>
      <c r="CG37" s="111"/>
      <c r="CH37" s="111"/>
      <c r="CI37" s="111"/>
      <c r="CJ37" s="111"/>
      <c r="CK37" s="111"/>
      <c r="CL37" s="111"/>
      <c r="CM37" s="111"/>
      <c r="CN37" s="111"/>
      <c r="CO37" s="111"/>
      <c r="CP37" s="111"/>
      <c r="CQ37" s="111"/>
      <c r="CR37" s="111"/>
      <c r="CS37" s="111"/>
      <c r="CT37" s="111"/>
      <c r="CU37" s="111"/>
      <c r="CV37" s="111"/>
      <c r="CW37" s="111"/>
      <c r="CX37" s="111"/>
      <c r="CY37" s="111"/>
      <c r="CZ37" s="111"/>
      <c r="DA37" s="111"/>
      <c r="DB37" s="111"/>
      <c r="DC37" s="111"/>
      <c r="DD37" s="111"/>
      <c r="DE37" s="111"/>
      <c r="DF37" s="111"/>
      <c r="DG37" s="111"/>
      <c r="DH37" s="111"/>
      <c r="DI37" s="111"/>
      <c r="DJ37" s="111"/>
      <c r="DK37" s="111"/>
      <c r="DL37" s="111"/>
      <c r="DM37" s="111"/>
      <c r="DN37" s="111"/>
      <c r="DO37" s="111"/>
      <c r="DP37" s="111"/>
      <c r="DQ37" s="111"/>
      <c r="DR37" s="111"/>
      <c r="DS37" s="111"/>
      <c r="DT37" s="111"/>
      <c r="DU37" s="111"/>
      <c r="DV37" s="111"/>
      <c r="DW37" s="111"/>
      <c r="DX37" s="111"/>
      <c r="DY37" s="111"/>
      <c r="DZ37" s="111"/>
      <c r="EA37" s="111"/>
      <c r="EB37" s="111"/>
      <c r="EC37" s="111"/>
      <c r="ED37" s="111"/>
      <c r="EE37" s="111"/>
      <c r="EF37" s="111"/>
      <c r="EG37" s="111"/>
      <c r="EH37" s="111"/>
      <c r="EI37" s="111"/>
      <c r="EJ37" s="111"/>
      <c r="EK37" s="111"/>
      <c r="EL37" s="111"/>
      <c r="EM37" s="111"/>
      <c r="EN37" s="111"/>
      <c r="EO37" s="111"/>
      <c r="EP37" s="111"/>
      <c r="EQ37" s="111"/>
      <c r="ER37" s="111"/>
      <c r="ES37" s="111"/>
      <c r="ET37" s="111"/>
      <c r="EU37" s="111"/>
      <c r="EV37" s="111"/>
      <c r="EW37" s="111"/>
      <c r="EX37" s="111"/>
      <c r="EY37" s="111"/>
      <c r="EZ37" s="111"/>
      <c r="FA37" s="111"/>
      <c r="FB37" s="111"/>
      <c r="FC37" s="111"/>
      <c r="FD37" s="111"/>
      <c r="FE37" s="111"/>
      <c r="FF37" s="111"/>
      <c r="FG37" s="111"/>
      <c r="FH37" s="111"/>
      <c r="FI37" s="111"/>
      <c r="FJ37" s="111"/>
      <c r="FK37" s="111"/>
      <c r="FL37" s="111"/>
      <c r="FM37" s="111"/>
      <c r="FN37" s="111"/>
    </row>
    <row r="38" spans="1:170" s="111" customFormat="1">
      <c r="A38" s="212" t="s">
        <v>556</v>
      </c>
      <c r="B38" s="213">
        <f t="shared" si="1"/>
        <v>605422</v>
      </c>
      <c r="C38" s="213">
        <f>SUM(C39:C41)</f>
        <v>0</v>
      </c>
      <c r="D38" s="213">
        <f t="shared" ref="D38:J38" si="10">SUM(D39:D41)</f>
        <v>0</v>
      </c>
      <c r="E38" s="213">
        <f t="shared" si="10"/>
        <v>0</v>
      </c>
      <c r="F38" s="213">
        <f t="shared" si="10"/>
        <v>0</v>
      </c>
      <c r="G38" s="213">
        <f t="shared" si="10"/>
        <v>426323</v>
      </c>
      <c r="H38" s="213">
        <f t="shared" si="10"/>
        <v>0</v>
      </c>
      <c r="I38" s="213">
        <f t="shared" si="10"/>
        <v>0</v>
      </c>
      <c r="J38" s="213">
        <f t="shared" si="10"/>
        <v>179099</v>
      </c>
    </row>
    <row r="39" spans="1:170" s="214" customFormat="1">
      <c r="A39" s="219" t="s">
        <v>1249</v>
      </c>
      <c r="B39" s="220">
        <f t="shared" si="1"/>
        <v>350000</v>
      </c>
      <c r="C39" s="220">
        <v>0</v>
      </c>
      <c r="D39" s="220"/>
      <c r="E39" s="220"/>
      <c r="F39" s="220"/>
      <c r="G39" s="220">
        <f>170901</f>
        <v>170901</v>
      </c>
      <c r="H39" s="220"/>
      <c r="I39" s="220"/>
      <c r="J39" s="220">
        <v>179099</v>
      </c>
    </row>
    <row r="40" spans="1:170" s="214" customFormat="1" ht="31.5">
      <c r="A40" s="219" t="s">
        <v>1336</v>
      </c>
      <c r="B40" s="220">
        <f t="shared" si="1"/>
        <v>133000</v>
      </c>
      <c r="C40" s="220"/>
      <c r="D40" s="220"/>
      <c r="E40" s="220"/>
      <c r="F40" s="220"/>
      <c r="G40" s="220">
        <v>133000</v>
      </c>
      <c r="H40" s="220"/>
      <c r="I40" s="220"/>
      <c r="J40" s="220"/>
    </row>
    <row r="41" spans="1:170" s="214" customFormat="1" ht="31.5">
      <c r="A41" s="219" t="s">
        <v>1337</v>
      </c>
      <c r="B41" s="220">
        <f t="shared" si="1"/>
        <v>122422</v>
      </c>
      <c r="C41" s="220">
        <v>0</v>
      </c>
      <c r="D41" s="220"/>
      <c r="E41" s="220"/>
      <c r="F41" s="220"/>
      <c r="G41" s="220">
        <v>122422</v>
      </c>
      <c r="H41" s="220"/>
      <c r="I41" s="220"/>
      <c r="J41" s="220"/>
    </row>
    <row r="42" spans="1:170" s="214" customFormat="1" ht="31.5">
      <c r="A42" s="212" t="s">
        <v>564</v>
      </c>
      <c r="B42" s="213">
        <f t="shared" si="1"/>
        <v>1248000</v>
      </c>
      <c r="C42" s="213">
        <f t="shared" ref="C42:J42" si="11">SUM(C43)</f>
        <v>0</v>
      </c>
      <c r="D42" s="213">
        <f t="shared" si="11"/>
        <v>0</v>
      </c>
      <c r="E42" s="213">
        <f t="shared" si="11"/>
        <v>2939</v>
      </c>
      <c r="F42" s="213">
        <f t="shared" si="11"/>
        <v>1063405</v>
      </c>
      <c r="G42" s="213">
        <f t="shared" si="11"/>
        <v>181656</v>
      </c>
      <c r="H42" s="213">
        <f t="shared" si="11"/>
        <v>0</v>
      </c>
      <c r="I42" s="213">
        <f t="shared" si="11"/>
        <v>0</v>
      </c>
      <c r="J42" s="213">
        <f t="shared" si="11"/>
        <v>0</v>
      </c>
    </row>
    <row r="43" spans="1:170" s="214" customFormat="1">
      <c r="A43" s="212" t="s">
        <v>556</v>
      </c>
      <c r="B43" s="213">
        <f t="shared" si="1"/>
        <v>1248000</v>
      </c>
      <c r="C43" s="213">
        <f t="shared" ref="C43:J43" si="12">SUM(C44:C48)</f>
        <v>0</v>
      </c>
      <c r="D43" s="213">
        <f t="shared" si="12"/>
        <v>0</v>
      </c>
      <c r="E43" s="213">
        <f t="shared" si="12"/>
        <v>2939</v>
      </c>
      <c r="F43" s="213">
        <f t="shared" si="12"/>
        <v>1063405</v>
      </c>
      <c r="G43" s="213">
        <f t="shared" si="12"/>
        <v>181656</v>
      </c>
      <c r="H43" s="213">
        <f t="shared" si="12"/>
        <v>0</v>
      </c>
      <c r="I43" s="213">
        <f t="shared" si="12"/>
        <v>0</v>
      </c>
      <c r="J43" s="213">
        <f t="shared" si="12"/>
        <v>0</v>
      </c>
    </row>
    <row r="44" spans="1:170" s="111" customFormat="1" ht="110.25">
      <c r="A44" s="221" t="s">
        <v>1250</v>
      </c>
      <c r="B44" s="224">
        <f t="shared" si="1"/>
        <v>399465</v>
      </c>
      <c r="C44" s="224">
        <v>0</v>
      </c>
      <c r="D44" s="224"/>
      <c r="E44" s="224">
        <v>0</v>
      </c>
      <c r="F44" s="224">
        <v>399465</v>
      </c>
      <c r="G44" s="224"/>
      <c r="H44" s="224"/>
      <c r="I44" s="224"/>
      <c r="J44" s="22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</row>
    <row r="45" spans="1:170" s="214" customFormat="1" ht="63">
      <c r="A45" s="221" t="s">
        <v>1338</v>
      </c>
      <c r="B45" s="217">
        <f t="shared" si="1"/>
        <v>106380</v>
      </c>
      <c r="C45" s="217">
        <v>0</v>
      </c>
      <c r="D45" s="217"/>
      <c r="E45" s="217">
        <v>0</v>
      </c>
      <c r="F45" s="217">
        <v>106380</v>
      </c>
      <c r="G45" s="217"/>
      <c r="H45" s="217"/>
      <c r="I45" s="217"/>
      <c r="J45" s="217"/>
    </row>
    <row r="46" spans="1:170" s="214" customFormat="1" ht="41.25" customHeight="1">
      <c r="A46" s="221" t="s">
        <v>1339</v>
      </c>
      <c r="B46" s="217">
        <f t="shared" si="1"/>
        <v>2939</v>
      </c>
      <c r="C46" s="217">
        <v>0</v>
      </c>
      <c r="D46" s="217"/>
      <c r="E46" s="217">
        <v>2939</v>
      </c>
      <c r="F46" s="217"/>
      <c r="G46" s="217"/>
      <c r="H46" s="217"/>
      <c r="I46" s="217"/>
      <c r="J46" s="217"/>
    </row>
    <row r="47" spans="1:170" s="214" customFormat="1" ht="31.5">
      <c r="A47" s="216" t="s">
        <v>1340</v>
      </c>
      <c r="B47" s="217">
        <f t="shared" si="1"/>
        <v>181656</v>
      </c>
      <c r="C47" s="217">
        <v>0</v>
      </c>
      <c r="D47" s="217"/>
      <c r="E47" s="217">
        <v>0</v>
      </c>
      <c r="F47" s="217"/>
      <c r="G47" s="217">
        <v>181656</v>
      </c>
      <c r="H47" s="217"/>
      <c r="I47" s="217"/>
      <c r="J47" s="217"/>
    </row>
    <row r="48" spans="1:170" s="214" customFormat="1" ht="78.75">
      <c r="A48" s="221" t="s">
        <v>1251</v>
      </c>
      <c r="B48" s="217">
        <f t="shared" si="1"/>
        <v>557560</v>
      </c>
      <c r="C48" s="217">
        <v>0</v>
      </c>
      <c r="D48" s="217"/>
      <c r="E48" s="217">
        <v>0</v>
      </c>
      <c r="F48" s="217">
        <v>557560</v>
      </c>
      <c r="G48" s="217"/>
      <c r="H48" s="217"/>
      <c r="I48" s="217"/>
      <c r="J48" s="217"/>
    </row>
    <row r="49" spans="1:170" s="214" customFormat="1" ht="31.5">
      <c r="A49" s="212" t="s">
        <v>565</v>
      </c>
      <c r="B49" s="213">
        <f t="shared" si="1"/>
        <v>16677397</v>
      </c>
      <c r="C49" s="213">
        <f t="shared" ref="C49:J49" si="13">SUM(C50)</f>
        <v>622420</v>
      </c>
      <c r="D49" s="213">
        <f t="shared" si="13"/>
        <v>713176</v>
      </c>
      <c r="E49" s="213">
        <f t="shared" si="13"/>
        <v>5414815</v>
      </c>
      <c r="F49" s="213">
        <f t="shared" si="13"/>
        <v>7754338</v>
      </c>
      <c r="G49" s="213">
        <f t="shared" si="13"/>
        <v>0</v>
      </c>
      <c r="H49" s="213">
        <f t="shared" si="13"/>
        <v>2172648</v>
      </c>
      <c r="I49" s="213">
        <f t="shared" si="13"/>
        <v>0</v>
      </c>
      <c r="J49" s="213">
        <f t="shared" si="13"/>
        <v>0</v>
      </c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1"/>
      <c r="CS49" s="111"/>
      <c r="CT49" s="111"/>
      <c r="CU49" s="111"/>
      <c r="CV49" s="111"/>
      <c r="CW49" s="111"/>
      <c r="CX49" s="111"/>
      <c r="CY49" s="111"/>
      <c r="CZ49" s="111"/>
      <c r="DA49" s="111"/>
      <c r="DB49" s="111"/>
      <c r="DC49" s="111"/>
      <c r="DD49" s="111"/>
      <c r="DE49" s="111"/>
      <c r="DF49" s="111"/>
      <c r="DG49" s="111"/>
      <c r="DH49" s="111"/>
      <c r="DI49" s="111"/>
      <c r="DJ49" s="111"/>
      <c r="DK49" s="111"/>
      <c r="DL49" s="111"/>
      <c r="DM49" s="111"/>
      <c r="DN49" s="111"/>
      <c r="DO49" s="111"/>
      <c r="DP49" s="111"/>
      <c r="DQ49" s="111"/>
      <c r="DR49" s="111"/>
      <c r="DS49" s="111"/>
      <c r="DT49" s="111"/>
      <c r="DU49" s="111"/>
      <c r="DV49" s="111"/>
      <c r="DW49" s="111"/>
      <c r="DX49" s="111"/>
      <c r="DY49" s="111"/>
      <c r="DZ49" s="111"/>
      <c r="EA49" s="111"/>
      <c r="EB49" s="111"/>
      <c r="EC49" s="111"/>
      <c r="ED49" s="111"/>
      <c r="EE49" s="111"/>
      <c r="EF49" s="111"/>
      <c r="EG49" s="111"/>
      <c r="EH49" s="111"/>
      <c r="EI49" s="111"/>
      <c r="EJ49" s="111"/>
      <c r="EK49" s="111"/>
      <c r="EL49" s="111"/>
      <c r="EM49" s="111"/>
      <c r="EN49" s="111"/>
      <c r="EO49" s="111"/>
      <c r="EP49" s="111"/>
      <c r="EQ49" s="111"/>
      <c r="ER49" s="111"/>
      <c r="ES49" s="111"/>
      <c r="ET49" s="111"/>
      <c r="EU49" s="111"/>
      <c r="EV49" s="111"/>
      <c r="EW49" s="111"/>
      <c r="EX49" s="111"/>
      <c r="EY49" s="111"/>
      <c r="EZ49" s="111"/>
      <c r="FA49" s="111"/>
      <c r="FB49" s="111"/>
      <c r="FC49" s="111"/>
      <c r="FD49" s="111"/>
      <c r="FE49" s="111"/>
      <c r="FF49" s="111"/>
      <c r="FG49" s="111"/>
      <c r="FH49" s="111"/>
      <c r="FI49" s="111"/>
      <c r="FJ49" s="111"/>
      <c r="FK49" s="111"/>
      <c r="FL49" s="111"/>
      <c r="FM49" s="111"/>
      <c r="FN49" s="111"/>
    </row>
    <row r="50" spans="1:170" s="214" customFormat="1">
      <c r="A50" s="212" t="s">
        <v>556</v>
      </c>
      <c r="B50" s="213">
        <f t="shared" si="1"/>
        <v>16677397</v>
      </c>
      <c r="C50" s="213">
        <f>SUM(C51:C64)</f>
        <v>622420</v>
      </c>
      <c r="D50" s="213">
        <f t="shared" ref="D50:J50" si="14">SUM(D51:D64)</f>
        <v>713176</v>
      </c>
      <c r="E50" s="213">
        <f t="shared" si="14"/>
        <v>5414815</v>
      </c>
      <c r="F50" s="213">
        <f t="shared" si="14"/>
        <v>7754338</v>
      </c>
      <c r="G50" s="213">
        <f t="shared" si="14"/>
        <v>0</v>
      </c>
      <c r="H50" s="213">
        <f t="shared" si="14"/>
        <v>2172648</v>
      </c>
      <c r="I50" s="213">
        <f t="shared" si="14"/>
        <v>0</v>
      </c>
      <c r="J50" s="213">
        <f t="shared" si="14"/>
        <v>0</v>
      </c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11"/>
      <c r="BZ50" s="111"/>
      <c r="CA50" s="111"/>
      <c r="CB50" s="111"/>
      <c r="CC50" s="111"/>
      <c r="CD50" s="111"/>
      <c r="CE50" s="111"/>
      <c r="CF50" s="111"/>
      <c r="CG50" s="111"/>
      <c r="CH50" s="111"/>
      <c r="CI50" s="111"/>
      <c r="CJ50" s="111"/>
      <c r="CK50" s="111"/>
      <c r="CL50" s="111"/>
      <c r="CM50" s="111"/>
      <c r="CN50" s="111"/>
      <c r="CO50" s="111"/>
      <c r="CP50" s="111"/>
      <c r="CQ50" s="111"/>
      <c r="CR50" s="111"/>
      <c r="CS50" s="111"/>
      <c r="CT50" s="111"/>
      <c r="CU50" s="111"/>
      <c r="CV50" s="111"/>
      <c r="CW50" s="111"/>
      <c r="CX50" s="111"/>
      <c r="CY50" s="111"/>
      <c r="CZ50" s="111"/>
      <c r="DA50" s="111"/>
      <c r="DB50" s="111"/>
      <c r="DC50" s="111"/>
      <c r="DD50" s="111"/>
      <c r="DE50" s="111"/>
      <c r="DF50" s="111"/>
      <c r="DG50" s="111"/>
      <c r="DH50" s="111"/>
      <c r="DI50" s="111"/>
      <c r="DJ50" s="111"/>
      <c r="DK50" s="111"/>
      <c r="DL50" s="111"/>
      <c r="DM50" s="111"/>
      <c r="DN50" s="111"/>
      <c r="DO50" s="111"/>
      <c r="DP50" s="111"/>
      <c r="DQ50" s="111"/>
      <c r="DR50" s="111"/>
      <c r="DS50" s="111"/>
      <c r="DT50" s="111"/>
      <c r="DU50" s="111"/>
      <c r="DV50" s="111"/>
      <c r="DW50" s="111"/>
      <c r="DX50" s="111"/>
      <c r="DY50" s="111"/>
      <c r="DZ50" s="111"/>
      <c r="EA50" s="111"/>
      <c r="EB50" s="111"/>
      <c r="EC50" s="111"/>
      <c r="ED50" s="111"/>
      <c r="EE50" s="111"/>
      <c r="EF50" s="111"/>
      <c r="EG50" s="111"/>
      <c r="EH50" s="111"/>
      <c r="EI50" s="111"/>
      <c r="EJ50" s="111"/>
      <c r="EK50" s="111"/>
      <c r="EL50" s="111"/>
      <c r="EM50" s="111"/>
      <c r="EN50" s="111"/>
      <c r="EO50" s="111"/>
      <c r="EP50" s="111"/>
      <c r="EQ50" s="111"/>
      <c r="ER50" s="111"/>
      <c r="ES50" s="111"/>
      <c r="ET50" s="111"/>
      <c r="EU50" s="111"/>
      <c r="EV50" s="111"/>
      <c r="EW50" s="111"/>
      <c r="EX50" s="111"/>
      <c r="EY50" s="111"/>
      <c r="EZ50" s="111"/>
      <c r="FA50" s="111"/>
      <c r="FB50" s="111"/>
      <c r="FC50" s="111"/>
      <c r="FD50" s="111"/>
      <c r="FE50" s="111"/>
      <c r="FF50" s="111"/>
      <c r="FG50" s="111"/>
      <c r="FH50" s="111"/>
      <c r="FI50" s="111"/>
      <c r="FJ50" s="111"/>
      <c r="FK50" s="111"/>
      <c r="FL50" s="111"/>
      <c r="FM50" s="111"/>
      <c r="FN50" s="111"/>
    </row>
    <row r="51" spans="1:170" s="214" customFormat="1" ht="31.5">
      <c r="A51" s="225" t="s">
        <v>1252</v>
      </c>
      <c r="B51" s="220">
        <f t="shared" si="1"/>
        <v>17771</v>
      </c>
      <c r="C51" s="220">
        <v>0</v>
      </c>
      <c r="D51" s="220">
        <v>14588</v>
      </c>
      <c r="E51" s="220">
        <f>3183</f>
        <v>3183</v>
      </c>
      <c r="F51" s="220">
        <v>0</v>
      </c>
      <c r="G51" s="220">
        <v>0</v>
      </c>
      <c r="H51" s="220">
        <v>0</v>
      </c>
      <c r="I51" s="220">
        <v>0</v>
      </c>
      <c r="J51" s="220"/>
    </row>
    <row r="52" spans="1:170" s="214" customFormat="1" ht="31.5">
      <c r="A52" s="225" t="s">
        <v>1341</v>
      </c>
      <c r="B52" s="220">
        <f t="shared" si="1"/>
        <v>7607</v>
      </c>
      <c r="C52" s="220">
        <v>0</v>
      </c>
      <c r="D52" s="220">
        <v>0</v>
      </c>
      <c r="E52" s="220">
        <v>7607</v>
      </c>
      <c r="F52" s="220">
        <v>0</v>
      </c>
      <c r="G52" s="220">
        <v>0</v>
      </c>
      <c r="H52" s="220">
        <v>0</v>
      </c>
      <c r="I52" s="220">
        <v>0</v>
      </c>
      <c r="J52" s="220"/>
    </row>
    <row r="53" spans="1:170" s="214" customFormat="1" ht="31.5">
      <c r="A53" s="225" t="s">
        <v>1342</v>
      </c>
      <c r="B53" s="220">
        <f t="shared" si="1"/>
        <v>7000</v>
      </c>
      <c r="C53" s="220">
        <v>0</v>
      </c>
      <c r="D53" s="220">
        <v>0</v>
      </c>
      <c r="E53" s="220">
        <v>7000</v>
      </c>
      <c r="F53" s="220">
        <v>0</v>
      </c>
      <c r="G53" s="220">
        <v>0</v>
      </c>
      <c r="H53" s="220">
        <v>0</v>
      </c>
      <c r="I53" s="220">
        <v>0</v>
      </c>
      <c r="J53" s="220"/>
    </row>
    <row r="54" spans="1:170" s="214" customFormat="1" ht="31.5">
      <c r="A54" s="225" t="s">
        <v>1343</v>
      </c>
      <c r="B54" s="220">
        <f t="shared" si="1"/>
        <v>41100</v>
      </c>
      <c r="C54" s="220">
        <v>0</v>
      </c>
      <c r="D54" s="220">
        <v>0</v>
      </c>
      <c r="E54" s="220">
        <v>41100</v>
      </c>
      <c r="F54" s="220">
        <v>0</v>
      </c>
      <c r="G54" s="220">
        <v>0</v>
      </c>
      <c r="H54" s="220">
        <v>0</v>
      </c>
      <c r="I54" s="220">
        <v>0</v>
      </c>
      <c r="J54" s="220"/>
    </row>
    <row r="55" spans="1:170" s="214" customFormat="1" ht="47.25">
      <c r="A55" s="225" t="s">
        <v>1344</v>
      </c>
      <c r="B55" s="220">
        <f t="shared" si="1"/>
        <v>292420</v>
      </c>
      <c r="C55" s="220">
        <v>292420</v>
      </c>
      <c r="D55" s="220">
        <v>0</v>
      </c>
      <c r="E55" s="220"/>
      <c r="F55" s="220">
        <v>0</v>
      </c>
      <c r="G55" s="220">
        <v>0</v>
      </c>
      <c r="H55" s="220">
        <v>0</v>
      </c>
      <c r="I55" s="220">
        <v>0</v>
      </c>
      <c r="J55" s="220"/>
    </row>
    <row r="56" spans="1:170" s="214" customFormat="1" ht="110.25">
      <c r="A56" s="221" t="s">
        <v>1345</v>
      </c>
      <c r="B56" s="220">
        <f t="shared" si="1"/>
        <v>805296</v>
      </c>
      <c r="C56" s="220">
        <v>0</v>
      </c>
      <c r="D56" s="220"/>
      <c r="E56" s="220">
        <v>0</v>
      </c>
      <c r="F56" s="220">
        <v>805296</v>
      </c>
      <c r="G56" s="220"/>
      <c r="H56" s="220"/>
      <c r="I56" s="220"/>
      <c r="J56" s="220"/>
    </row>
    <row r="57" spans="1:170" s="214" customFormat="1">
      <c r="A57" s="225" t="s">
        <v>1135</v>
      </c>
      <c r="B57" s="220">
        <f t="shared" si="1"/>
        <v>130942</v>
      </c>
      <c r="C57" s="220">
        <f>130942-130942</f>
        <v>0</v>
      </c>
      <c r="D57" s="220"/>
      <c r="E57" s="220">
        <v>0</v>
      </c>
      <c r="F57" s="220"/>
      <c r="G57" s="220"/>
      <c r="H57" s="220">
        <f>130942</f>
        <v>130942</v>
      </c>
      <c r="I57" s="220"/>
      <c r="J57" s="220"/>
    </row>
    <row r="58" spans="1:170" s="214" customFormat="1" ht="47.25">
      <c r="A58" s="216" t="s">
        <v>1346</v>
      </c>
      <c r="B58" s="220">
        <f>C58+D58+E58+F58+G58+H58+I58+J58</f>
        <v>2936444</v>
      </c>
      <c r="C58" s="220">
        <v>0</v>
      </c>
      <c r="D58" s="220"/>
      <c r="E58" s="220">
        <v>2936444</v>
      </c>
      <c r="F58" s="220"/>
      <c r="G58" s="220"/>
      <c r="H58" s="220">
        <f>2534-2534</f>
        <v>0</v>
      </c>
      <c r="I58" s="220"/>
      <c r="J58" s="220"/>
    </row>
    <row r="59" spans="1:170" s="214" customFormat="1" ht="31.5">
      <c r="A59" s="216" t="s">
        <v>1347</v>
      </c>
      <c r="B59" s="220">
        <f>C59+D59+E59+F59+G59+H59+I59+J59</f>
        <v>2169714</v>
      </c>
      <c r="C59" s="220">
        <v>0</v>
      </c>
      <c r="D59" s="220"/>
      <c r="E59" s="220">
        <v>2169714</v>
      </c>
      <c r="F59" s="220"/>
      <c r="G59" s="220"/>
      <c r="H59" s="220">
        <v>0</v>
      </c>
      <c r="I59" s="220"/>
      <c r="J59" s="220"/>
    </row>
    <row r="60" spans="1:170" s="214" customFormat="1" ht="141.75">
      <c r="A60" s="216" t="s">
        <v>1253</v>
      </c>
      <c r="B60" s="220">
        <f t="shared" si="1"/>
        <v>6949042</v>
      </c>
      <c r="C60" s="220">
        <v>0</v>
      </c>
      <c r="D60" s="220"/>
      <c r="E60" s="220">
        <v>0</v>
      </c>
      <c r="F60" s="220">
        <v>6949042</v>
      </c>
      <c r="G60" s="220"/>
      <c r="H60" s="220">
        <v>0</v>
      </c>
      <c r="I60" s="220"/>
      <c r="J60" s="220"/>
    </row>
    <row r="61" spans="1:170" s="214" customFormat="1" ht="31.5">
      <c r="A61" s="219" t="s">
        <v>1254</v>
      </c>
      <c r="B61" s="220">
        <f t="shared" si="1"/>
        <v>50000</v>
      </c>
      <c r="C61" s="220">
        <f>18700-18700</f>
        <v>0</v>
      </c>
      <c r="D61" s="220"/>
      <c r="E61" s="220">
        <v>0</v>
      </c>
      <c r="F61" s="220"/>
      <c r="G61" s="220"/>
      <c r="H61" s="220">
        <f>31300+18700</f>
        <v>50000</v>
      </c>
      <c r="I61" s="220"/>
      <c r="J61" s="220"/>
    </row>
    <row r="62" spans="1:170" s="214" customFormat="1" ht="31.5">
      <c r="A62" s="225" t="s">
        <v>1348</v>
      </c>
      <c r="B62" s="220">
        <f t="shared" si="1"/>
        <v>330000</v>
      </c>
      <c r="C62" s="220">
        <v>330000</v>
      </c>
      <c r="D62" s="220">
        <v>0</v>
      </c>
      <c r="E62" s="220"/>
      <c r="F62" s="220">
        <v>0</v>
      </c>
      <c r="G62" s="220"/>
      <c r="H62" s="220">
        <v>0</v>
      </c>
      <c r="I62" s="220">
        <v>0</v>
      </c>
      <c r="J62" s="220"/>
    </row>
    <row r="63" spans="1:170" s="214" customFormat="1" ht="47.25">
      <c r="A63" s="219" t="s">
        <v>1255</v>
      </c>
      <c r="B63" s="220">
        <f t="shared" si="1"/>
        <v>2755061</v>
      </c>
      <c r="C63" s="220">
        <v>0</v>
      </c>
      <c r="D63" s="220">
        <f>698588</f>
        <v>698588</v>
      </c>
      <c r="E63" s="220">
        <f>763355-698588</f>
        <v>64767</v>
      </c>
      <c r="F63" s="220"/>
      <c r="G63" s="220"/>
      <c r="H63" s="220">
        <v>1991706</v>
      </c>
      <c r="I63" s="220"/>
      <c r="J63" s="220"/>
    </row>
    <row r="64" spans="1:170" s="214" customFormat="1" ht="31.5">
      <c r="A64" s="225" t="s">
        <v>1349</v>
      </c>
      <c r="B64" s="220">
        <f t="shared" si="1"/>
        <v>185000</v>
      </c>
      <c r="C64" s="220">
        <f>185000-185000</f>
        <v>0</v>
      </c>
      <c r="D64" s="220">
        <v>0</v>
      </c>
      <c r="E64" s="220">
        <v>185000</v>
      </c>
      <c r="F64" s="220">
        <v>0</v>
      </c>
      <c r="G64" s="220"/>
      <c r="H64" s="220">
        <v>0</v>
      </c>
      <c r="I64" s="220">
        <v>0</v>
      </c>
      <c r="J64" s="220"/>
    </row>
    <row r="65" spans="1:170" s="111" customFormat="1" ht="31.5">
      <c r="A65" s="212" t="s">
        <v>566</v>
      </c>
      <c r="B65" s="213">
        <f t="shared" si="1"/>
        <v>2986804</v>
      </c>
      <c r="C65" s="213">
        <f t="shared" ref="C65:J65" si="15">SUM(C66)</f>
        <v>214000</v>
      </c>
      <c r="D65" s="213">
        <f t="shared" si="15"/>
        <v>5362</v>
      </c>
      <c r="E65" s="213">
        <f t="shared" si="15"/>
        <v>13497</v>
      </c>
      <c r="F65" s="213">
        <f t="shared" si="15"/>
        <v>2657945</v>
      </c>
      <c r="G65" s="213">
        <f t="shared" si="15"/>
        <v>96000</v>
      </c>
      <c r="H65" s="213">
        <f t="shared" si="15"/>
        <v>0</v>
      </c>
      <c r="I65" s="213">
        <f t="shared" si="15"/>
        <v>0</v>
      </c>
      <c r="J65" s="213">
        <f t="shared" si="15"/>
        <v>0</v>
      </c>
    </row>
    <row r="66" spans="1:170" s="214" customFormat="1">
      <c r="A66" s="212" t="s">
        <v>556</v>
      </c>
      <c r="B66" s="213">
        <f t="shared" si="1"/>
        <v>2986804</v>
      </c>
      <c r="C66" s="213">
        <f t="shared" ref="C66:J66" si="16">SUM(C67:C75)</f>
        <v>214000</v>
      </c>
      <c r="D66" s="213">
        <f t="shared" si="16"/>
        <v>5362</v>
      </c>
      <c r="E66" s="213">
        <f t="shared" si="16"/>
        <v>13497</v>
      </c>
      <c r="F66" s="213">
        <f t="shared" si="16"/>
        <v>2657945</v>
      </c>
      <c r="G66" s="213">
        <f t="shared" si="16"/>
        <v>96000</v>
      </c>
      <c r="H66" s="213">
        <f t="shared" si="16"/>
        <v>0</v>
      </c>
      <c r="I66" s="213">
        <f t="shared" si="16"/>
        <v>0</v>
      </c>
      <c r="J66" s="213">
        <f t="shared" si="16"/>
        <v>0</v>
      </c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111"/>
      <c r="BE66" s="111"/>
      <c r="BF66" s="111"/>
      <c r="BG66" s="111"/>
      <c r="BH66" s="111"/>
      <c r="BI66" s="111"/>
      <c r="BJ66" s="111"/>
      <c r="BK66" s="111"/>
      <c r="BL66" s="111"/>
      <c r="BM66" s="111"/>
      <c r="BN66" s="111"/>
      <c r="BO66" s="111"/>
      <c r="BP66" s="111"/>
      <c r="BQ66" s="111"/>
      <c r="BR66" s="111"/>
      <c r="BS66" s="111"/>
      <c r="BT66" s="111"/>
      <c r="BU66" s="111"/>
      <c r="BV66" s="111"/>
      <c r="BW66" s="111"/>
      <c r="BX66" s="111"/>
      <c r="BY66" s="111"/>
      <c r="BZ66" s="111"/>
      <c r="CA66" s="111"/>
      <c r="CB66" s="111"/>
      <c r="CC66" s="111"/>
      <c r="CD66" s="111"/>
      <c r="CE66" s="111"/>
      <c r="CF66" s="111"/>
      <c r="CG66" s="111"/>
      <c r="CH66" s="111"/>
      <c r="CI66" s="111"/>
      <c r="CJ66" s="111"/>
      <c r="CK66" s="111"/>
      <c r="CL66" s="111"/>
      <c r="CM66" s="111"/>
      <c r="CN66" s="111"/>
      <c r="CO66" s="111"/>
      <c r="CP66" s="111"/>
      <c r="CQ66" s="111"/>
      <c r="CR66" s="111"/>
      <c r="CS66" s="111"/>
      <c r="CT66" s="111"/>
      <c r="CU66" s="111"/>
      <c r="CV66" s="111"/>
      <c r="CW66" s="111"/>
      <c r="CX66" s="111"/>
      <c r="CY66" s="111"/>
      <c r="CZ66" s="111"/>
      <c r="DA66" s="111"/>
      <c r="DB66" s="111"/>
      <c r="DC66" s="111"/>
      <c r="DD66" s="111"/>
      <c r="DE66" s="111"/>
      <c r="DF66" s="111"/>
      <c r="DG66" s="111"/>
      <c r="DH66" s="111"/>
      <c r="DI66" s="111"/>
      <c r="DJ66" s="111"/>
      <c r="DK66" s="111"/>
      <c r="DL66" s="111"/>
      <c r="DM66" s="111"/>
      <c r="DN66" s="111"/>
      <c r="DO66" s="111"/>
      <c r="DP66" s="111"/>
      <c r="DQ66" s="111"/>
      <c r="DR66" s="111"/>
      <c r="DS66" s="111"/>
      <c r="DT66" s="111"/>
      <c r="DU66" s="111"/>
      <c r="DV66" s="111"/>
      <c r="DW66" s="111"/>
      <c r="DX66" s="111"/>
      <c r="DY66" s="111"/>
      <c r="DZ66" s="111"/>
      <c r="EA66" s="111"/>
      <c r="EB66" s="111"/>
      <c r="EC66" s="111"/>
      <c r="ED66" s="111"/>
      <c r="EE66" s="111"/>
      <c r="EF66" s="111"/>
      <c r="EG66" s="111"/>
      <c r="EH66" s="111"/>
      <c r="EI66" s="111"/>
      <c r="EJ66" s="111"/>
      <c r="EK66" s="111"/>
      <c r="EL66" s="111"/>
      <c r="EM66" s="111"/>
      <c r="EN66" s="111"/>
      <c r="EO66" s="111"/>
      <c r="EP66" s="111"/>
      <c r="EQ66" s="111"/>
      <c r="ER66" s="111"/>
      <c r="ES66" s="111"/>
      <c r="ET66" s="111"/>
      <c r="EU66" s="111"/>
      <c r="EV66" s="111"/>
      <c r="EW66" s="111"/>
      <c r="EX66" s="111"/>
      <c r="EY66" s="111"/>
      <c r="EZ66" s="111"/>
      <c r="FA66" s="111"/>
      <c r="FB66" s="111"/>
      <c r="FC66" s="111"/>
      <c r="FD66" s="111"/>
      <c r="FE66" s="111"/>
      <c r="FF66" s="111"/>
      <c r="FG66" s="111"/>
      <c r="FH66" s="111"/>
      <c r="FI66" s="111"/>
      <c r="FJ66" s="111"/>
      <c r="FK66" s="111"/>
      <c r="FL66" s="111"/>
      <c r="FM66" s="111"/>
      <c r="FN66" s="111"/>
    </row>
    <row r="67" spans="1:170" s="214" customFormat="1">
      <c r="A67" s="225" t="s">
        <v>1259</v>
      </c>
      <c r="B67" s="220">
        <f t="shared" si="1"/>
        <v>33000</v>
      </c>
      <c r="C67" s="220">
        <v>33000</v>
      </c>
      <c r="D67" s="220"/>
      <c r="E67" s="220">
        <v>0</v>
      </c>
      <c r="F67" s="220"/>
      <c r="G67" s="220"/>
      <c r="H67" s="220"/>
      <c r="I67" s="220"/>
      <c r="J67" s="220"/>
    </row>
    <row r="68" spans="1:170" s="214" customFormat="1" ht="31.5">
      <c r="A68" s="216" t="s">
        <v>1350</v>
      </c>
      <c r="B68" s="217">
        <f t="shared" si="1"/>
        <v>6497</v>
      </c>
      <c r="C68" s="217">
        <v>0</v>
      </c>
      <c r="D68" s="217"/>
      <c r="E68" s="217">
        <v>6497</v>
      </c>
      <c r="F68" s="217"/>
      <c r="G68" s="217"/>
      <c r="H68" s="217"/>
      <c r="I68" s="217"/>
      <c r="J68" s="217"/>
    </row>
    <row r="69" spans="1:170" s="214" customFormat="1" ht="31.5">
      <c r="A69" s="216" t="s">
        <v>1351</v>
      </c>
      <c r="B69" s="217">
        <f t="shared" si="1"/>
        <v>5362</v>
      </c>
      <c r="C69" s="217">
        <v>0</v>
      </c>
      <c r="D69" s="217">
        <v>5362</v>
      </c>
      <c r="E69" s="217">
        <v>0</v>
      </c>
      <c r="F69" s="217"/>
      <c r="G69" s="217"/>
      <c r="H69" s="217"/>
      <c r="I69" s="217"/>
      <c r="J69" s="217"/>
    </row>
    <row r="70" spans="1:170" s="214" customFormat="1">
      <c r="A70" s="216" t="s">
        <v>1352</v>
      </c>
      <c r="B70" s="217">
        <f t="shared" si="1"/>
        <v>96000</v>
      </c>
      <c r="C70" s="217">
        <v>0</v>
      </c>
      <c r="D70" s="217"/>
      <c r="E70" s="217">
        <v>0</v>
      </c>
      <c r="F70" s="217"/>
      <c r="G70" s="217">
        <v>96000</v>
      </c>
      <c r="H70" s="217"/>
      <c r="I70" s="217"/>
      <c r="J70" s="217"/>
    </row>
    <row r="71" spans="1:170" s="214" customFormat="1" ht="47.25">
      <c r="A71" s="225" t="s">
        <v>1260</v>
      </c>
      <c r="B71" s="220">
        <f t="shared" si="1"/>
        <v>130000</v>
      </c>
      <c r="C71" s="220">
        <v>130000</v>
      </c>
      <c r="D71" s="220"/>
      <c r="E71" s="220"/>
      <c r="F71" s="220"/>
      <c r="G71" s="220"/>
      <c r="H71" s="220"/>
      <c r="I71" s="220"/>
      <c r="J71" s="220"/>
    </row>
    <row r="72" spans="1:170" s="214" customFormat="1" ht="31.5">
      <c r="A72" s="225" t="s">
        <v>1142</v>
      </c>
      <c r="B72" s="220">
        <f t="shared" si="1"/>
        <v>51000</v>
      </c>
      <c r="C72" s="220">
        <v>51000</v>
      </c>
      <c r="D72" s="220">
        <v>0</v>
      </c>
      <c r="E72" s="220"/>
      <c r="F72" s="220"/>
      <c r="G72" s="220"/>
      <c r="H72" s="220"/>
      <c r="I72" s="220"/>
      <c r="J72" s="220"/>
    </row>
    <row r="73" spans="1:170" s="214" customFormat="1" ht="63">
      <c r="A73" s="227" t="s">
        <v>1262</v>
      </c>
      <c r="B73" s="220">
        <f t="shared" ref="B73:B136" si="17">C73+D73+E73+F73+G73+H73+I73+J73</f>
        <v>316301</v>
      </c>
      <c r="C73" s="220">
        <v>0</v>
      </c>
      <c r="D73" s="220">
        <v>0</v>
      </c>
      <c r="E73" s="220">
        <v>0</v>
      </c>
      <c r="F73" s="220">
        <v>316301</v>
      </c>
      <c r="G73" s="220"/>
      <c r="H73" s="220"/>
      <c r="I73" s="220"/>
      <c r="J73" s="220"/>
    </row>
    <row r="74" spans="1:170" s="214" customFormat="1" ht="78.75">
      <c r="A74" s="227" t="s">
        <v>1261</v>
      </c>
      <c r="B74" s="220">
        <f t="shared" si="17"/>
        <v>2341644</v>
      </c>
      <c r="C74" s="220">
        <v>0</v>
      </c>
      <c r="D74" s="220">
        <v>0</v>
      </c>
      <c r="E74" s="220">
        <v>0</v>
      </c>
      <c r="F74" s="220">
        <v>2341644</v>
      </c>
      <c r="G74" s="220"/>
      <c r="H74" s="220"/>
      <c r="I74" s="220"/>
      <c r="J74" s="220"/>
    </row>
    <row r="75" spans="1:170" s="214" customFormat="1">
      <c r="A75" s="227" t="s">
        <v>1353</v>
      </c>
      <c r="B75" s="220">
        <f t="shared" si="17"/>
        <v>7000</v>
      </c>
      <c r="C75" s="220">
        <v>0</v>
      </c>
      <c r="D75" s="220">
        <v>0</v>
      </c>
      <c r="E75" s="220">
        <v>7000</v>
      </c>
      <c r="F75" s="220">
        <v>0</v>
      </c>
      <c r="G75" s="220"/>
      <c r="H75" s="220"/>
      <c r="I75" s="220"/>
      <c r="J75" s="220"/>
    </row>
    <row r="76" spans="1:170" s="214" customFormat="1">
      <c r="A76" s="212" t="s">
        <v>568</v>
      </c>
      <c r="B76" s="213">
        <f t="shared" si="17"/>
        <v>2398071</v>
      </c>
      <c r="C76" s="213">
        <f t="shared" ref="C76:J76" si="18">SUM(C77)</f>
        <v>0</v>
      </c>
      <c r="D76" s="213">
        <f t="shared" si="18"/>
        <v>0</v>
      </c>
      <c r="E76" s="213">
        <f t="shared" si="18"/>
        <v>0</v>
      </c>
      <c r="F76" s="213">
        <f t="shared" si="18"/>
        <v>2398071</v>
      </c>
      <c r="G76" s="213">
        <f t="shared" si="18"/>
        <v>0</v>
      </c>
      <c r="H76" s="213">
        <f t="shared" si="18"/>
        <v>0</v>
      </c>
      <c r="I76" s="213">
        <f t="shared" si="18"/>
        <v>0</v>
      </c>
      <c r="J76" s="213">
        <f t="shared" si="18"/>
        <v>0</v>
      </c>
    </row>
    <row r="77" spans="1:170" s="214" customFormat="1">
      <c r="A77" s="212" t="s">
        <v>556</v>
      </c>
      <c r="B77" s="213">
        <f t="shared" si="17"/>
        <v>2398071</v>
      </c>
      <c r="C77" s="213">
        <f t="shared" ref="C77:J77" si="19">SUM(C78:C78)</f>
        <v>0</v>
      </c>
      <c r="D77" s="213">
        <f t="shared" si="19"/>
        <v>0</v>
      </c>
      <c r="E77" s="213">
        <f t="shared" si="19"/>
        <v>0</v>
      </c>
      <c r="F77" s="213">
        <f t="shared" si="19"/>
        <v>2398071</v>
      </c>
      <c r="G77" s="213">
        <f t="shared" si="19"/>
        <v>0</v>
      </c>
      <c r="H77" s="213">
        <f t="shared" si="19"/>
        <v>0</v>
      </c>
      <c r="I77" s="213">
        <f t="shared" si="19"/>
        <v>0</v>
      </c>
      <c r="J77" s="213">
        <f t="shared" si="19"/>
        <v>0</v>
      </c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1"/>
      <c r="BZ77" s="111"/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1"/>
      <c r="CO77" s="111"/>
      <c r="CP77" s="111"/>
      <c r="CQ77" s="111"/>
      <c r="CR77" s="111"/>
      <c r="CS77" s="111"/>
      <c r="CT77" s="111"/>
      <c r="CU77" s="111"/>
      <c r="CV77" s="111"/>
      <c r="CW77" s="111"/>
      <c r="CX77" s="111"/>
      <c r="CY77" s="111"/>
      <c r="CZ77" s="111"/>
      <c r="DA77" s="111"/>
      <c r="DB77" s="111"/>
      <c r="DC77" s="111"/>
      <c r="DD77" s="111"/>
      <c r="DE77" s="111"/>
      <c r="DF77" s="111"/>
      <c r="DG77" s="111"/>
      <c r="DH77" s="111"/>
      <c r="DI77" s="111"/>
      <c r="DJ77" s="111"/>
      <c r="DK77" s="111"/>
      <c r="DL77" s="111"/>
      <c r="DM77" s="111"/>
      <c r="DN77" s="111"/>
      <c r="DO77" s="111"/>
      <c r="DP77" s="111"/>
      <c r="DQ77" s="111"/>
      <c r="DR77" s="111"/>
      <c r="DS77" s="111"/>
      <c r="DT77" s="111"/>
      <c r="DU77" s="111"/>
      <c r="DV77" s="111"/>
      <c r="DW77" s="111"/>
      <c r="DX77" s="111"/>
      <c r="DY77" s="111"/>
      <c r="DZ77" s="111"/>
      <c r="EA77" s="111"/>
      <c r="EB77" s="111"/>
      <c r="EC77" s="111"/>
      <c r="ED77" s="111"/>
      <c r="EE77" s="111"/>
      <c r="EF77" s="111"/>
      <c r="EG77" s="111"/>
      <c r="EH77" s="111"/>
      <c r="EI77" s="111"/>
      <c r="EJ77" s="111"/>
      <c r="EK77" s="111"/>
      <c r="EL77" s="111"/>
      <c r="EM77" s="111"/>
      <c r="EN77" s="111"/>
      <c r="EO77" s="111"/>
      <c r="EP77" s="111"/>
      <c r="EQ77" s="111"/>
      <c r="ER77" s="111"/>
      <c r="ES77" s="111"/>
      <c r="ET77" s="111"/>
      <c r="EU77" s="111"/>
      <c r="EV77" s="111"/>
      <c r="EW77" s="111"/>
      <c r="EX77" s="111"/>
      <c r="EY77" s="111"/>
      <c r="EZ77" s="111"/>
      <c r="FA77" s="111"/>
      <c r="FB77" s="111"/>
      <c r="FC77" s="111"/>
      <c r="FD77" s="111"/>
      <c r="FE77" s="111"/>
      <c r="FF77" s="111"/>
      <c r="FG77" s="111"/>
      <c r="FH77" s="111"/>
      <c r="FI77" s="111"/>
      <c r="FJ77" s="111"/>
      <c r="FK77" s="111"/>
      <c r="FL77" s="111"/>
      <c r="FM77" s="111"/>
      <c r="FN77" s="111"/>
    </row>
    <row r="78" spans="1:170" s="214" customFormat="1" ht="78.75">
      <c r="A78" s="219" t="s">
        <v>1263</v>
      </c>
      <c r="B78" s="220">
        <f t="shared" si="17"/>
        <v>2398071</v>
      </c>
      <c r="C78" s="220">
        <v>0</v>
      </c>
      <c r="D78" s="220">
        <v>0</v>
      </c>
      <c r="E78" s="220">
        <v>0</v>
      </c>
      <c r="F78" s="220">
        <v>2398071</v>
      </c>
      <c r="G78" s="220"/>
      <c r="H78" s="220"/>
      <c r="I78" s="220"/>
      <c r="J78" s="220"/>
      <c r="EU78" s="111"/>
      <c r="EV78" s="111"/>
      <c r="EW78" s="111"/>
      <c r="EX78" s="111"/>
      <c r="EY78" s="111"/>
      <c r="EZ78" s="111"/>
      <c r="FA78" s="111"/>
      <c r="FB78" s="111"/>
      <c r="FC78" s="111"/>
      <c r="FD78" s="111"/>
      <c r="FE78" s="111"/>
      <c r="FF78" s="111"/>
      <c r="FG78" s="111"/>
      <c r="FH78" s="111"/>
      <c r="FI78" s="111"/>
      <c r="FJ78" s="111"/>
      <c r="FK78" s="111"/>
      <c r="FL78" s="111"/>
      <c r="FM78" s="111"/>
      <c r="FN78" s="111"/>
    </row>
    <row r="79" spans="1:170" s="214" customFormat="1">
      <c r="A79" s="212" t="s">
        <v>569</v>
      </c>
      <c r="B79" s="213">
        <f t="shared" si="17"/>
        <v>21593047</v>
      </c>
      <c r="C79" s="213">
        <f t="shared" ref="C79:J79" si="20">SUM(C80,C88,C98,C130,C166,C189,C207,C115)</f>
        <v>152495</v>
      </c>
      <c r="D79" s="213">
        <f t="shared" si="20"/>
        <v>15901</v>
      </c>
      <c r="E79" s="213">
        <f t="shared" si="20"/>
        <v>818140</v>
      </c>
      <c r="F79" s="213">
        <f t="shared" si="20"/>
        <v>11314079</v>
      </c>
      <c r="G79" s="213">
        <f t="shared" si="20"/>
        <v>473196</v>
      </c>
      <c r="H79" s="213">
        <f t="shared" si="20"/>
        <v>5024692</v>
      </c>
      <c r="I79" s="213">
        <f t="shared" si="20"/>
        <v>0</v>
      </c>
      <c r="J79" s="213">
        <f t="shared" si="20"/>
        <v>3794544</v>
      </c>
    </row>
    <row r="80" spans="1:170" s="214" customFormat="1">
      <c r="A80" s="212" t="s">
        <v>555</v>
      </c>
      <c r="B80" s="213">
        <f t="shared" si="17"/>
        <v>89932</v>
      </c>
      <c r="C80" s="213">
        <f>SUM(C81,C83,C85)</f>
        <v>0</v>
      </c>
      <c r="D80" s="213">
        <f t="shared" ref="D80:J80" si="21">SUM(D81,D83,D85)</f>
        <v>5788</v>
      </c>
      <c r="E80" s="213">
        <f t="shared" si="21"/>
        <v>40000</v>
      </c>
      <c r="F80" s="213">
        <f t="shared" si="21"/>
        <v>0</v>
      </c>
      <c r="G80" s="213">
        <f t="shared" si="21"/>
        <v>0</v>
      </c>
      <c r="H80" s="213">
        <f t="shared" si="21"/>
        <v>0</v>
      </c>
      <c r="I80" s="213">
        <f t="shared" si="21"/>
        <v>0</v>
      </c>
      <c r="J80" s="213">
        <f t="shared" si="21"/>
        <v>44144</v>
      </c>
    </row>
    <row r="81" spans="1:170" s="214" customFormat="1">
      <c r="A81" s="212" t="s">
        <v>570</v>
      </c>
      <c r="B81" s="213">
        <f t="shared" si="17"/>
        <v>20000</v>
      </c>
      <c r="C81" s="213">
        <f t="shared" ref="C81:J81" si="22">SUM(C82:C82)</f>
        <v>0</v>
      </c>
      <c r="D81" s="213">
        <f t="shared" si="22"/>
        <v>0</v>
      </c>
      <c r="E81" s="213">
        <f t="shared" si="22"/>
        <v>20000</v>
      </c>
      <c r="F81" s="213">
        <f t="shared" si="22"/>
        <v>0</v>
      </c>
      <c r="G81" s="213">
        <f t="shared" si="22"/>
        <v>0</v>
      </c>
      <c r="H81" s="213">
        <f t="shared" si="22"/>
        <v>0</v>
      </c>
      <c r="I81" s="213">
        <f t="shared" si="22"/>
        <v>0</v>
      </c>
      <c r="J81" s="213">
        <f t="shared" si="22"/>
        <v>0</v>
      </c>
    </row>
    <row r="82" spans="1:170" s="214" customFormat="1">
      <c r="A82" s="219" t="s">
        <v>1354</v>
      </c>
      <c r="B82" s="220">
        <f t="shared" si="17"/>
        <v>20000</v>
      </c>
      <c r="C82" s="220">
        <v>0</v>
      </c>
      <c r="D82" s="220"/>
      <c r="E82" s="220">
        <v>20000</v>
      </c>
      <c r="F82" s="220"/>
      <c r="G82" s="220"/>
      <c r="H82" s="220"/>
      <c r="I82" s="220"/>
      <c r="J82" s="220"/>
    </row>
    <row r="83" spans="1:170" s="111" customFormat="1">
      <c r="A83" s="212" t="s">
        <v>571</v>
      </c>
      <c r="B83" s="213">
        <f t="shared" si="17"/>
        <v>44144</v>
      </c>
      <c r="C83" s="213">
        <f t="shared" ref="C83:J83" si="23">SUM(C84:C84)</f>
        <v>0</v>
      </c>
      <c r="D83" s="213">
        <f t="shared" si="23"/>
        <v>0</v>
      </c>
      <c r="E83" s="213">
        <f t="shared" si="23"/>
        <v>0</v>
      </c>
      <c r="F83" s="213">
        <f t="shared" si="23"/>
        <v>0</v>
      </c>
      <c r="G83" s="213">
        <f t="shared" si="23"/>
        <v>0</v>
      </c>
      <c r="H83" s="213">
        <f t="shared" si="23"/>
        <v>0</v>
      </c>
      <c r="I83" s="213">
        <f t="shared" si="23"/>
        <v>0</v>
      </c>
      <c r="J83" s="213">
        <f t="shared" si="23"/>
        <v>44144</v>
      </c>
      <c r="K83" s="214"/>
      <c r="L83" s="214"/>
      <c r="M83" s="214"/>
      <c r="N83" s="214"/>
      <c r="O83" s="214"/>
      <c r="P83" s="214"/>
      <c r="Q83" s="214"/>
      <c r="R83" s="214"/>
      <c r="S83" s="214"/>
      <c r="T83" s="214"/>
      <c r="U83" s="214"/>
      <c r="V83" s="214"/>
      <c r="W83" s="214"/>
      <c r="X83" s="214"/>
      <c r="Y83" s="214"/>
      <c r="Z83" s="214"/>
      <c r="AA83" s="214"/>
      <c r="AB83" s="214"/>
      <c r="AC83" s="214"/>
      <c r="AD83" s="214"/>
      <c r="AE83" s="214"/>
      <c r="AF83" s="214"/>
      <c r="AG83" s="214"/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214"/>
      <c r="BN83" s="214"/>
      <c r="BO83" s="214"/>
      <c r="BP83" s="214"/>
      <c r="BQ83" s="214"/>
      <c r="BR83" s="214"/>
      <c r="BS83" s="214"/>
      <c r="BT83" s="214"/>
      <c r="BU83" s="214"/>
      <c r="BV83" s="214"/>
      <c r="BW83" s="214"/>
      <c r="BX83" s="214"/>
      <c r="BY83" s="214"/>
      <c r="BZ83" s="214"/>
      <c r="CA83" s="214"/>
      <c r="CB83" s="214"/>
      <c r="CC83" s="214"/>
      <c r="CD83" s="214"/>
      <c r="CE83" s="214"/>
      <c r="CF83" s="214"/>
      <c r="CG83" s="214"/>
      <c r="CH83" s="214"/>
      <c r="CI83" s="214"/>
      <c r="CJ83" s="214"/>
      <c r="CK83" s="214"/>
      <c r="CL83" s="214"/>
      <c r="CM83" s="214"/>
      <c r="CN83" s="214"/>
      <c r="CO83" s="214"/>
      <c r="CP83" s="214"/>
      <c r="CQ83" s="214"/>
      <c r="CR83" s="214"/>
      <c r="CS83" s="214"/>
      <c r="CT83" s="214"/>
      <c r="CU83" s="214"/>
      <c r="CV83" s="214"/>
      <c r="CW83" s="214"/>
      <c r="CX83" s="214"/>
      <c r="CY83" s="214"/>
      <c r="CZ83" s="214"/>
      <c r="DA83" s="214"/>
      <c r="DB83" s="214"/>
      <c r="DC83" s="214"/>
      <c r="DD83" s="214"/>
      <c r="DE83" s="214"/>
      <c r="DF83" s="214"/>
      <c r="DG83" s="214"/>
      <c r="DH83" s="214"/>
      <c r="DI83" s="214"/>
      <c r="DJ83" s="214"/>
      <c r="DK83" s="214"/>
      <c r="DL83" s="214"/>
      <c r="DM83" s="214"/>
      <c r="DN83" s="214"/>
      <c r="DO83" s="214"/>
      <c r="DP83" s="214"/>
      <c r="DQ83" s="214"/>
      <c r="DR83" s="214"/>
      <c r="DS83" s="214"/>
      <c r="DT83" s="214"/>
      <c r="DU83" s="214"/>
      <c r="DV83" s="214"/>
      <c r="DW83" s="214"/>
      <c r="DX83" s="214"/>
      <c r="DY83" s="214"/>
      <c r="DZ83" s="214"/>
      <c r="EA83" s="214"/>
      <c r="EB83" s="214"/>
      <c r="EC83" s="214"/>
      <c r="ED83" s="214"/>
      <c r="EE83" s="214"/>
      <c r="EF83" s="214"/>
      <c r="EG83" s="214"/>
      <c r="EH83" s="214"/>
      <c r="EI83" s="214"/>
      <c r="EJ83" s="214"/>
      <c r="EK83" s="214"/>
      <c r="EL83" s="214"/>
      <c r="EM83" s="214"/>
      <c r="EN83" s="214"/>
      <c r="EO83" s="214"/>
      <c r="EP83" s="214"/>
      <c r="EQ83" s="214"/>
      <c r="ER83" s="214"/>
      <c r="ES83" s="214"/>
      <c r="ET83" s="214"/>
      <c r="EU83" s="214"/>
      <c r="EV83" s="214"/>
      <c r="EW83" s="214"/>
      <c r="EX83" s="214"/>
      <c r="EY83" s="214"/>
      <c r="EZ83" s="214"/>
      <c r="FA83" s="214"/>
      <c r="FB83" s="214"/>
      <c r="FC83" s="214"/>
      <c r="FD83" s="214"/>
      <c r="FE83" s="214"/>
      <c r="FF83" s="214"/>
      <c r="FG83" s="214"/>
      <c r="FH83" s="214"/>
      <c r="FI83" s="214"/>
      <c r="FJ83" s="214"/>
      <c r="FK83" s="214"/>
      <c r="FL83" s="214"/>
      <c r="FM83" s="214"/>
      <c r="FN83" s="214"/>
    </row>
    <row r="84" spans="1:170" s="214" customFormat="1" ht="47.25">
      <c r="A84" s="225" t="s">
        <v>1145</v>
      </c>
      <c r="B84" s="220">
        <f t="shared" si="17"/>
        <v>44144</v>
      </c>
      <c r="C84" s="220">
        <v>0</v>
      </c>
      <c r="D84" s="220"/>
      <c r="E84" s="220"/>
      <c r="F84" s="220"/>
      <c r="G84" s="220"/>
      <c r="H84" s="220"/>
      <c r="I84" s="220"/>
      <c r="J84" s="220">
        <v>44144</v>
      </c>
      <c r="EU84" s="111"/>
      <c r="EV84" s="111"/>
      <c r="EW84" s="111"/>
      <c r="EX84" s="111"/>
      <c r="EY84" s="111"/>
      <c r="EZ84" s="111"/>
      <c r="FA84" s="111"/>
      <c r="FB84" s="111"/>
      <c r="FC84" s="111"/>
      <c r="FD84" s="111"/>
      <c r="FE84" s="111"/>
      <c r="FF84" s="111"/>
      <c r="FG84" s="111"/>
      <c r="FH84" s="111"/>
      <c r="FI84" s="111"/>
      <c r="FJ84" s="111"/>
      <c r="FK84" s="111"/>
      <c r="FL84" s="111"/>
      <c r="FM84" s="111"/>
      <c r="FN84" s="111"/>
    </row>
    <row r="85" spans="1:170" s="214" customFormat="1" ht="31.5">
      <c r="A85" s="212" t="s">
        <v>572</v>
      </c>
      <c r="B85" s="213">
        <f t="shared" si="17"/>
        <v>25788</v>
      </c>
      <c r="C85" s="213">
        <f t="shared" ref="C85:J85" si="24">SUM(C86:C87)</f>
        <v>0</v>
      </c>
      <c r="D85" s="213">
        <f t="shared" si="24"/>
        <v>5788</v>
      </c>
      <c r="E85" s="213">
        <f t="shared" si="24"/>
        <v>20000</v>
      </c>
      <c r="F85" s="213">
        <f t="shared" si="24"/>
        <v>0</v>
      </c>
      <c r="G85" s="213">
        <f t="shared" si="24"/>
        <v>0</v>
      </c>
      <c r="H85" s="213">
        <f t="shared" si="24"/>
        <v>0</v>
      </c>
      <c r="I85" s="213">
        <f t="shared" si="24"/>
        <v>0</v>
      </c>
      <c r="J85" s="213">
        <f t="shared" si="24"/>
        <v>0</v>
      </c>
    </row>
    <row r="86" spans="1:170" s="214" customFormat="1" ht="31.5">
      <c r="A86" s="226" t="s">
        <v>1355</v>
      </c>
      <c r="B86" s="220">
        <f t="shared" si="17"/>
        <v>5788</v>
      </c>
      <c r="C86" s="220">
        <v>0</v>
      </c>
      <c r="D86" s="220">
        <v>5788</v>
      </c>
      <c r="E86" s="220">
        <v>0</v>
      </c>
      <c r="F86" s="220"/>
      <c r="G86" s="220"/>
      <c r="H86" s="220"/>
      <c r="I86" s="220"/>
      <c r="J86" s="220"/>
    </row>
    <row r="87" spans="1:170" s="214" customFormat="1">
      <c r="A87" s="226" t="s">
        <v>573</v>
      </c>
      <c r="B87" s="220">
        <f t="shared" si="17"/>
        <v>20000</v>
      </c>
      <c r="C87" s="220">
        <v>0</v>
      </c>
      <c r="D87" s="220"/>
      <c r="E87" s="220">
        <v>20000</v>
      </c>
      <c r="F87" s="220"/>
      <c r="G87" s="220"/>
      <c r="H87" s="220"/>
      <c r="I87" s="220"/>
      <c r="J87" s="220"/>
    </row>
    <row r="88" spans="1:170" s="214" customFormat="1">
      <c r="A88" s="218" t="s">
        <v>559</v>
      </c>
      <c r="B88" s="215">
        <f>C88+D88+E88+F88+G88+H88+I88+J88</f>
        <v>55065</v>
      </c>
      <c r="C88" s="215">
        <f>SUM(C89,C91,C94)</f>
        <v>0</v>
      </c>
      <c r="D88" s="215">
        <f t="shared" ref="D88:J88" si="25">SUM(D89,D91,D94)</f>
        <v>6060</v>
      </c>
      <c r="E88" s="215">
        <f t="shared" si="25"/>
        <v>21488</v>
      </c>
      <c r="F88" s="215">
        <f t="shared" si="25"/>
        <v>0</v>
      </c>
      <c r="G88" s="215">
        <f t="shared" si="25"/>
        <v>27517</v>
      </c>
      <c r="H88" s="215">
        <f t="shared" si="25"/>
        <v>0</v>
      </c>
      <c r="I88" s="215">
        <f t="shared" si="25"/>
        <v>0</v>
      </c>
      <c r="J88" s="215">
        <f t="shared" si="25"/>
        <v>0</v>
      </c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111"/>
      <c r="BL88" s="111"/>
      <c r="BM88" s="111"/>
      <c r="BN88" s="111"/>
      <c r="BO88" s="111"/>
      <c r="BP88" s="111"/>
      <c r="BQ88" s="111"/>
      <c r="BR88" s="111"/>
      <c r="BS88" s="111"/>
      <c r="BT88" s="111"/>
      <c r="BU88" s="111"/>
      <c r="BV88" s="111"/>
      <c r="BW88" s="111"/>
      <c r="BX88" s="111"/>
      <c r="BY88" s="111"/>
      <c r="BZ88" s="111"/>
      <c r="CA88" s="111"/>
      <c r="CB88" s="111"/>
      <c r="CC88" s="111"/>
      <c r="CD88" s="111"/>
      <c r="CE88" s="111"/>
      <c r="CF88" s="111"/>
      <c r="CG88" s="111"/>
      <c r="CH88" s="111"/>
      <c r="CI88" s="111"/>
      <c r="CJ88" s="111"/>
      <c r="CK88" s="111"/>
      <c r="CL88" s="111"/>
      <c r="CM88" s="111"/>
      <c r="CN88" s="111"/>
      <c r="CO88" s="111"/>
      <c r="CP88" s="111"/>
      <c r="CQ88" s="111"/>
      <c r="CR88" s="111"/>
      <c r="CS88" s="111"/>
      <c r="CT88" s="111"/>
      <c r="CU88" s="111"/>
      <c r="CV88" s="111"/>
      <c r="CW88" s="111"/>
      <c r="CX88" s="111"/>
      <c r="CY88" s="111"/>
      <c r="CZ88" s="111"/>
      <c r="DA88" s="111"/>
      <c r="DB88" s="111"/>
      <c r="DC88" s="111"/>
      <c r="DD88" s="111"/>
      <c r="DE88" s="111"/>
      <c r="DF88" s="111"/>
      <c r="DG88" s="111"/>
      <c r="DH88" s="111"/>
      <c r="DI88" s="111"/>
      <c r="DJ88" s="111"/>
      <c r="DK88" s="111"/>
      <c r="DL88" s="111"/>
      <c r="DM88" s="111"/>
      <c r="DN88" s="111"/>
      <c r="DO88" s="111"/>
      <c r="DP88" s="111"/>
      <c r="DQ88" s="111"/>
      <c r="DR88" s="111"/>
      <c r="DS88" s="111"/>
      <c r="DT88" s="111"/>
      <c r="DU88" s="111"/>
      <c r="DV88" s="111"/>
      <c r="DW88" s="111"/>
      <c r="DX88" s="111"/>
      <c r="DY88" s="111"/>
      <c r="DZ88" s="111"/>
      <c r="EA88" s="111"/>
      <c r="EB88" s="111"/>
      <c r="EC88" s="111"/>
      <c r="ED88" s="111"/>
      <c r="EE88" s="111"/>
      <c r="EF88" s="111"/>
      <c r="EG88" s="111"/>
      <c r="EH88" s="111"/>
      <c r="EI88" s="111"/>
      <c r="EJ88" s="111"/>
      <c r="EK88" s="111"/>
      <c r="EL88" s="111"/>
      <c r="EM88" s="111"/>
      <c r="EN88" s="111"/>
      <c r="EO88" s="111"/>
      <c r="EP88" s="111"/>
      <c r="EQ88" s="111"/>
      <c r="ER88" s="111"/>
      <c r="ES88" s="111"/>
      <c r="ET88" s="111"/>
      <c r="EU88" s="111"/>
      <c r="EV88" s="111"/>
      <c r="EW88" s="111"/>
      <c r="EX88" s="111"/>
      <c r="EY88" s="111"/>
      <c r="EZ88" s="111"/>
      <c r="FA88" s="111"/>
      <c r="FB88" s="111"/>
      <c r="FC88" s="111"/>
      <c r="FD88" s="111"/>
      <c r="FE88" s="111"/>
      <c r="FF88" s="111"/>
      <c r="FG88" s="111"/>
      <c r="FH88" s="111"/>
      <c r="FI88" s="111"/>
      <c r="FJ88" s="111"/>
      <c r="FK88" s="111"/>
      <c r="FL88" s="111"/>
      <c r="FM88" s="111"/>
      <c r="FN88" s="111"/>
    </row>
    <row r="89" spans="1:170" s="214" customFormat="1">
      <c r="A89" s="212" t="s">
        <v>570</v>
      </c>
      <c r="B89" s="213">
        <f t="shared" ref="B89:B90" si="26">C89+D89+E89+F89+G89+H89+I89+J89</f>
        <v>7400</v>
      </c>
      <c r="C89" s="213">
        <f t="shared" ref="C89:J89" si="27">SUM(C90:C90)</f>
        <v>0</v>
      </c>
      <c r="D89" s="213">
        <f t="shared" si="27"/>
        <v>0</v>
      </c>
      <c r="E89" s="213">
        <f t="shared" si="27"/>
        <v>1744</v>
      </c>
      <c r="F89" s="213">
        <f t="shared" si="27"/>
        <v>0</v>
      </c>
      <c r="G89" s="213">
        <f t="shared" si="27"/>
        <v>5656</v>
      </c>
      <c r="H89" s="213">
        <f t="shared" si="27"/>
        <v>0</v>
      </c>
      <c r="I89" s="213">
        <f t="shared" si="27"/>
        <v>0</v>
      </c>
      <c r="J89" s="213">
        <f t="shared" si="27"/>
        <v>0</v>
      </c>
    </row>
    <row r="90" spans="1:170" s="214" customFormat="1" ht="31.5">
      <c r="A90" s="219" t="s">
        <v>1356</v>
      </c>
      <c r="B90" s="220">
        <f t="shared" si="26"/>
        <v>7400</v>
      </c>
      <c r="C90" s="220">
        <v>0</v>
      </c>
      <c r="D90" s="220"/>
      <c r="E90" s="220">
        <v>1744</v>
      </c>
      <c r="F90" s="220"/>
      <c r="G90" s="220">
        <v>5656</v>
      </c>
      <c r="H90" s="220"/>
      <c r="I90" s="220"/>
      <c r="J90" s="220"/>
    </row>
    <row r="91" spans="1:170" s="214" customFormat="1" ht="31.5">
      <c r="A91" s="212" t="s">
        <v>572</v>
      </c>
      <c r="B91" s="215">
        <f t="shared" si="17"/>
        <v>26060</v>
      </c>
      <c r="C91" s="215">
        <f t="shared" ref="C91:J91" si="28">SUM(C92:C93)</f>
        <v>0</v>
      </c>
      <c r="D91" s="215">
        <f t="shared" si="28"/>
        <v>6060</v>
      </c>
      <c r="E91" s="215">
        <f t="shared" si="28"/>
        <v>0</v>
      </c>
      <c r="F91" s="215">
        <f t="shared" si="28"/>
        <v>0</v>
      </c>
      <c r="G91" s="215">
        <f t="shared" si="28"/>
        <v>20000</v>
      </c>
      <c r="H91" s="215">
        <f t="shared" si="28"/>
        <v>0</v>
      </c>
      <c r="I91" s="215">
        <f t="shared" si="28"/>
        <v>0</v>
      </c>
      <c r="J91" s="215">
        <f t="shared" si="28"/>
        <v>0</v>
      </c>
    </row>
    <row r="92" spans="1:170" s="214" customFormat="1">
      <c r="A92" s="226" t="s">
        <v>1264</v>
      </c>
      <c r="B92" s="220">
        <f t="shared" si="17"/>
        <v>20000</v>
      </c>
      <c r="C92" s="220">
        <v>0</v>
      </c>
      <c r="D92" s="220">
        <v>0</v>
      </c>
      <c r="E92" s="220"/>
      <c r="F92" s="220"/>
      <c r="G92" s="220">
        <f>10000+10000</f>
        <v>20000</v>
      </c>
      <c r="H92" s="220"/>
      <c r="I92" s="220"/>
      <c r="J92" s="220"/>
    </row>
    <row r="93" spans="1:170" s="214" customFormat="1" ht="31.5">
      <c r="A93" s="219" t="s">
        <v>1357</v>
      </c>
      <c r="B93" s="220">
        <f t="shared" si="17"/>
        <v>6060</v>
      </c>
      <c r="C93" s="220">
        <v>0</v>
      </c>
      <c r="D93" s="220">
        <v>6060</v>
      </c>
      <c r="E93" s="220"/>
      <c r="F93" s="220"/>
      <c r="G93" s="220"/>
      <c r="H93" s="220"/>
      <c r="I93" s="220"/>
      <c r="J93" s="220">
        <v>0</v>
      </c>
    </row>
    <row r="94" spans="1:170" s="214" customFormat="1">
      <c r="A94" s="212" t="s">
        <v>577</v>
      </c>
      <c r="B94" s="213">
        <f t="shared" si="17"/>
        <v>21605</v>
      </c>
      <c r="C94" s="213">
        <f t="shared" ref="C94:J94" si="29">SUM(C95:C97)</f>
        <v>0</v>
      </c>
      <c r="D94" s="213">
        <f t="shared" si="29"/>
        <v>0</v>
      </c>
      <c r="E94" s="213">
        <f t="shared" si="29"/>
        <v>19744</v>
      </c>
      <c r="F94" s="213">
        <f t="shared" si="29"/>
        <v>0</v>
      </c>
      <c r="G94" s="213">
        <f t="shared" si="29"/>
        <v>1861</v>
      </c>
      <c r="H94" s="213">
        <f t="shared" si="29"/>
        <v>0</v>
      </c>
      <c r="I94" s="213">
        <f t="shared" si="29"/>
        <v>0</v>
      </c>
      <c r="J94" s="213">
        <f t="shared" si="29"/>
        <v>0</v>
      </c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11"/>
      <c r="BS94" s="111"/>
      <c r="BT94" s="111"/>
      <c r="BU94" s="111"/>
      <c r="BV94" s="111"/>
      <c r="BW94" s="111"/>
      <c r="BX94" s="111"/>
      <c r="BY94" s="111"/>
      <c r="BZ94" s="111"/>
      <c r="CA94" s="111"/>
      <c r="CB94" s="111"/>
      <c r="CC94" s="111"/>
      <c r="CD94" s="111"/>
      <c r="CE94" s="111"/>
      <c r="CF94" s="111"/>
      <c r="CG94" s="111"/>
      <c r="CH94" s="111"/>
      <c r="CI94" s="111"/>
      <c r="CJ94" s="111"/>
      <c r="CK94" s="111"/>
      <c r="CL94" s="111"/>
      <c r="CM94" s="111"/>
      <c r="CN94" s="111"/>
      <c r="CO94" s="111"/>
      <c r="CP94" s="111"/>
      <c r="CQ94" s="111"/>
      <c r="CR94" s="111"/>
      <c r="CS94" s="111"/>
      <c r="CT94" s="111"/>
      <c r="CU94" s="111"/>
      <c r="CV94" s="111"/>
      <c r="CW94" s="111"/>
      <c r="CX94" s="111"/>
      <c r="CY94" s="111"/>
      <c r="CZ94" s="111"/>
      <c r="DA94" s="111"/>
      <c r="DB94" s="111"/>
      <c r="DC94" s="111"/>
      <c r="DD94" s="111"/>
      <c r="DE94" s="111"/>
      <c r="DF94" s="111"/>
      <c r="DG94" s="111"/>
      <c r="DH94" s="111"/>
      <c r="DI94" s="111"/>
      <c r="DJ94" s="111"/>
      <c r="DK94" s="111"/>
      <c r="DL94" s="111"/>
      <c r="DM94" s="111"/>
      <c r="DN94" s="111"/>
      <c r="DO94" s="111"/>
      <c r="DP94" s="111"/>
      <c r="DQ94" s="111"/>
      <c r="DR94" s="111"/>
      <c r="DS94" s="111"/>
      <c r="DT94" s="111"/>
      <c r="DU94" s="111"/>
      <c r="DV94" s="111"/>
      <c r="DW94" s="111"/>
      <c r="DX94" s="111"/>
      <c r="DY94" s="111"/>
      <c r="DZ94" s="111"/>
      <c r="EA94" s="111"/>
      <c r="EB94" s="111"/>
      <c r="EC94" s="111"/>
      <c r="ED94" s="111"/>
      <c r="EE94" s="111"/>
      <c r="EF94" s="111"/>
      <c r="EG94" s="111"/>
      <c r="EH94" s="111"/>
      <c r="EI94" s="111"/>
      <c r="EJ94" s="111"/>
      <c r="EK94" s="111"/>
      <c r="EL94" s="111"/>
      <c r="EM94" s="111"/>
      <c r="EN94" s="111"/>
      <c r="EO94" s="111"/>
      <c r="EP94" s="111"/>
      <c r="EQ94" s="111"/>
      <c r="ER94" s="111"/>
      <c r="ES94" s="111"/>
      <c r="ET94" s="111"/>
      <c r="EU94" s="111"/>
      <c r="EV94" s="111"/>
      <c r="EW94" s="111"/>
      <c r="EX94" s="111"/>
      <c r="EY94" s="111"/>
      <c r="EZ94" s="111"/>
      <c r="FA94" s="111"/>
      <c r="FB94" s="111"/>
      <c r="FC94" s="111"/>
      <c r="FD94" s="111"/>
      <c r="FE94" s="111"/>
      <c r="FF94" s="111"/>
      <c r="FG94" s="111"/>
      <c r="FH94" s="111"/>
      <c r="FI94" s="111"/>
      <c r="FJ94" s="111"/>
      <c r="FK94" s="111"/>
      <c r="FL94" s="111"/>
      <c r="FM94" s="111"/>
      <c r="FN94" s="111"/>
    </row>
    <row r="95" spans="1:170" s="214" customFormat="1" ht="63">
      <c r="A95" s="219" t="s">
        <v>1358</v>
      </c>
      <c r="B95" s="220">
        <f t="shared" si="17"/>
        <v>19744</v>
      </c>
      <c r="C95" s="220">
        <v>0</v>
      </c>
      <c r="D95" s="220"/>
      <c r="E95" s="220">
        <v>19744</v>
      </c>
      <c r="F95" s="220"/>
      <c r="G95" s="220"/>
      <c r="H95" s="220">
        <v>0</v>
      </c>
      <c r="I95" s="220"/>
      <c r="J95" s="220"/>
    </row>
    <row r="96" spans="1:170" s="214" customFormat="1" ht="31.5">
      <c r="A96" s="221" t="s">
        <v>1359</v>
      </c>
      <c r="B96" s="220">
        <f t="shared" si="17"/>
        <v>1593</v>
      </c>
      <c r="C96" s="220">
        <v>0</v>
      </c>
      <c r="D96" s="220">
        <v>0</v>
      </c>
      <c r="E96" s="220">
        <v>0</v>
      </c>
      <c r="F96" s="220"/>
      <c r="G96" s="220">
        <v>1593</v>
      </c>
      <c r="H96" s="220">
        <v>0</v>
      </c>
      <c r="I96" s="220"/>
      <c r="J96" s="220"/>
    </row>
    <row r="97" spans="1:170" s="214" customFormat="1" ht="31.5">
      <c r="A97" s="221" t="s">
        <v>1360</v>
      </c>
      <c r="B97" s="220">
        <f t="shared" si="17"/>
        <v>268</v>
      </c>
      <c r="C97" s="220">
        <v>0</v>
      </c>
      <c r="D97" s="220">
        <v>0</v>
      </c>
      <c r="E97" s="220">
        <v>0</v>
      </c>
      <c r="F97" s="220"/>
      <c r="G97" s="220">
        <v>268</v>
      </c>
      <c r="H97" s="220">
        <f>3019-3019</f>
        <v>0</v>
      </c>
      <c r="I97" s="220"/>
      <c r="J97" s="220"/>
    </row>
    <row r="98" spans="1:170" s="214" customFormat="1">
      <c r="A98" s="212" t="s">
        <v>562</v>
      </c>
      <c r="B98" s="213">
        <f t="shared" si="17"/>
        <v>3133184</v>
      </c>
      <c r="C98" s="213">
        <f t="shared" ref="C98:J98" si="30">SUM(C99,C108,C112,C106)</f>
        <v>0</v>
      </c>
      <c r="D98" s="213">
        <f t="shared" si="30"/>
        <v>0</v>
      </c>
      <c r="E98" s="213">
        <f t="shared" si="30"/>
        <v>0</v>
      </c>
      <c r="F98" s="213">
        <f t="shared" si="30"/>
        <v>20455</v>
      </c>
      <c r="G98" s="213">
        <f t="shared" si="30"/>
        <v>141129</v>
      </c>
      <c r="H98" s="213">
        <f t="shared" si="30"/>
        <v>0</v>
      </c>
      <c r="I98" s="213">
        <f t="shared" si="30"/>
        <v>0</v>
      </c>
      <c r="J98" s="213">
        <f t="shared" si="30"/>
        <v>2971600</v>
      </c>
    </row>
    <row r="99" spans="1:170" s="214" customFormat="1">
      <c r="A99" s="212" t="s">
        <v>570</v>
      </c>
      <c r="B99" s="213">
        <f t="shared" si="17"/>
        <v>65725</v>
      </c>
      <c r="C99" s="213">
        <f t="shared" ref="C99:J99" si="31">SUM(C100:C105)</f>
        <v>0</v>
      </c>
      <c r="D99" s="213">
        <f t="shared" si="31"/>
        <v>0</v>
      </c>
      <c r="E99" s="213">
        <f t="shared" si="31"/>
        <v>0</v>
      </c>
      <c r="F99" s="213">
        <f t="shared" si="31"/>
        <v>6000</v>
      </c>
      <c r="G99" s="213">
        <f t="shared" si="31"/>
        <v>59725</v>
      </c>
      <c r="H99" s="213">
        <f t="shared" si="31"/>
        <v>0</v>
      </c>
      <c r="I99" s="213">
        <f t="shared" si="31"/>
        <v>0</v>
      </c>
      <c r="J99" s="213">
        <f t="shared" si="31"/>
        <v>0</v>
      </c>
    </row>
    <row r="100" spans="1:170" s="111" customFormat="1" ht="47.25">
      <c r="A100" s="219" t="s">
        <v>1361</v>
      </c>
      <c r="B100" s="220">
        <f t="shared" si="17"/>
        <v>8814</v>
      </c>
      <c r="C100" s="220">
        <v>0</v>
      </c>
      <c r="D100" s="220"/>
      <c r="E100" s="220">
        <v>0</v>
      </c>
      <c r="F100" s="220"/>
      <c r="G100" s="220">
        <v>8814</v>
      </c>
      <c r="H100" s="220">
        <v>0</v>
      </c>
      <c r="I100" s="220"/>
      <c r="J100" s="220"/>
      <c r="K100" s="214"/>
      <c r="L100" s="214"/>
      <c r="M100" s="214"/>
      <c r="N100" s="214"/>
      <c r="O100" s="214"/>
      <c r="P100" s="214"/>
      <c r="Q100" s="214"/>
      <c r="R100" s="214"/>
      <c r="S100" s="214"/>
      <c r="T100" s="214"/>
      <c r="U100" s="214"/>
      <c r="V100" s="214"/>
      <c r="W100" s="214"/>
      <c r="X100" s="214"/>
      <c r="Y100" s="214"/>
      <c r="Z100" s="214"/>
      <c r="AA100" s="214"/>
      <c r="AB100" s="214"/>
      <c r="AC100" s="214"/>
      <c r="AD100" s="214"/>
      <c r="AE100" s="214"/>
      <c r="AF100" s="214"/>
      <c r="AG100" s="214"/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  <c r="BI100" s="214"/>
      <c r="BJ100" s="214"/>
      <c r="BK100" s="214"/>
      <c r="BL100" s="214"/>
      <c r="BM100" s="214"/>
      <c r="BN100" s="214"/>
      <c r="BO100" s="214"/>
      <c r="BP100" s="214"/>
      <c r="BQ100" s="214"/>
      <c r="BR100" s="214"/>
      <c r="BS100" s="214"/>
      <c r="BT100" s="214"/>
      <c r="BU100" s="214"/>
      <c r="BV100" s="214"/>
      <c r="BW100" s="214"/>
      <c r="BX100" s="214"/>
      <c r="BY100" s="214"/>
      <c r="BZ100" s="214"/>
      <c r="CA100" s="214"/>
      <c r="CB100" s="214"/>
      <c r="CC100" s="214"/>
      <c r="CD100" s="214"/>
      <c r="CE100" s="214"/>
      <c r="CF100" s="214"/>
      <c r="CG100" s="214"/>
      <c r="CH100" s="214"/>
      <c r="CI100" s="214"/>
      <c r="CJ100" s="214"/>
      <c r="CK100" s="214"/>
      <c r="CL100" s="214"/>
      <c r="CM100" s="214"/>
      <c r="CN100" s="214"/>
      <c r="CO100" s="214"/>
      <c r="CP100" s="214"/>
      <c r="CQ100" s="214"/>
      <c r="CR100" s="214"/>
      <c r="CS100" s="214"/>
      <c r="CT100" s="214"/>
      <c r="CU100" s="214"/>
      <c r="CV100" s="214"/>
      <c r="CW100" s="214"/>
      <c r="CX100" s="214"/>
      <c r="CY100" s="214"/>
      <c r="CZ100" s="214"/>
      <c r="DA100" s="214"/>
      <c r="DB100" s="214"/>
      <c r="DC100" s="214"/>
      <c r="DD100" s="214"/>
      <c r="DE100" s="214"/>
      <c r="DF100" s="214"/>
      <c r="DG100" s="214"/>
      <c r="DH100" s="214"/>
      <c r="DI100" s="214"/>
      <c r="DJ100" s="214"/>
      <c r="DK100" s="214"/>
      <c r="DL100" s="214"/>
      <c r="DM100" s="214"/>
      <c r="DN100" s="214"/>
      <c r="DO100" s="214"/>
      <c r="DP100" s="214"/>
      <c r="DQ100" s="214"/>
      <c r="DR100" s="214"/>
      <c r="DS100" s="214"/>
      <c r="DT100" s="214"/>
      <c r="DU100" s="214"/>
      <c r="DV100" s="214"/>
      <c r="DW100" s="214"/>
      <c r="DX100" s="214"/>
      <c r="DY100" s="214"/>
      <c r="DZ100" s="214"/>
      <c r="EA100" s="214"/>
      <c r="EB100" s="214"/>
      <c r="EC100" s="214"/>
      <c r="ED100" s="214"/>
      <c r="EE100" s="214"/>
      <c r="EF100" s="214"/>
      <c r="EG100" s="214"/>
      <c r="EH100" s="214"/>
      <c r="EI100" s="214"/>
      <c r="EJ100" s="214"/>
      <c r="EK100" s="214"/>
      <c r="EL100" s="214"/>
      <c r="EM100" s="214"/>
      <c r="EN100" s="214"/>
      <c r="EO100" s="214"/>
      <c r="EP100" s="214"/>
      <c r="EQ100" s="214"/>
      <c r="ER100" s="214"/>
      <c r="ES100" s="214"/>
      <c r="ET100" s="214"/>
      <c r="EU100" s="214"/>
      <c r="EV100" s="214"/>
      <c r="EW100" s="214"/>
      <c r="EX100" s="214"/>
      <c r="EY100" s="214"/>
      <c r="EZ100" s="214"/>
      <c r="FA100" s="214"/>
      <c r="FB100" s="214"/>
      <c r="FC100" s="214"/>
      <c r="FD100" s="214"/>
      <c r="FE100" s="214"/>
      <c r="FF100" s="214"/>
      <c r="FG100" s="214"/>
      <c r="FH100" s="214"/>
      <c r="FI100" s="214"/>
      <c r="FJ100" s="214"/>
      <c r="FK100" s="214"/>
      <c r="FL100" s="214"/>
      <c r="FM100" s="214"/>
      <c r="FN100" s="214"/>
    </row>
    <row r="101" spans="1:170" s="111" customFormat="1" ht="47.25">
      <c r="A101" s="219" t="s">
        <v>1362</v>
      </c>
      <c r="B101" s="220">
        <f t="shared" si="17"/>
        <v>19999</v>
      </c>
      <c r="C101" s="220">
        <v>0</v>
      </c>
      <c r="D101" s="220"/>
      <c r="E101" s="220">
        <v>0</v>
      </c>
      <c r="F101" s="220"/>
      <c r="G101" s="220">
        <v>19999</v>
      </c>
      <c r="H101" s="220">
        <v>0</v>
      </c>
      <c r="I101" s="220"/>
      <c r="J101" s="220"/>
      <c r="K101" s="214"/>
      <c r="L101" s="214"/>
      <c r="M101" s="214"/>
      <c r="N101" s="214"/>
      <c r="O101" s="214"/>
      <c r="P101" s="214"/>
      <c r="Q101" s="214"/>
      <c r="R101" s="214"/>
      <c r="S101" s="214"/>
      <c r="T101" s="214"/>
      <c r="U101" s="214"/>
      <c r="V101" s="214"/>
      <c r="W101" s="214"/>
      <c r="X101" s="214"/>
      <c r="Y101" s="214"/>
      <c r="Z101" s="214"/>
      <c r="AA101" s="214"/>
      <c r="AB101" s="214"/>
      <c r="AC101" s="214"/>
      <c r="AD101" s="214"/>
      <c r="AE101" s="214"/>
      <c r="AF101" s="214"/>
      <c r="AG101" s="214"/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  <c r="BI101" s="214"/>
      <c r="BJ101" s="214"/>
      <c r="BK101" s="214"/>
      <c r="BL101" s="214"/>
      <c r="BM101" s="214"/>
      <c r="BN101" s="214"/>
      <c r="BO101" s="214"/>
      <c r="BP101" s="214"/>
      <c r="BQ101" s="214"/>
      <c r="BR101" s="214"/>
      <c r="BS101" s="214"/>
      <c r="BT101" s="214"/>
      <c r="BU101" s="214"/>
      <c r="BV101" s="214"/>
      <c r="BW101" s="214"/>
      <c r="BX101" s="214"/>
      <c r="BY101" s="214"/>
      <c r="BZ101" s="214"/>
      <c r="CA101" s="214"/>
      <c r="CB101" s="214"/>
      <c r="CC101" s="214"/>
      <c r="CD101" s="214"/>
      <c r="CE101" s="214"/>
      <c r="CF101" s="214"/>
      <c r="CG101" s="214"/>
      <c r="CH101" s="214"/>
      <c r="CI101" s="214"/>
      <c r="CJ101" s="214"/>
      <c r="CK101" s="214"/>
      <c r="CL101" s="214"/>
      <c r="CM101" s="214"/>
      <c r="CN101" s="214"/>
      <c r="CO101" s="214"/>
      <c r="CP101" s="214"/>
      <c r="CQ101" s="214"/>
      <c r="CR101" s="214"/>
      <c r="CS101" s="214"/>
      <c r="CT101" s="214"/>
      <c r="CU101" s="214"/>
      <c r="CV101" s="214"/>
      <c r="CW101" s="214"/>
      <c r="CX101" s="214"/>
      <c r="CY101" s="214"/>
      <c r="CZ101" s="214"/>
      <c r="DA101" s="214"/>
      <c r="DB101" s="214"/>
      <c r="DC101" s="214"/>
      <c r="DD101" s="214"/>
      <c r="DE101" s="214"/>
      <c r="DF101" s="214"/>
      <c r="DG101" s="214"/>
      <c r="DH101" s="214"/>
      <c r="DI101" s="214"/>
      <c r="DJ101" s="214"/>
      <c r="DK101" s="214"/>
      <c r="DL101" s="214"/>
      <c r="DM101" s="214"/>
      <c r="DN101" s="214"/>
      <c r="DO101" s="214"/>
      <c r="DP101" s="214"/>
      <c r="DQ101" s="214"/>
      <c r="DR101" s="214"/>
      <c r="DS101" s="214"/>
      <c r="DT101" s="214"/>
      <c r="DU101" s="214"/>
      <c r="DV101" s="214"/>
      <c r="DW101" s="214"/>
      <c r="DX101" s="214"/>
      <c r="DY101" s="214"/>
      <c r="DZ101" s="214"/>
      <c r="EA101" s="214"/>
      <c r="EB101" s="214"/>
      <c r="EC101" s="214"/>
      <c r="ED101" s="214"/>
      <c r="EE101" s="214"/>
      <c r="EF101" s="214"/>
      <c r="EG101" s="214"/>
      <c r="EH101" s="214"/>
      <c r="EI101" s="214"/>
      <c r="EJ101" s="214"/>
      <c r="EK101" s="214"/>
      <c r="EL101" s="214"/>
      <c r="EM101" s="214"/>
      <c r="EN101" s="214"/>
      <c r="EO101" s="214"/>
      <c r="EP101" s="214"/>
      <c r="EQ101" s="214"/>
      <c r="ER101" s="214"/>
      <c r="ES101" s="214"/>
      <c r="ET101" s="214"/>
      <c r="EU101" s="214"/>
      <c r="EV101" s="214"/>
      <c r="EW101" s="214"/>
      <c r="EX101" s="214"/>
      <c r="EY101" s="214"/>
      <c r="EZ101" s="214"/>
      <c r="FA101" s="214"/>
      <c r="FB101" s="214"/>
      <c r="FC101" s="214"/>
      <c r="FD101" s="214"/>
      <c r="FE101" s="214"/>
      <c r="FF101" s="214"/>
      <c r="FG101" s="214"/>
      <c r="FH101" s="214"/>
      <c r="FI101" s="214"/>
      <c r="FJ101" s="214"/>
      <c r="FK101" s="214"/>
      <c r="FL101" s="214"/>
      <c r="FM101" s="214"/>
      <c r="FN101" s="214"/>
    </row>
    <row r="102" spans="1:170" s="111" customFormat="1" ht="31.5">
      <c r="A102" s="219" t="s">
        <v>1363</v>
      </c>
      <c r="B102" s="220">
        <f t="shared" si="17"/>
        <v>3280</v>
      </c>
      <c r="C102" s="220">
        <v>0</v>
      </c>
      <c r="D102" s="220"/>
      <c r="E102" s="220">
        <v>0</v>
      </c>
      <c r="F102" s="220"/>
      <c r="G102" s="220">
        <v>3280</v>
      </c>
      <c r="H102" s="220">
        <v>0</v>
      </c>
      <c r="I102" s="220"/>
      <c r="J102" s="220"/>
      <c r="K102" s="214"/>
      <c r="L102" s="214"/>
      <c r="M102" s="214"/>
      <c r="N102" s="214"/>
      <c r="O102" s="214"/>
      <c r="P102" s="214"/>
      <c r="Q102" s="214"/>
      <c r="R102" s="214"/>
      <c r="S102" s="214"/>
      <c r="T102" s="214"/>
      <c r="U102" s="214"/>
      <c r="V102" s="214"/>
      <c r="W102" s="214"/>
      <c r="X102" s="214"/>
      <c r="Y102" s="214"/>
      <c r="Z102" s="214"/>
      <c r="AA102" s="214"/>
      <c r="AB102" s="214"/>
      <c r="AC102" s="214"/>
      <c r="AD102" s="214"/>
      <c r="AE102" s="214"/>
      <c r="AF102" s="214"/>
      <c r="AG102" s="214"/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  <c r="BI102" s="214"/>
      <c r="BJ102" s="214"/>
      <c r="BK102" s="214"/>
      <c r="BL102" s="214"/>
      <c r="BM102" s="214"/>
      <c r="BN102" s="214"/>
      <c r="BO102" s="214"/>
      <c r="BP102" s="214"/>
      <c r="BQ102" s="214"/>
      <c r="BR102" s="214"/>
      <c r="BS102" s="214"/>
      <c r="BT102" s="214"/>
      <c r="BU102" s="214"/>
      <c r="BV102" s="214"/>
      <c r="BW102" s="214"/>
      <c r="BX102" s="214"/>
      <c r="BY102" s="214"/>
      <c r="BZ102" s="214"/>
      <c r="CA102" s="214"/>
      <c r="CB102" s="214"/>
      <c r="CC102" s="214"/>
      <c r="CD102" s="214"/>
      <c r="CE102" s="214"/>
      <c r="CF102" s="214"/>
      <c r="CG102" s="214"/>
      <c r="CH102" s="214"/>
      <c r="CI102" s="214"/>
      <c r="CJ102" s="214"/>
      <c r="CK102" s="214"/>
      <c r="CL102" s="214"/>
      <c r="CM102" s="214"/>
      <c r="CN102" s="214"/>
      <c r="CO102" s="214"/>
      <c r="CP102" s="214"/>
      <c r="CQ102" s="214"/>
      <c r="CR102" s="214"/>
      <c r="CS102" s="214"/>
      <c r="CT102" s="214"/>
      <c r="CU102" s="214"/>
      <c r="CV102" s="214"/>
      <c r="CW102" s="214"/>
      <c r="CX102" s="214"/>
      <c r="CY102" s="214"/>
      <c r="CZ102" s="214"/>
      <c r="DA102" s="214"/>
      <c r="DB102" s="214"/>
      <c r="DC102" s="214"/>
      <c r="DD102" s="214"/>
      <c r="DE102" s="214"/>
      <c r="DF102" s="214"/>
      <c r="DG102" s="214"/>
      <c r="DH102" s="214"/>
      <c r="DI102" s="214"/>
      <c r="DJ102" s="214"/>
      <c r="DK102" s="214"/>
      <c r="DL102" s="214"/>
      <c r="DM102" s="214"/>
      <c r="DN102" s="214"/>
      <c r="DO102" s="214"/>
      <c r="DP102" s="214"/>
      <c r="DQ102" s="214"/>
      <c r="DR102" s="214"/>
      <c r="DS102" s="214"/>
      <c r="DT102" s="214"/>
      <c r="DU102" s="214"/>
      <c r="DV102" s="214"/>
      <c r="DW102" s="214"/>
      <c r="DX102" s="214"/>
      <c r="DY102" s="214"/>
      <c r="DZ102" s="214"/>
      <c r="EA102" s="214"/>
      <c r="EB102" s="214"/>
      <c r="EC102" s="214"/>
      <c r="ED102" s="214"/>
      <c r="EE102" s="214"/>
      <c r="EF102" s="214"/>
      <c r="EG102" s="214"/>
      <c r="EH102" s="214"/>
      <c r="EI102" s="214"/>
      <c r="EJ102" s="214"/>
      <c r="EK102" s="214"/>
      <c r="EL102" s="214"/>
      <c r="EM102" s="214"/>
      <c r="EN102" s="214"/>
      <c r="EO102" s="214"/>
      <c r="EP102" s="214"/>
      <c r="EQ102" s="214"/>
      <c r="ER102" s="214"/>
      <c r="ES102" s="214"/>
      <c r="ET102" s="214"/>
      <c r="EU102" s="214"/>
      <c r="EV102" s="214"/>
      <c r="EW102" s="214"/>
      <c r="EX102" s="214"/>
      <c r="EY102" s="214"/>
      <c r="EZ102" s="214"/>
      <c r="FA102" s="214"/>
      <c r="FB102" s="214"/>
      <c r="FC102" s="214"/>
      <c r="FD102" s="214"/>
      <c r="FE102" s="214"/>
      <c r="FF102" s="214"/>
      <c r="FG102" s="214"/>
      <c r="FH102" s="214"/>
      <c r="FI102" s="214"/>
      <c r="FJ102" s="214"/>
      <c r="FK102" s="214"/>
      <c r="FL102" s="214"/>
      <c r="FM102" s="214"/>
      <c r="FN102" s="214"/>
    </row>
    <row r="103" spans="1:170" s="111" customFormat="1" ht="47.25">
      <c r="A103" s="219" t="s">
        <v>1364</v>
      </c>
      <c r="B103" s="220">
        <f t="shared" si="17"/>
        <v>24632</v>
      </c>
      <c r="C103" s="220">
        <v>0</v>
      </c>
      <c r="D103" s="220"/>
      <c r="E103" s="220">
        <v>0</v>
      </c>
      <c r="F103" s="220"/>
      <c r="G103" s="220">
        <v>24632</v>
      </c>
      <c r="H103" s="220">
        <v>0</v>
      </c>
      <c r="I103" s="220"/>
      <c r="J103" s="220"/>
      <c r="K103" s="214"/>
      <c r="L103" s="214"/>
      <c r="M103" s="214"/>
      <c r="N103" s="214"/>
      <c r="O103" s="214"/>
      <c r="P103" s="214"/>
      <c r="Q103" s="214"/>
      <c r="R103" s="214"/>
      <c r="S103" s="214"/>
      <c r="T103" s="214"/>
      <c r="U103" s="214"/>
      <c r="V103" s="214"/>
      <c r="W103" s="214"/>
      <c r="X103" s="214"/>
      <c r="Y103" s="214"/>
      <c r="Z103" s="214"/>
      <c r="AA103" s="214"/>
      <c r="AB103" s="214"/>
      <c r="AC103" s="214"/>
      <c r="AD103" s="214"/>
      <c r="AE103" s="214"/>
      <c r="AF103" s="214"/>
      <c r="AG103" s="214"/>
      <c r="AH103" s="214"/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  <c r="BI103" s="214"/>
      <c r="BJ103" s="214"/>
      <c r="BK103" s="214"/>
      <c r="BL103" s="214"/>
      <c r="BM103" s="214"/>
      <c r="BN103" s="214"/>
      <c r="BO103" s="214"/>
      <c r="BP103" s="214"/>
      <c r="BQ103" s="214"/>
      <c r="BR103" s="214"/>
      <c r="BS103" s="214"/>
      <c r="BT103" s="214"/>
      <c r="BU103" s="214"/>
      <c r="BV103" s="214"/>
      <c r="BW103" s="214"/>
      <c r="BX103" s="214"/>
      <c r="BY103" s="214"/>
      <c r="BZ103" s="214"/>
      <c r="CA103" s="214"/>
      <c r="CB103" s="214"/>
      <c r="CC103" s="214"/>
      <c r="CD103" s="214"/>
      <c r="CE103" s="214"/>
      <c r="CF103" s="214"/>
      <c r="CG103" s="214"/>
      <c r="CH103" s="214"/>
      <c r="CI103" s="214"/>
      <c r="CJ103" s="214"/>
      <c r="CK103" s="214"/>
      <c r="CL103" s="214"/>
      <c r="CM103" s="214"/>
      <c r="CN103" s="214"/>
      <c r="CO103" s="214"/>
      <c r="CP103" s="214"/>
      <c r="CQ103" s="214"/>
      <c r="CR103" s="214"/>
      <c r="CS103" s="214"/>
      <c r="CT103" s="214"/>
      <c r="CU103" s="214"/>
      <c r="CV103" s="214"/>
      <c r="CW103" s="214"/>
      <c r="CX103" s="214"/>
      <c r="CY103" s="214"/>
      <c r="CZ103" s="214"/>
      <c r="DA103" s="214"/>
      <c r="DB103" s="214"/>
      <c r="DC103" s="214"/>
      <c r="DD103" s="214"/>
      <c r="DE103" s="214"/>
      <c r="DF103" s="214"/>
      <c r="DG103" s="214"/>
      <c r="DH103" s="214"/>
      <c r="DI103" s="214"/>
      <c r="DJ103" s="214"/>
      <c r="DK103" s="214"/>
      <c r="DL103" s="214"/>
      <c r="DM103" s="214"/>
      <c r="DN103" s="214"/>
      <c r="DO103" s="214"/>
      <c r="DP103" s="214"/>
      <c r="DQ103" s="214"/>
      <c r="DR103" s="214"/>
      <c r="DS103" s="214"/>
      <c r="DT103" s="214"/>
      <c r="DU103" s="214"/>
      <c r="DV103" s="214"/>
      <c r="DW103" s="214"/>
      <c r="DX103" s="214"/>
      <c r="DY103" s="214"/>
      <c r="DZ103" s="214"/>
      <c r="EA103" s="214"/>
      <c r="EB103" s="214"/>
      <c r="EC103" s="214"/>
      <c r="ED103" s="214"/>
      <c r="EE103" s="214"/>
      <c r="EF103" s="214"/>
      <c r="EG103" s="214"/>
      <c r="EH103" s="214"/>
      <c r="EI103" s="214"/>
      <c r="EJ103" s="214"/>
      <c r="EK103" s="214"/>
      <c r="EL103" s="214"/>
      <c r="EM103" s="214"/>
      <c r="EN103" s="214"/>
      <c r="EO103" s="214"/>
      <c r="EP103" s="214"/>
      <c r="EQ103" s="214"/>
      <c r="ER103" s="214"/>
      <c r="ES103" s="214"/>
      <c r="ET103" s="214"/>
      <c r="EU103" s="214"/>
      <c r="EV103" s="214"/>
      <c r="EW103" s="214"/>
      <c r="EX103" s="214"/>
      <c r="EY103" s="214"/>
      <c r="EZ103" s="214"/>
      <c r="FA103" s="214"/>
      <c r="FB103" s="214"/>
      <c r="FC103" s="214"/>
      <c r="FD103" s="214"/>
      <c r="FE103" s="214"/>
      <c r="FF103" s="214"/>
      <c r="FG103" s="214"/>
      <c r="FH103" s="214"/>
      <c r="FI103" s="214"/>
      <c r="FJ103" s="214"/>
      <c r="FK103" s="214"/>
      <c r="FL103" s="214"/>
      <c r="FM103" s="214"/>
      <c r="FN103" s="214"/>
    </row>
    <row r="104" spans="1:170" s="214" customFormat="1" ht="47.25">
      <c r="A104" s="219" t="s">
        <v>1365</v>
      </c>
      <c r="B104" s="220">
        <f t="shared" si="17"/>
        <v>6000</v>
      </c>
      <c r="C104" s="220">
        <v>0</v>
      </c>
      <c r="D104" s="220"/>
      <c r="E104" s="220">
        <v>0</v>
      </c>
      <c r="F104" s="220">
        <v>6000</v>
      </c>
      <c r="G104" s="220">
        <v>0</v>
      </c>
      <c r="H104" s="220"/>
      <c r="I104" s="220"/>
      <c r="J104" s="220"/>
    </row>
    <row r="105" spans="1:170" s="111" customFormat="1">
      <c r="A105" s="219" t="s">
        <v>1366</v>
      </c>
      <c r="B105" s="220">
        <f t="shared" si="17"/>
        <v>3000</v>
      </c>
      <c r="C105" s="220">
        <v>0</v>
      </c>
      <c r="D105" s="220"/>
      <c r="E105" s="220">
        <v>0</v>
      </c>
      <c r="F105" s="220"/>
      <c r="G105" s="220">
        <v>3000</v>
      </c>
      <c r="H105" s="220">
        <v>0</v>
      </c>
      <c r="I105" s="220"/>
      <c r="J105" s="220"/>
      <c r="K105" s="214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  <c r="AD105" s="214"/>
      <c r="AE105" s="214"/>
      <c r="AF105" s="214"/>
      <c r="AG105" s="214"/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  <c r="BI105" s="214"/>
      <c r="BJ105" s="214"/>
      <c r="BK105" s="214"/>
      <c r="BL105" s="214"/>
      <c r="BM105" s="214"/>
      <c r="BN105" s="214"/>
      <c r="BO105" s="214"/>
      <c r="BP105" s="214"/>
      <c r="BQ105" s="214"/>
      <c r="BR105" s="214"/>
      <c r="BS105" s="214"/>
      <c r="BT105" s="214"/>
      <c r="BU105" s="214"/>
      <c r="BV105" s="214"/>
      <c r="BW105" s="214"/>
      <c r="BX105" s="214"/>
      <c r="BY105" s="214"/>
      <c r="BZ105" s="214"/>
      <c r="CA105" s="214"/>
      <c r="CB105" s="214"/>
      <c r="CC105" s="214"/>
      <c r="CD105" s="214"/>
      <c r="CE105" s="214"/>
      <c r="CF105" s="214"/>
      <c r="CG105" s="214"/>
      <c r="CH105" s="214"/>
      <c r="CI105" s="214"/>
      <c r="CJ105" s="214"/>
      <c r="CK105" s="214"/>
      <c r="CL105" s="214"/>
      <c r="CM105" s="214"/>
      <c r="CN105" s="214"/>
      <c r="CO105" s="214"/>
      <c r="CP105" s="214"/>
      <c r="CQ105" s="214"/>
      <c r="CR105" s="214"/>
      <c r="CS105" s="214"/>
      <c r="CT105" s="214"/>
      <c r="CU105" s="214"/>
      <c r="CV105" s="214"/>
      <c r="CW105" s="214"/>
      <c r="CX105" s="214"/>
      <c r="CY105" s="214"/>
      <c r="CZ105" s="214"/>
      <c r="DA105" s="214"/>
      <c r="DB105" s="214"/>
      <c r="DC105" s="214"/>
      <c r="DD105" s="214"/>
      <c r="DE105" s="214"/>
      <c r="DF105" s="214"/>
      <c r="DG105" s="214"/>
      <c r="DH105" s="214"/>
      <c r="DI105" s="214"/>
      <c r="DJ105" s="214"/>
      <c r="DK105" s="214"/>
      <c r="DL105" s="214"/>
      <c r="DM105" s="214"/>
      <c r="DN105" s="214"/>
      <c r="DO105" s="214"/>
      <c r="DP105" s="214"/>
      <c r="DQ105" s="214"/>
      <c r="DR105" s="214"/>
      <c r="DS105" s="214"/>
      <c r="DT105" s="214"/>
      <c r="DU105" s="214"/>
      <c r="DV105" s="214"/>
      <c r="DW105" s="214"/>
      <c r="DX105" s="214"/>
      <c r="DY105" s="214"/>
      <c r="DZ105" s="214"/>
      <c r="EA105" s="214"/>
      <c r="EB105" s="214"/>
      <c r="EC105" s="214"/>
      <c r="ED105" s="214"/>
      <c r="EE105" s="214"/>
      <c r="EF105" s="214"/>
      <c r="EG105" s="214"/>
      <c r="EH105" s="214"/>
      <c r="EI105" s="214"/>
      <c r="EJ105" s="214"/>
      <c r="EK105" s="214"/>
      <c r="EL105" s="214"/>
      <c r="EM105" s="214"/>
      <c r="EN105" s="214"/>
      <c r="EO105" s="214"/>
      <c r="EP105" s="214"/>
      <c r="EQ105" s="214"/>
      <c r="ER105" s="214"/>
      <c r="ES105" s="214"/>
      <c r="ET105" s="214"/>
      <c r="EU105" s="214"/>
      <c r="EV105" s="214"/>
      <c r="EW105" s="214"/>
      <c r="EX105" s="214"/>
      <c r="EY105" s="214"/>
      <c r="EZ105" s="214"/>
      <c r="FA105" s="214"/>
      <c r="FB105" s="214"/>
      <c r="FC105" s="214"/>
      <c r="FD105" s="214"/>
      <c r="FE105" s="214"/>
      <c r="FF105" s="214"/>
      <c r="FG105" s="214"/>
      <c r="FH105" s="214"/>
      <c r="FI105" s="214"/>
      <c r="FJ105" s="214"/>
      <c r="FK105" s="214"/>
      <c r="FL105" s="214"/>
      <c r="FM105" s="214"/>
      <c r="FN105" s="214"/>
    </row>
    <row r="106" spans="1:170" s="214" customFormat="1">
      <c r="A106" s="212" t="s">
        <v>571</v>
      </c>
      <c r="B106" s="213">
        <f t="shared" si="17"/>
        <v>2971600</v>
      </c>
      <c r="C106" s="213">
        <f>SUM(C107:C107)</f>
        <v>0</v>
      </c>
      <c r="D106" s="213">
        <f>SUM(D107:D107)</f>
        <v>0</v>
      </c>
      <c r="E106" s="213">
        <f>SUM(E107:E107)</f>
        <v>0</v>
      </c>
      <c r="F106" s="213">
        <v>0</v>
      </c>
      <c r="G106" s="213">
        <f>SUM(G107:G107)</f>
        <v>0</v>
      </c>
      <c r="H106" s="213">
        <f>SUM(H107:H107)</f>
        <v>0</v>
      </c>
      <c r="I106" s="213">
        <f>SUM(I107:I107)</f>
        <v>0</v>
      </c>
      <c r="J106" s="213">
        <f>SUM(J107:J107)</f>
        <v>2971600</v>
      </c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11"/>
      <c r="BS106" s="111"/>
      <c r="BT106" s="111"/>
      <c r="BU106" s="111"/>
      <c r="BV106" s="111"/>
      <c r="BW106" s="111"/>
      <c r="BX106" s="111"/>
      <c r="BY106" s="111"/>
      <c r="BZ106" s="111"/>
      <c r="CA106" s="111"/>
      <c r="CB106" s="111"/>
      <c r="CC106" s="111"/>
      <c r="CD106" s="111"/>
      <c r="CE106" s="111"/>
      <c r="CF106" s="111"/>
      <c r="CG106" s="111"/>
      <c r="CH106" s="111"/>
      <c r="CI106" s="111"/>
      <c r="CJ106" s="111"/>
      <c r="CK106" s="111"/>
      <c r="CL106" s="111"/>
      <c r="CM106" s="111"/>
      <c r="CN106" s="111"/>
      <c r="CO106" s="111"/>
      <c r="CP106" s="111"/>
      <c r="CQ106" s="111"/>
      <c r="CR106" s="111"/>
      <c r="CS106" s="111"/>
      <c r="CT106" s="111"/>
      <c r="CU106" s="111"/>
      <c r="CV106" s="111"/>
      <c r="CW106" s="111"/>
      <c r="CX106" s="111"/>
      <c r="CY106" s="111"/>
      <c r="CZ106" s="111"/>
      <c r="DA106" s="111"/>
      <c r="DB106" s="111"/>
      <c r="DC106" s="111"/>
      <c r="DD106" s="111"/>
      <c r="DE106" s="111"/>
      <c r="DF106" s="111"/>
      <c r="DG106" s="111"/>
      <c r="DH106" s="111"/>
      <c r="DI106" s="111"/>
      <c r="DJ106" s="111"/>
      <c r="DK106" s="111"/>
      <c r="DL106" s="111"/>
      <c r="DM106" s="111"/>
      <c r="DN106" s="111"/>
      <c r="DO106" s="111"/>
      <c r="DP106" s="111"/>
      <c r="DQ106" s="111"/>
      <c r="DR106" s="111"/>
      <c r="DS106" s="111"/>
      <c r="DT106" s="111"/>
      <c r="DU106" s="111"/>
      <c r="DV106" s="111"/>
      <c r="DW106" s="111"/>
      <c r="DX106" s="111"/>
      <c r="DY106" s="111"/>
      <c r="DZ106" s="111"/>
      <c r="EA106" s="111"/>
      <c r="EB106" s="111"/>
      <c r="EC106" s="111"/>
      <c r="ED106" s="111"/>
      <c r="EE106" s="111"/>
      <c r="EF106" s="111"/>
      <c r="EG106" s="111"/>
      <c r="EH106" s="111"/>
      <c r="EI106" s="111"/>
      <c r="EJ106" s="111"/>
      <c r="EK106" s="111"/>
      <c r="EL106" s="111"/>
      <c r="EM106" s="111"/>
      <c r="EN106" s="111"/>
      <c r="EO106" s="111"/>
      <c r="EP106" s="111"/>
      <c r="EQ106" s="111"/>
      <c r="ER106" s="111"/>
      <c r="ES106" s="111"/>
      <c r="ET106" s="111"/>
      <c r="EU106" s="111"/>
      <c r="EV106" s="111"/>
      <c r="EW106" s="111"/>
      <c r="EX106" s="111"/>
      <c r="EY106" s="111"/>
      <c r="EZ106" s="111"/>
      <c r="FA106" s="111"/>
      <c r="FB106" s="111"/>
      <c r="FC106" s="111"/>
      <c r="FD106" s="111"/>
      <c r="FE106" s="111"/>
      <c r="FF106" s="111"/>
      <c r="FG106" s="111"/>
      <c r="FH106" s="111"/>
      <c r="FI106" s="111"/>
      <c r="FJ106" s="111"/>
      <c r="FK106" s="111"/>
      <c r="FL106" s="111"/>
      <c r="FM106" s="111"/>
      <c r="FN106" s="111"/>
    </row>
    <row r="107" spans="1:170" s="214" customFormat="1">
      <c r="A107" s="219" t="s">
        <v>1265</v>
      </c>
      <c r="B107" s="220">
        <f t="shared" si="17"/>
        <v>2971600</v>
      </c>
      <c r="C107" s="220">
        <v>0</v>
      </c>
      <c r="D107" s="220"/>
      <c r="E107" s="220">
        <v>0</v>
      </c>
      <c r="F107" s="220">
        <v>0</v>
      </c>
      <c r="G107" s="220"/>
      <c r="H107" s="220">
        <v>0</v>
      </c>
      <c r="I107" s="220"/>
      <c r="J107" s="220">
        <v>2971600</v>
      </c>
    </row>
    <row r="108" spans="1:170" s="214" customFormat="1" ht="31.5">
      <c r="A108" s="212" t="s">
        <v>572</v>
      </c>
      <c r="B108" s="213">
        <f t="shared" si="17"/>
        <v>85609</v>
      </c>
      <c r="C108" s="213"/>
      <c r="D108" s="213">
        <f t="shared" ref="D108:J108" si="32">SUM(D109:D111)</f>
        <v>0</v>
      </c>
      <c r="E108" s="213">
        <f t="shared" si="32"/>
        <v>0</v>
      </c>
      <c r="F108" s="213">
        <f t="shared" si="32"/>
        <v>14455</v>
      </c>
      <c r="G108" s="213">
        <f t="shared" si="32"/>
        <v>71154</v>
      </c>
      <c r="H108" s="213">
        <f t="shared" si="32"/>
        <v>0</v>
      </c>
      <c r="I108" s="213">
        <f t="shared" si="32"/>
        <v>0</v>
      </c>
      <c r="J108" s="213">
        <f t="shared" si="32"/>
        <v>0</v>
      </c>
    </row>
    <row r="109" spans="1:170" s="214" customFormat="1" ht="63">
      <c r="A109" s="219" t="s">
        <v>1367</v>
      </c>
      <c r="B109" s="220">
        <f t="shared" si="17"/>
        <v>14455</v>
      </c>
      <c r="C109" s="220">
        <v>0</v>
      </c>
      <c r="D109" s="220"/>
      <c r="E109" s="220">
        <v>0</v>
      </c>
      <c r="F109" s="220">
        <v>14455</v>
      </c>
      <c r="G109" s="220">
        <v>0</v>
      </c>
      <c r="H109" s="220"/>
      <c r="I109" s="220"/>
      <c r="J109" s="220"/>
    </row>
    <row r="110" spans="1:170" s="214" customFormat="1" ht="31.5">
      <c r="A110" s="219" t="s">
        <v>1368</v>
      </c>
      <c r="B110" s="220">
        <f t="shared" si="17"/>
        <v>60156</v>
      </c>
      <c r="C110" s="220">
        <v>0</v>
      </c>
      <c r="D110" s="220"/>
      <c r="E110" s="220">
        <v>0</v>
      </c>
      <c r="F110" s="220"/>
      <c r="G110" s="220">
        <v>60156</v>
      </c>
      <c r="H110" s="220"/>
      <c r="I110" s="220"/>
      <c r="J110" s="220"/>
    </row>
    <row r="111" spans="1:170" s="214" customFormat="1" ht="31.5">
      <c r="A111" s="219" t="s">
        <v>1369</v>
      </c>
      <c r="B111" s="220">
        <f t="shared" si="17"/>
        <v>10998</v>
      </c>
      <c r="C111" s="220">
        <v>0</v>
      </c>
      <c r="D111" s="220"/>
      <c r="E111" s="220">
        <v>0</v>
      </c>
      <c r="F111" s="220"/>
      <c r="G111" s="220">
        <v>10998</v>
      </c>
      <c r="H111" s="220"/>
      <c r="I111" s="220"/>
      <c r="J111" s="220"/>
    </row>
    <row r="112" spans="1:170" s="214" customFormat="1">
      <c r="A112" s="212" t="s">
        <v>575</v>
      </c>
      <c r="B112" s="213">
        <f t="shared" si="17"/>
        <v>10250</v>
      </c>
      <c r="C112" s="213">
        <f t="shared" ref="C112:J112" si="33">SUM(C113:C114)</f>
        <v>0</v>
      </c>
      <c r="D112" s="213">
        <f t="shared" si="33"/>
        <v>0</v>
      </c>
      <c r="E112" s="213">
        <f t="shared" si="33"/>
        <v>0</v>
      </c>
      <c r="F112" s="213">
        <f t="shared" si="33"/>
        <v>0</v>
      </c>
      <c r="G112" s="213">
        <f t="shared" si="33"/>
        <v>10250</v>
      </c>
      <c r="H112" s="213">
        <f t="shared" si="33"/>
        <v>0</v>
      </c>
      <c r="I112" s="213">
        <f t="shared" si="33"/>
        <v>0</v>
      </c>
      <c r="J112" s="213">
        <f t="shared" si="33"/>
        <v>0</v>
      </c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1"/>
      <c r="AW112" s="111"/>
      <c r="AX112" s="111"/>
      <c r="AY112" s="111"/>
      <c r="AZ112" s="111"/>
      <c r="BA112" s="111"/>
      <c r="BB112" s="111"/>
      <c r="BC112" s="111"/>
      <c r="BD112" s="111"/>
      <c r="BE112" s="111"/>
      <c r="BF112" s="111"/>
      <c r="BG112" s="111"/>
      <c r="BH112" s="111"/>
      <c r="BI112" s="111"/>
      <c r="BJ112" s="111"/>
      <c r="BK112" s="111"/>
      <c r="BL112" s="111"/>
      <c r="BM112" s="111"/>
      <c r="BN112" s="111"/>
      <c r="BO112" s="111"/>
      <c r="BP112" s="111"/>
      <c r="BQ112" s="111"/>
      <c r="BR112" s="111"/>
      <c r="BS112" s="111"/>
      <c r="BT112" s="111"/>
      <c r="BU112" s="111"/>
      <c r="BV112" s="111"/>
      <c r="BW112" s="111"/>
      <c r="BX112" s="111"/>
      <c r="BY112" s="111"/>
      <c r="BZ112" s="111"/>
      <c r="CA112" s="111"/>
      <c r="CB112" s="111"/>
      <c r="CC112" s="111"/>
      <c r="CD112" s="111"/>
      <c r="CE112" s="111"/>
      <c r="CF112" s="111"/>
      <c r="CG112" s="111"/>
      <c r="CH112" s="111"/>
      <c r="CI112" s="111"/>
      <c r="CJ112" s="111"/>
      <c r="CK112" s="111"/>
      <c r="CL112" s="111"/>
      <c r="CM112" s="111"/>
      <c r="CN112" s="111"/>
      <c r="CO112" s="111"/>
      <c r="CP112" s="111"/>
      <c r="CQ112" s="111"/>
      <c r="CR112" s="111"/>
      <c r="CS112" s="111"/>
      <c r="CT112" s="111"/>
      <c r="CU112" s="111"/>
      <c r="CV112" s="111"/>
      <c r="CW112" s="111"/>
      <c r="CX112" s="111"/>
      <c r="CY112" s="111"/>
      <c r="CZ112" s="111"/>
      <c r="DA112" s="111"/>
      <c r="DB112" s="111"/>
      <c r="DC112" s="111"/>
      <c r="DD112" s="111"/>
      <c r="DE112" s="111"/>
      <c r="DF112" s="111"/>
      <c r="DG112" s="111"/>
      <c r="DH112" s="111"/>
      <c r="DI112" s="111"/>
      <c r="DJ112" s="111"/>
      <c r="DK112" s="111"/>
      <c r="DL112" s="111"/>
      <c r="DM112" s="111"/>
      <c r="DN112" s="111"/>
      <c r="DO112" s="111"/>
      <c r="DP112" s="111"/>
      <c r="DQ112" s="111"/>
      <c r="DR112" s="111"/>
      <c r="DS112" s="111"/>
      <c r="DT112" s="111"/>
      <c r="DU112" s="111"/>
      <c r="DV112" s="111"/>
      <c r="DW112" s="111"/>
      <c r="DX112" s="111"/>
      <c r="DY112" s="111"/>
      <c r="DZ112" s="111"/>
      <c r="EA112" s="111"/>
      <c r="EB112" s="111"/>
      <c r="EC112" s="111"/>
      <c r="ED112" s="111"/>
      <c r="EE112" s="111"/>
      <c r="EF112" s="111"/>
      <c r="EG112" s="111"/>
      <c r="EH112" s="111"/>
      <c r="EI112" s="111"/>
      <c r="EJ112" s="111"/>
      <c r="EK112" s="111"/>
      <c r="EL112" s="111"/>
      <c r="EM112" s="111"/>
      <c r="EN112" s="111"/>
      <c r="EO112" s="111"/>
      <c r="EP112" s="111"/>
      <c r="EQ112" s="111"/>
      <c r="ER112" s="111"/>
      <c r="ES112" s="111"/>
      <c r="ET112" s="111"/>
      <c r="EU112" s="111"/>
      <c r="EV112" s="111"/>
      <c r="EW112" s="111"/>
      <c r="EX112" s="111"/>
      <c r="EY112" s="111"/>
      <c r="EZ112" s="111"/>
      <c r="FA112" s="111"/>
      <c r="FB112" s="111"/>
      <c r="FC112" s="111"/>
      <c r="FD112" s="111"/>
      <c r="FE112" s="111"/>
      <c r="FF112" s="111"/>
      <c r="FG112" s="111"/>
      <c r="FH112" s="111"/>
      <c r="FI112" s="111"/>
      <c r="FJ112" s="111"/>
      <c r="FK112" s="111"/>
      <c r="FL112" s="111"/>
      <c r="FM112" s="111"/>
      <c r="FN112" s="111"/>
    </row>
    <row r="113" spans="1:170" s="214" customFormat="1" ht="31.5">
      <c r="A113" s="219" t="s">
        <v>1370</v>
      </c>
      <c r="B113" s="220">
        <f t="shared" si="17"/>
        <v>5040</v>
      </c>
      <c r="C113" s="220"/>
      <c r="D113" s="220"/>
      <c r="E113" s="220">
        <v>0</v>
      </c>
      <c r="F113" s="220">
        <v>0</v>
      </c>
      <c r="G113" s="220">
        <v>5040</v>
      </c>
      <c r="H113" s="220"/>
      <c r="I113" s="220"/>
      <c r="J113" s="220"/>
    </row>
    <row r="114" spans="1:170" s="214" customFormat="1">
      <c r="A114" s="219" t="s">
        <v>1371</v>
      </c>
      <c r="B114" s="220">
        <f t="shared" si="17"/>
        <v>5210</v>
      </c>
      <c r="C114" s="220"/>
      <c r="D114" s="220"/>
      <c r="E114" s="220">
        <v>0</v>
      </c>
      <c r="F114" s="220">
        <v>0</v>
      </c>
      <c r="G114" s="220">
        <v>5210</v>
      </c>
      <c r="H114" s="220"/>
      <c r="I114" s="220"/>
      <c r="J114" s="220"/>
    </row>
    <row r="115" spans="1:170" s="214" customFormat="1">
      <c r="A115" s="212" t="s">
        <v>563</v>
      </c>
      <c r="B115" s="213">
        <f t="shared" si="17"/>
        <v>103232</v>
      </c>
      <c r="C115" s="213">
        <f t="shared" ref="C115:J115" si="34">SUM(C116,C120,C123)</f>
        <v>0</v>
      </c>
      <c r="D115" s="213">
        <f t="shared" si="34"/>
        <v>0</v>
      </c>
      <c r="E115" s="213">
        <f t="shared" si="34"/>
        <v>0</v>
      </c>
      <c r="F115" s="213">
        <f t="shared" si="34"/>
        <v>0</v>
      </c>
      <c r="G115" s="213">
        <f t="shared" si="34"/>
        <v>103232</v>
      </c>
      <c r="H115" s="213">
        <f t="shared" si="34"/>
        <v>0</v>
      </c>
      <c r="I115" s="213">
        <f t="shared" si="34"/>
        <v>0</v>
      </c>
      <c r="J115" s="213">
        <f t="shared" si="34"/>
        <v>0</v>
      </c>
    </row>
    <row r="116" spans="1:170" s="214" customFormat="1">
      <c r="A116" s="212" t="s">
        <v>570</v>
      </c>
      <c r="B116" s="213">
        <f>C116+D116+E116+F116+G116+H116+I116+J116</f>
        <v>13339</v>
      </c>
      <c r="C116" s="213">
        <f>SUM(C117:C119)</f>
        <v>0</v>
      </c>
      <c r="D116" s="213">
        <f t="shared" ref="D116:J116" si="35">SUM(D117:D119)</f>
        <v>0</v>
      </c>
      <c r="E116" s="213">
        <f t="shared" si="35"/>
        <v>0</v>
      </c>
      <c r="F116" s="213">
        <f t="shared" si="35"/>
        <v>0</v>
      </c>
      <c r="G116" s="213">
        <f t="shared" si="35"/>
        <v>13339</v>
      </c>
      <c r="H116" s="213">
        <f t="shared" si="35"/>
        <v>0</v>
      </c>
      <c r="I116" s="213">
        <f t="shared" si="35"/>
        <v>0</v>
      </c>
      <c r="J116" s="213">
        <f t="shared" si="35"/>
        <v>0</v>
      </c>
    </row>
    <row r="117" spans="1:170" s="214" customFormat="1" ht="31.5">
      <c r="A117" s="219" t="s">
        <v>1372</v>
      </c>
      <c r="B117" s="220">
        <f t="shared" si="17"/>
        <v>10201</v>
      </c>
      <c r="C117" s="220"/>
      <c r="D117" s="220"/>
      <c r="E117" s="220"/>
      <c r="F117" s="220"/>
      <c r="G117" s="220">
        <v>10201</v>
      </c>
      <c r="H117" s="220"/>
      <c r="I117" s="220"/>
      <c r="J117" s="220"/>
    </row>
    <row r="118" spans="1:170" s="214" customFormat="1">
      <c r="A118" s="219" t="s">
        <v>1373</v>
      </c>
      <c r="B118" s="220">
        <f t="shared" si="17"/>
        <v>1836</v>
      </c>
      <c r="C118" s="220"/>
      <c r="D118" s="220"/>
      <c r="E118" s="220"/>
      <c r="F118" s="220"/>
      <c r="G118" s="220">
        <v>1836</v>
      </c>
      <c r="H118" s="220"/>
      <c r="I118" s="220"/>
      <c r="J118" s="220"/>
    </row>
    <row r="119" spans="1:170" s="214" customFormat="1">
      <c r="A119" s="219" t="s">
        <v>1374</v>
      </c>
      <c r="B119" s="220">
        <f t="shared" si="17"/>
        <v>1302</v>
      </c>
      <c r="C119" s="220"/>
      <c r="D119" s="220"/>
      <c r="E119" s="220"/>
      <c r="F119" s="220"/>
      <c r="G119" s="220">
        <v>1302</v>
      </c>
      <c r="H119" s="220"/>
      <c r="I119" s="220"/>
      <c r="J119" s="220"/>
    </row>
    <row r="120" spans="1:170" s="214" customFormat="1" ht="31.5">
      <c r="A120" s="212" t="s">
        <v>572</v>
      </c>
      <c r="B120" s="213">
        <f t="shared" si="17"/>
        <v>23442</v>
      </c>
      <c r="C120" s="213">
        <f t="shared" ref="C120:J120" si="36">SUM(C121:C122)</f>
        <v>0</v>
      </c>
      <c r="D120" s="213">
        <f t="shared" si="36"/>
        <v>0</v>
      </c>
      <c r="E120" s="213">
        <f t="shared" si="36"/>
        <v>0</v>
      </c>
      <c r="F120" s="213">
        <f t="shared" si="36"/>
        <v>0</v>
      </c>
      <c r="G120" s="213">
        <f>SUM(G121:G122)</f>
        <v>23442</v>
      </c>
      <c r="H120" s="213">
        <f t="shared" si="36"/>
        <v>0</v>
      </c>
      <c r="I120" s="213">
        <f t="shared" si="36"/>
        <v>0</v>
      </c>
      <c r="J120" s="213">
        <f t="shared" si="36"/>
        <v>0</v>
      </c>
    </row>
    <row r="121" spans="1:170" s="214" customFormat="1" ht="31.5">
      <c r="A121" s="219" t="s">
        <v>1375</v>
      </c>
      <c r="B121" s="220">
        <f>C121+D121+E121+F121+G121+H121+I121+J121</f>
        <v>12272</v>
      </c>
      <c r="C121" s="220">
        <v>0</v>
      </c>
      <c r="D121" s="220"/>
      <c r="E121" s="220"/>
      <c r="F121" s="220"/>
      <c r="G121" s="220">
        <f>2122+1596+3531+3336+1687</f>
        <v>12272</v>
      </c>
      <c r="H121" s="220"/>
      <c r="I121" s="220"/>
      <c r="J121" s="220"/>
    </row>
    <row r="122" spans="1:170" s="214" customFormat="1">
      <c r="A122" s="219" t="s">
        <v>1376</v>
      </c>
      <c r="B122" s="220">
        <f t="shared" si="17"/>
        <v>11170</v>
      </c>
      <c r="C122" s="220"/>
      <c r="D122" s="220"/>
      <c r="E122" s="220"/>
      <c r="F122" s="220"/>
      <c r="G122" s="220">
        <v>11170</v>
      </c>
      <c r="H122" s="220"/>
      <c r="I122" s="220"/>
      <c r="J122" s="220"/>
    </row>
    <row r="123" spans="1:170" s="214" customFormat="1">
      <c r="A123" s="212" t="s">
        <v>575</v>
      </c>
      <c r="B123" s="213">
        <f t="shared" si="17"/>
        <v>66451</v>
      </c>
      <c r="C123" s="213">
        <f t="shared" ref="C123:J123" si="37">SUM(C124:C129)</f>
        <v>0</v>
      </c>
      <c r="D123" s="213">
        <f t="shared" si="37"/>
        <v>0</v>
      </c>
      <c r="E123" s="213">
        <f t="shared" si="37"/>
        <v>0</v>
      </c>
      <c r="F123" s="213">
        <f t="shared" si="37"/>
        <v>0</v>
      </c>
      <c r="G123" s="213">
        <f t="shared" si="37"/>
        <v>66451</v>
      </c>
      <c r="H123" s="213">
        <f t="shared" si="37"/>
        <v>0</v>
      </c>
      <c r="I123" s="213">
        <f t="shared" si="37"/>
        <v>0</v>
      </c>
      <c r="J123" s="213">
        <f t="shared" si="37"/>
        <v>0</v>
      </c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/>
      <c r="BF123" s="111"/>
      <c r="BG123" s="111"/>
      <c r="BH123" s="111"/>
      <c r="BI123" s="111"/>
      <c r="BJ123" s="111"/>
      <c r="BK123" s="111"/>
      <c r="BL123" s="111"/>
      <c r="BM123" s="111"/>
      <c r="BN123" s="111"/>
      <c r="BO123" s="111"/>
      <c r="BP123" s="111"/>
      <c r="BQ123" s="111"/>
      <c r="BR123" s="111"/>
      <c r="BS123" s="111"/>
      <c r="BT123" s="111"/>
      <c r="BU123" s="111"/>
      <c r="BV123" s="111"/>
      <c r="BW123" s="111"/>
      <c r="BX123" s="111"/>
      <c r="BY123" s="111"/>
      <c r="BZ123" s="111"/>
      <c r="CA123" s="111"/>
      <c r="CB123" s="111"/>
      <c r="CC123" s="111"/>
      <c r="CD123" s="111"/>
      <c r="CE123" s="111"/>
      <c r="CF123" s="111"/>
      <c r="CG123" s="111"/>
      <c r="CH123" s="111"/>
      <c r="CI123" s="111"/>
      <c r="CJ123" s="111"/>
      <c r="CK123" s="111"/>
      <c r="CL123" s="111"/>
      <c r="CM123" s="111"/>
      <c r="CN123" s="111"/>
      <c r="CO123" s="111"/>
      <c r="CP123" s="111"/>
      <c r="CQ123" s="111"/>
      <c r="CR123" s="111"/>
      <c r="CS123" s="111"/>
      <c r="CT123" s="111"/>
      <c r="CU123" s="111"/>
      <c r="CV123" s="111"/>
      <c r="CW123" s="111"/>
      <c r="CX123" s="111"/>
      <c r="CY123" s="111"/>
      <c r="CZ123" s="111"/>
      <c r="DA123" s="111"/>
      <c r="DB123" s="111"/>
      <c r="DC123" s="111"/>
      <c r="DD123" s="111"/>
      <c r="DE123" s="111"/>
      <c r="DF123" s="111"/>
      <c r="DG123" s="111"/>
      <c r="DH123" s="111"/>
      <c r="DI123" s="111"/>
      <c r="DJ123" s="111"/>
      <c r="DK123" s="111"/>
      <c r="DL123" s="111"/>
      <c r="DM123" s="111"/>
      <c r="DN123" s="111"/>
      <c r="DO123" s="111"/>
      <c r="DP123" s="111"/>
      <c r="DQ123" s="111"/>
      <c r="DR123" s="111"/>
      <c r="DS123" s="111"/>
      <c r="DT123" s="111"/>
      <c r="DU123" s="111"/>
      <c r="DV123" s="111"/>
      <c r="DW123" s="111"/>
      <c r="DX123" s="111"/>
      <c r="DY123" s="111"/>
      <c r="DZ123" s="111"/>
      <c r="EA123" s="111"/>
      <c r="EB123" s="111"/>
      <c r="EC123" s="111"/>
      <c r="ED123" s="111"/>
      <c r="EE123" s="111"/>
      <c r="EF123" s="111"/>
      <c r="EG123" s="111"/>
      <c r="EH123" s="111"/>
      <c r="EI123" s="111"/>
      <c r="EJ123" s="111"/>
      <c r="EK123" s="111"/>
      <c r="EL123" s="111"/>
      <c r="EM123" s="111"/>
      <c r="EN123" s="111"/>
      <c r="EO123" s="111"/>
      <c r="EP123" s="111"/>
      <c r="EQ123" s="111"/>
      <c r="ER123" s="111"/>
      <c r="ES123" s="111"/>
      <c r="ET123" s="111"/>
      <c r="EU123" s="111"/>
      <c r="EV123" s="111"/>
      <c r="EW123" s="111"/>
      <c r="EX123" s="111"/>
      <c r="EY123" s="111"/>
      <c r="EZ123" s="111"/>
      <c r="FA123" s="111"/>
      <c r="FB123" s="111"/>
      <c r="FC123" s="111"/>
      <c r="FD123" s="111"/>
      <c r="FE123" s="111"/>
      <c r="FF123" s="111"/>
      <c r="FG123" s="111"/>
      <c r="FH123" s="111"/>
      <c r="FI123" s="111"/>
      <c r="FJ123" s="111"/>
      <c r="FK123" s="111"/>
      <c r="FL123" s="111"/>
      <c r="FM123" s="111"/>
      <c r="FN123" s="111"/>
    </row>
    <row r="124" spans="1:170" s="214" customFormat="1">
      <c r="A124" s="219" t="s">
        <v>1377</v>
      </c>
      <c r="B124" s="220">
        <f t="shared" si="17"/>
        <v>7366</v>
      </c>
      <c r="C124" s="220"/>
      <c r="D124" s="220"/>
      <c r="E124" s="220"/>
      <c r="F124" s="220"/>
      <c r="G124" s="220">
        <v>7366</v>
      </c>
      <c r="H124" s="220"/>
      <c r="I124" s="220"/>
      <c r="J124" s="220"/>
    </row>
    <row r="125" spans="1:170" s="214" customFormat="1" ht="31.5">
      <c r="A125" s="219" t="s">
        <v>1378</v>
      </c>
      <c r="B125" s="220">
        <f t="shared" si="17"/>
        <v>28316</v>
      </c>
      <c r="C125" s="220"/>
      <c r="D125" s="220"/>
      <c r="E125" s="220"/>
      <c r="F125" s="220"/>
      <c r="G125" s="220">
        <v>28316</v>
      </c>
      <c r="H125" s="220"/>
      <c r="I125" s="220"/>
      <c r="J125" s="220"/>
    </row>
    <row r="126" spans="1:170" s="214" customFormat="1" ht="31.5">
      <c r="A126" s="219" t="s">
        <v>1379</v>
      </c>
      <c r="B126" s="220">
        <f t="shared" si="17"/>
        <v>10006</v>
      </c>
      <c r="C126" s="220"/>
      <c r="D126" s="220"/>
      <c r="E126" s="220"/>
      <c r="F126" s="220"/>
      <c r="G126" s="220">
        <v>10006</v>
      </c>
      <c r="H126" s="220"/>
      <c r="I126" s="220"/>
      <c r="J126" s="220"/>
    </row>
    <row r="127" spans="1:170" s="214" customFormat="1" ht="31.5">
      <c r="A127" s="219" t="s">
        <v>1380</v>
      </c>
      <c r="B127" s="220">
        <f t="shared" si="17"/>
        <v>4594</v>
      </c>
      <c r="C127" s="220"/>
      <c r="D127" s="220"/>
      <c r="E127" s="220"/>
      <c r="F127" s="220"/>
      <c r="G127" s="220">
        <v>4594</v>
      </c>
      <c r="H127" s="220"/>
      <c r="I127" s="220"/>
      <c r="J127" s="220"/>
    </row>
    <row r="128" spans="1:170" s="214" customFormat="1" ht="31.5">
      <c r="A128" s="219" t="s">
        <v>1381</v>
      </c>
      <c r="B128" s="220">
        <f t="shared" si="17"/>
        <v>10006</v>
      </c>
      <c r="C128" s="220"/>
      <c r="D128" s="220"/>
      <c r="E128" s="220"/>
      <c r="F128" s="220"/>
      <c r="G128" s="220">
        <v>10006</v>
      </c>
      <c r="H128" s="220"/>
      <c r="I128" s="220"/>
      <c r="J128" s="220"/>
    </row>
    <row r="129" spans="1:170" s="214" customFormat="1">
      <c r="A129" s="219" t="s">
        <v>1382</v>
      </c>
      <c r="B129" s="220">
        <f t="shared" si="17"/>
        <v>6163</v>
      </c>
      <c r="C129" s="220"/>
      <c r="D129" s="220"/>
      <c r="E129" s="220"/>
      <c r="F129" s="220"/>
      <c r="G129" s="220">
        <v>6163</v>
      </c>
      <c r="H129" s="220"/>
      <c r="I129" s="220"/>
      <c r="J129" s="220"/>
    </row>
    <row r="130" spans="1:170" s="214" customFormat="1" ht="31.5">
      <c r="A130" s="212" t="s">
        <v>564</v>
      </c>
      <c r="B130" s="213">
        <f t="shared" si="17"/>
        <v>387959</v>
      </c>
      <c r="C130" s="213">
        <f t="shared" ref="C130:J130" si="38">SUM(C131,C140,C154,C159)</f>
        <v>0</v>
      </c>
      <c r="D130" s="213">
        <f t="shared" si="38"/>
        <v>0</v>
      </c>
      <c r="E130" s="213">
        <f t="shared" si="38"/>
        <v>0</v>
      </c>
      <c r="F130" s="213">
        <f t="shared" si="38"/>
        <v>214201</v>
      </c>
      <c r="G130" s="213">
        <f t="shared" si="38"/>
        <v>173758</v>
      </c>
      <c r="H130" s="213">
        <f t="shared" si="38"/>
        <v>0</v>
      </c>
      <c r="I130" s="213">
        <f t="shared" si="38"/>
        <v>0</v>
      </c>
      <c r="J130" s="213">
        <f t="shared" si="38"/>
        <v>0</v>
      </c>
    </row>
    <row r="131" spans="1:170" s="214" customFormat="1">
      <c r="A131" s="212" t="s">
        <v>570</v>
      </c>
      <c r="B131" s="213">
        <f t="shared" si="17"/>
        <v>79114</v>
      </c>
      <c r="C131" s="213">
        <f t="shared" ref="C131:J131" si="39">SUM(C132:C139)</f>
        <v>0</v>
      </c>
      <c r="D131" s="213">
        <f t="shared" si="39"/>
        <v>0</v>
      </c>
      <c r="E131" s="213">
        <f t="shared" si="39"/>
        <v>0</v>
      </c>
      <c r="F131" s="213">
        <f t="shared" si="39"/>
        <v>72471</v>
      </c>
      <c r="G131" s="213">
        <f t="shared" si="39"/>
        <v>6643</v>
      </c>
      <c r="H131" s="213">
        <f t="shared" si="39"/>
        <v>0</v>
      </c>
      <c r="I131" s="213">
        <f t="shared" si="39"/>
        <v>0</v>
      </c>
      <c r="J131" s="213">
        <f t="shared" si="39"/>
        <v>0</v>
      </c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1"/>
      <c r="AK131" s="111"/>
      <c r="AL131" s="111"/>
      <c r="AM131" s="111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11"/>
      <c r="AY131" s="111"/>
      <c r="AZ131" s="111"/>
      <c r="BA131" s="111"/>
      <c r="BB131" s="111"/>
      <c r="BC131" s="111"/>
      <c r="BD131" s="111"/>
      <c r="BE131" s="111"/>
      <c r="BF131" s="111"/>
      <c r="BG131" s="111"/>
      <c r="BH131" s="111"/>
      <c r="BI131" s="111"/>
      <c r="BJ131" s="111"/>
      <c r="BK131" s="111"/>
      <c r="BL131" s="111"/>
      <c r="BM131" s="111"/>
      <c r="BN131" s="111"/>
      <c r="BO131" s="111"/>
      <c r="BP131" s="111"/>
      <c r="BQ131" s="111"/>
      <c r="BR131" s="111"/>
      <c r="BS131" s="111"/>
      <c r="BT131" s="111"/>
      <c r="BU131" s="111"/>
      <c r="BV131" s="111"/>
      <c r="BW131" s="111"/>
      <c r="BX131" s="111"/>
      <c r="BY131" s="111"/>
      <c r="BZ131" s="111"/>
      <c r="CA131" s="111"/>
      <c r="CB131" s="111"/>
      <c r="CC131" s="111"/>
      <c r="CD131" s="111"/>
      <c r="CE131" s="111"/>
      <c r="CF131" s="111"/>
      <c r="CG131" s="111"/>
      <c r="CH131" s="111"/>
      <c r="CI131" s="111"/>
      <c r="CJ131" s="111"/>
      <c r="CK131" s="111"/>
      <c r="CL131" s="111"/>
      <c r="CM131" s="111"/>
      <c r="CN131" s="111"/>
      <c r="CO131" s="111"/>
      <c r="CP131" s="111"/>
      <c r="CQ131" s="111"/>
      <c r="CR131" s="111"/>
      <c r="CS131" s="111"/>
      <c r="CT131" s="111"/>
      <c r="CU131" s="111"/>
      <c r="CV131" s="111"/>
      <c r="CW131" s="111"/>
      <c r="CX131" s="111"/>
      <c r="CY131" s="111"/>
      <c r="CZ131" s="111"/>
      <c r="DA131" s="111"/>
      <c r="DB131" s="111"/>
      <c r="DC131" s="111"/>
      <c r="DD131" s="111"/>
      <c r="DE131" s="111"/>
      <c r="DF131" s="111"/>
      <c r="DG131" s="111"/>
      <c r="DH131" s="111"/>
      <c r="DI131" s="111"/>
      <c r="DJ131" s="111"/>
      <c r="DK131" s="111"/>
      <c r="DL131" s="111"/>
      <c r="DM131" s="111"/>
      <c r="DN131" s="111"/>
      <c r="DO131" s="111"/>
      <c r="DP131" s="111"/>
      <c r="DQ131" s="111"/>
      <c r="DR131" s="111"/>
      <c r="DS131" s="111"/>
      <c r="DT131" s="111"/>
      <c r="DU131" s="111"/>
      <c r="DV131" s="111"/>
      <c r="DW131" s="111"/>
      <c r="DX131" s="111"/>
      <c r="DY131" s="111"/>
      <c r="DZ131" s="111"/>
      <c r="EA131" s="111"/>
      <c r="EB131" s="111"/>
      <c r="EC131" s="111"/>
      <c r="ED131" s="111"/>
      <c r="EE131" s="111"/>
      <c r="EF131" s="111"/>
      <c r="EG131" s="111"/>
      <c r="EH131" s="111"/>
      <c r="EI131" s="111"/>
      <c r="EJ131" s="111"/>
      <c r="EK131" s="111"/>
      <c r="EL131" s="111"/>
      <c r="EM131" s="111"/>
      <c r="EN131" s="111"/>
      <c r="EO131" s="111"/>
      <c r="EP131" s="111"/>
      <c r="EQ131" s="111"/>
      <c r="ER131" s="111"/>
      <c r="ES131" s="111"/>
      <c r="ET131" s="111"/>
      <c r="EU131" s="111"/>
      <c r="EV131" s="111"/>
      <c r="EW131" s="111"/>
      <c r="EX131" s="111"/>
      <c r="EY131" s="111"/>
      <c r="EZ131" s="111"/>
      <c r="FA131" s="111"/>
      <c r="FB131" s="111"/>
      <c r="FC131" s="111"/>
      <c r="FD131" s="111"/>
      <c r="FE131" s="111"/>
      <c r="FF131" s="111"/>
      <c r="FG131" s="111"/>
      <c r="FH131" s="111"/>
      <c r="FI131" s="111"/>
      <c r="FJ131" s="111"/>
      <c r="FK131" s="111"/>
      <c r="FL131" s="111"/>
      <c r="FM131" s="111"/>
      <c r="FN131" s="111"/>
    </row>
    <row r="132" spans="1:170" s="214" customFormat="1">
      <c r="A132" s="219" t="s">
        <v>1383</v>
      </c>
      <c r="B132" s="220">
        <f t="shared" si="17"/>
        <v>720</v>
      </c>
      <c r="C132" s="220"/>
      <c r="D132" s="220"/>
      <c r="E132" s="220">
        <v>0</v>
      </c>
      <c r="F132" s="220">
        <v>0</v>
      </c>
      <c r="G132" s="220">
        <v>720</v>
      </c>
      <c r="H132" s="220"/>
      <c r="I132" s="220"/>
      <c r="J132" s="220"/>
    </row>
    <row r="133" spans="1:170" s="111" customFormat="1">
      <c r="A133" s="221" t="s">
        <v>1521</v>
      </c>
      <c r="B133" s="224">
        <f t="shared" si="17"/>
        <v>1320</v>
      </c>
      <c r="C133" s="224"/>
      <c r="D133" s="224"/>
      <c r="E133" s="224">
        <v>0</v>
      </c>
      <c r="F133" s="224">
        <v>0</v>
      </c>
      <c r="G133" s="224">
        <v>1320</v>
      </c>
      <c r="H133" s="224"/>
      <c r="I133" s="224"/>
      <c r="J133" s="224"/>
      <c r="K133" s="214"/>
      <c r="L133" s="214"/>
      <c r="M133" s="214"/>
      <c r="N133" s="214"/>
      <c r="O133" s="214"/>
      <c r="P133" s="214"/>
      <c r="Q133" s="214"/>
      <c r="R133" s="214"/>
      <c r="S133" s="214"/>
      <c r="T133" s="214"/>
      <c r="U133" s="214"/>
      <c r="V133" s="214"/>
      <c r="W133" s="214"/>
      <c r="X133" s="214"/>
      <c r="Y133" s="214"/>
      <c r="Z133" s="214"/>
      <c r="AA133" s="214"/>
      <c r="AB133" s="214"/>
      <c r="AC133" s="214"/>
      <c r="AD133" s="214"/>
      <c r="AE133" s="214"/>
      <c r="AF133" s="214"/>
      <c r="AG133" s="214"/>
      <c r="AH133" s="214"/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  <c r="BI133" s="214"/>
      <c r="BJ133" s="214"/>
      <c r="BK133" s="214"/>
      <c r="BL133" s="214"/>
      <c r="BM133" s="214"/>
      <c r="BN133" s="214"/>
      <c r="BO133" s="214"/>
      <c r="BP133" s="214"/>
      <c r="BQ133" s="214"/>
      <c r="BR133" s="214"/>
      <c r="BS133" s="214"/>
      <c r="BT133" s="214"/>
      <c r="BU133" s="214"/>
      <c r="BV133" s="214"/>
      <c r="BW133" s="214"/>
      <c r="BX133" s="214"/>
      <c r="BY133" s="214"/>
      <c r="BZ133" s="214"/>
      <c r="CA133" s="214"/>
      <c r="CB133" s="214"/>
      <c r="CC133" s="214"/>
      <c r="CD133" s="214"/>
      <c r="CE133" s="214"/>
      <c r="CF133" s="214"/>
      <c r="CG133" s="214"/>
      <c r="CH133" s="214"/>
      <c r="CI133" s="214"/>
      <c r="CJ133" s="214"/>
      <c r="CK133" s="214"/>
      <c r="CL133" s="214"/>
      <c r="CM133" s="214"/>
      <c r="CN133" s="214"/>
      <c r="CO133" s="214"/>
      <c r="CP133" s="214"/>
      <c r="CQ133" s="214"/>
      <c r="CR133" s="214"/>
      <c r="CS133" s="214"/>
      <c r="CT133" s="214"/>
      <c r="CU133" s="214"/>
      <c r="CV133" s="214"/>
      <c r="CW133" s="214"/>
      <c r="CX133" s="214"/>
      <c r="CY133" s="214"/>
      <c r="CZ133" s="214"/>
      <c r="DA133" s="214"/>
      <c r="DB133" s="214"/>
      <c r="DC133" s="214"/>
      <c r="DD133" s="214"/>
      <c r="DE133" s="214"/>
      <c r="DF133" s="214"/>
      <c r="DG133" s="214"/>
      <c r="DH133" s="214"/>
      <c r="DI133" s="214"/>
      <c r="DJ133" s="214"/>
      <c r="DK133" s="214"/>
      <c r="DL133" s="214"/>
      <c r="DM133" s="214"/>
      <c r="DN133" s="214"/>
      <c r="DO133" s="214"/>
      <c r="DP133" s="214"/>
      <c r="DQ133" s="214"/>
      <c r="DR133" s="214"/>
      <c r="DS133" s="214"/>
      <c r="DT133" s="214"/>
      <c r="DU133" s="214"/>
      <c r="DV133" s="214"/>
      <c r="DW133" s="214"/>
      <c r="DX133" s="214"/>
      <c r="DY133" s="214"/>
      <c r="DZ133" s="214"/>
      <c r="EA133" s="214"/>
      <c r="EB133" s="214"/>
      <c r="EC133" s="214"/>
      <c r="ED133" s="214"/>
      <c r="EE133" s="214"/>
      <c r="EF133" s="214"/>
      <c r="EG133" s="214"/>
      <c r="EH133" s="214"/>
      <c r="EI133" s="214"/>
      <c r="EJ133" s="214"/>
      <c r="EK133" s="214"/>
      <c r="EL133" s="214"/>
      <c r="EM133" s="214"/>
      <c r="EN133" s="214"/>
      <c r="EO133" s="214"/>
      <c r="EP133" s="214"/>
      <c r="EQ133" s="214"/>
      <c r="ER133" s="214"/>
      <c r="ES133" s="214"/>
      <c r="ET133" s="214"/>
      <c r="EU133" s="214"/>
      <c r="EV133" s="214"/>
      <c r="EW133" s="214"/>
      <c r="EX133" s="214"/>
      <c r="EY133" s="214"/>
      <c r="EZ133" s="214"/>
      <c r="FA133" s="214"/>
      <c r="FB133" s="214"/>
      <c r="FC133" s="214"/>
      <c r="FD133" s="214"/>
      <c r="FE133" s="214"/>
      <c r="FF133" s="214"/>
      <c r="FG133" s="214"/>
      <c r="FH133" s="214"/>
      <c r="FI133" s="214"/>
      <c r="FJ133" s="214"/>
      <c r="FK133" s="214"/>
      <c r="FL133" s="214"/>
      <c r="FM133" s="214"/>
      <c r="FN133" s="214"/>
    </row>
    <row r="134" spans="1:170" s="111" customFormat="1">
      <c r="A134" s="221" t="s">
        <v>1520</v>
      </c>
      <c r="B134" s="224">
        <f t="shared" si="17"/>
        <v>720</v>
      </c>
      <c r="C134" s="224"/>
      <c r="D134" s="224"/>
      <c r="E134" s="224">
        <v>0</v>
      </c>
      <c r="F134" s="224">
        <v>0</v>
      </c>
      <c r="G134" s="224">
        <v>720</v>
      </c>
      <c r="H134" s="224"/>
      <c r="I134" s="224"/>
      <c r="J134" s="224"/>
      <c r="K134" s="214"/>
      <c r="L134" s="214"/>
      <c r="M134" s="214"/>
      <c r="N134" s="214"/>
      <c r="O134" s="214"/>
      <c r="P134" s="214"/>
      <c r="Q134" s="214"/>
      <c r="R134" s="214"/>
      <c r="S134" s="214"/>
      <c r="T134" s="214"/>
      <c r="U134" s="214"/>
      <c r="V134" s="214"/>
      <c r="W134" s="214"/>
      <c r="X134" s="214"/>
      <c r="Y134" s="214"/>
      <c r="Z134" s="214"/>
      <c r="AA134" s="214"/>
      <c r="AB134" s="214"/>
      <c r="AC134" s="214"/>
      <c r="AD134" s="214"/>
      <c r="AE134" s="214"/>
      <c r="AF134" s="214"/>
      <c r="AG134" s="214"/>
      <c r="AH134" s="214"/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  <c r="BI134" s="214"/>
      <c r="BJ134" s="214"/>
      <c r="BK134" s="214"/>
      <c r="BL134" s="214"/>
      <c r="BM134" s="214"/>
      <c r="BN134" s="214"/>
      <c r="BO134" s="214"/>
      <c r="BP134" s="214"/>
      <c r="BQ134" s="214"/>
      <c r="BR134" s="214"/>
      <c r="BS134" s="214"/>
      <c r="BT134" s="214"/>
      <c r="BU134" s="214"/>
      <c r="BV134" s="214"/>
      <c r="BW134" s="214"/>
      <c r="BX134" s="214"/>
      <c r="BY134" s="214"/>
      <c r="BZ134" s="214"/>
      <c r="CA134" s="214"/>
      <c r="CB134" s="214"/>
      <c r="CC134" s="214"/>
      <c r="CD134" s="214"/>
      <c r="CE134" s="214"/>
      <c r="CF134" s="214"/>
      <c r="CG134" s="214"/>
      <c r="CH134" s="214"/>
      <c r="CI134" s="214"/>
      <c r="CJ134" s="214"/>
      <c r="CK134" s="214"/>
      <c r="CL134" s="214"/>
      <c r="CM134" s="214"/>
      <c r="CN134" s="214"/>
      <c r="CO134" s="214"/>
      <c r="CP134" s="214"/>
      <c r="CQ134" s="214"/>
      <c r="CR134" s="214"/>
      <c r="CS134" s="214"/>
      <c r="CT134" s="214"/>
      <c r="CU134" s="214"/>
      <c r="CV134" s="214"/>
      <c r="CW134" s="214"/>
      <c r="CX134" s="214"/>
      <c r="CY134" s="214"/>
      <c r="CZ134" s="214"/>
      <c r="DA134" s="214"/>
      <c r="DB134" s="214"/>
      <c r="DC134" s="214"/>
      <c r="DD134" s="214"/>
      <c r="DE134" s="214"/>
      <c r="DF134" s="214"/>
      <c r="DG134" s="214"/>
      <c r="DH134" s="214"/>
      <c r="DI134" s="214"/>
      <c r="DJ134" s="214"/>
      <c r="DK134" s="214"/>
      <c r="DL134" s="214"/>
      <c r="DM134" s="214"/>
      <c r="DN134" s="214"/>
      <c r="DO134" s="214"/>
      <c r="DP134" s="214"/>
      <c r="DQ134" s="214"/>
      <c r="DR134" s="214"/>
      <c r="DS134" s="214"/>
      <c r="DT134" s="214"/>
      <c r="DU134" s="214"/>
      <c r="DV134" s="214"/>
      <c r="DW134" s="214"/>
      <c r="DX134" s="214"/>
      <c r="DY134" s="214"/>
      <c r="DZ134" s="214"/>
      <c r="EA134" s="214"/>
      <c r="EB134" s="214"/>
      <c r="EC134" s="214"/>
      <c r="ED134" s="214"/>
      <c r="EE134" s="214"/>
      <c r="EF134" s="214"/>
      <c r="EG134" s="214"/>
      <c r="EH134" s="214"/>
      <c r="EI134" s="214"/>
      <c r="EJ134" s="214"/>
      <c r="EK134" s="214"/>
      <c r="EL134" s="214"/>
      <c r="EM134" s="214"/>
      <c r="EN134" s="214"/>
      <c r="EO134" s="214"/>
      <c r="EP134" s="214"/>
      <c r="EQ134" s="214"/>
      <c r="ER134" s="214"/>
      <c r="ES134" s="214"/>
      <c r="ET134" s="214"/>
      <c r="EU134" s="214"/>
      <c r="EV134" s="214"/>
      <c r="EW134" s="214"/>
      <c r="EX134" s="214"/>
      <c r="EY134" s="214"/>
      <c r="EZ134" s="214"/>
      <c r="FA134" s="214"/>
      <c r="FB134" s="214"/>
      <c r="FC134" s="214"/>
      <c r="FD134" s="214"/>
      <c r="FE134" s="214"/>
      <c r="FF134" s="214"/>
      <c r="FG134" s="214"/>
      <c r="FH134" s="214"/>
      <c r="FI134" s="214"/>
      <c r="FJ134" s="214"/>
      <c r="FK134" s="214"/>
      <c r="FL134" s="214"/>
      <c r="FM134" s="214"/>
      <c r="FN134" s="214"/>
    </row>
    <row r="135" spans="1:170" s="111" customFormat="1" ht="31.5">
      <c r="A135" s="221" t="s">
        <v>1384</v>
      </c>
      <c r="B135" s="224">
        <f t="shared" si="17"/>
        <v>1889</v>
      </c>
      <c r="C135" s="224"/>
      <c r="D135" s="224"/>
      <c r="E135" s="224">
        <v>0</v>
      </c>
      <c r="F135" s="224">
        <v>0</v>
      </c>
      <c r="G135" s="224">
        <f>929+960</f>
        <v>1889</v>
      </c>
      <c r="H135" s="224"/>
      <c r="I135" s="224"/>
      <c r="J135" s="224"/>
      <c r="K135" s="214"/>
      <c r="L135" s="214"/>
      <c r="M135" s="214"/>
      <c r="N135" s="214"/>
      <c r="O135" s="214"/>
      <c r="P135" s="214"/>
      <c r="Q135" s="214"/>
      <c r="R135" s="214"/>
      <c r="S135" s="214"/>
      <c r="T135" s="214"/>
      <c r="U135" s="214"/>
      <c r="V135" s="214"/>
      <c r="W135" s="214"/>
      <c r="X135" s="214"/>
      <c r="Y135" s="214"/>
      <c r="Z135" s="214"/>
      <c r="AA135" s="214"/>
      <c r="AB135" s="214"/>
      <c r="AC135" s="214"/>
      <c r="AD135" s="214"/>
      <c r="AE135" s="214"/>
      <c r="AF135" s="214"/>
      <c r="AG135" s="214"/>
      <c r="AH135" s="214"/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214"/>
      <c r="AS135" s="214"/>
      <c r="AT135" s="214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  <c r="BG135" s="214"/>
      <c r="BH135" s="214"/>
      <c r="BI135" s="214"/>
      <c r="BJ135" s="214"/>
      <c r="BK135" s="214"/>
      <c r="BL135" s="214"/>
      <c r="BM135" s="214"/>
      <c r="BN135" s="214"/>
      <c r="BO135" s="214"/>
      <c r="BP135" s="214"/>
      <c r="BQ135" s="214"/>
      <c r="BR135" s="214"/>
      <c r="BS135" s="214"/>
      <c r="BT135" s="214"/>
      <c r="BU135" s="214"/>
      <c r="BV135" s="214"/>
      <c r="BW135" s="214"/>
      <c r="BX135" s="214"/>
      <c r="BY135" s="214"/>
      <c r="BZ135" s="214"/>
      <c r="CA135" s="214"/>
      <c r="CB135" s="214"/>
      <c r="CC135" s="214"/>
      <c r="CD135" s="214"/>
      <c r="CE135" s="214"/>
      <c r="CF135" s="214"/>
      <c r="CG135" s="214"/>
      <c r="CH135" s="214"/>
      <c r="CI135" s="214"/>
      <c r="CJ135" s="214"/>
      <c r="CK135" s="214"/>
      <c r="CL135" s="214"/>
      <c r="CM135" s="214"/>
      <c r="CN135" s="214"/>
      <c r="CO135" s="214"/>
      <c r="CP135" s="214"/>
      <c r="CQ135" s="214"/>
      <c r="CR135" s="214"/>
      <c r="CS135" s="214"/>
      <c r="CT135" s="214"/>
      <c r="CU135" s="214"/>
      <c r="CV135" s="214"/>
      <c r="CW135" s="214"/>
      <c r="CX135" s="214"/>
      <c r="CY135" s="214"/>
      <c r="CZ135" s="214"/>
      <c r="DA135" s="214"/>
      <c r="DB135" s="214"/>
      <c r="DC135" s="214"/>
      <c r="DD135" s="214"/>
      <c r="DE135" s="214"/>
      <c r="DF135" s="214"/>
      <c r="DG135" s="214"/>
      <c r="DH135" s="214"/>
      <c r="DI135" s="214"/>
      <c r="DJ135" s="214"/>
      <c r="DK135" s="214"/>
      <c r="DL135" s="214"/>
      <c r="DM135" s="214"/>
      <c r="DN135" s="214"/>
      <c r="DO135" s="214"/>
      <c r="DP135" s="214"/>
      <c r="DQ135" s="214"/>
      <c r="DR135" s="214"/>
      <c r="DS135" s="214"/>
      <c r="DT135" s="214"/>
      <c r="DU135" s="214"/>
      <c r="DV135" s="214"/>
      <c r="DW135" s="214"/>
      <c r="DX135" s="214"/>
      <c r="DY135" s="214"/>
      <c r="DZ135" s="214"/>
      <c r="EA135" s="214"/>
      <c r="EB135" s="214"/>
      <c r="EC135" s="214"/>
      <c r="ED135" s="214"/>
      <c r="EE135" s="214"/>
      <c r="EF135" s="214"/>
      <c r="EG135" s="214"/>
      <c r="EH135" s="214"/>
      <c r="EI135" s="214"/>
      <c r="EJ135" s="214"/>
      <c r="EK135" s="214"/>
      <c r="EL135" s="214"/>
      <c r="EM135" s="214"/>
      <c r="EN135" s="214"/>
      <c r="EO135" s="214"/>
      <c r="EP135" s="214"/>
      <c r="EQ135" s="214"/>
      <c r="ER135" s="214"/>
      <c r="ES135" s="214"/>
      <c r="ET135" s="214"/>
      <c r="EU135" s="214"/>
      <c r="EV135" s="214"/>
      <c r="EW135" s="214"/>
      <c r="EX135" s="214"/>
      <c r="EY135" s="214"/>
      <c r="EZ135" s="214"/>
      <c r="FA135" s="214"/>
      <c r="FB135" s="214"/>
      <c r="FC135" s="214"/>
      <c r="FD135" s="214"/>
      <c r="FE135" s="214"/>
      <c r="FF135" s="214"/>
      <c r="FG135" s="214"/>
      <c r="FH135" s="214"/>
      <c r="FI135" s="214"/>
      <c r="FJ135" s="214"/>
      <c r="FK135" s="214"/>
      <c r="FL135" s="214"/>
      <c r="FM135" s="214"/>
      <c r="FN135" s="214"/>
    </row>
    <row r="136" spans="1:170" s="111" customFormat="1" ht="31.5">
      <c r="A136" s="221" t="s">
        <v>1385</v>
      </c>
      <c r="B136" s="224">
        <f t="shared" si="17"/>
        <v>1994</v>
      </c>
      <c r="C136" s="224"/>
      <c r="D136" s="224"/>
      <c r="E136" s="224">
        <v>0</v>
      </c>
      <c r="F136" s="224">
        <v>0</v>
      </c>
      <c r="G136" s="224">
        <v>1994</v>
      </c>
      <c r="H136" s="224"/>
      <c r="I136" s="224"/>
      <c r="J136" s="224"/>
      <c r="K136" s="214"/>
      <c r="L136" s="214"/>
      <c r="M136" s="214"/>
      <c r="N136" s="214"/>
      <c r="O136" s="214"/>
      <c r="P136" s="214"/>
      <c r="Q136" s="214"/>
      <c r="R136" s="214"/>
      <c r="S136" s="214"/>
      <c r="T136" s="214"/>
      <c r="U136" s="214"/>
      <c r="V136" s="214"/>
      <c r="W136" s="214"/>
      <c r="X136" s="214"/>
      <c r="Y136" s="214"/>
      <c r="Z136" s="214"/>
      <c r="AA136" s="214"/>
      <c r="AB136" s="214"/>
      <c r="AC136" s="214"/>
      <c r="AD136" s="214"/>
      <c r="AE136" s="214"/>
      <c r="AF136" s="214"/>
      <c r="AG136" s="214"/>
      <c r="AH136" s="214"/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  <c r="BI136" s="214"/>
      <c r="BJ136" s="214"/>
      <c r="BK136" s="214"/>
      <c r="BL136" s="214"/>
      <c r="BM136" s="214"/>
      <c r="BN136" s="214"/>
      <c r="BO136" s="214"/>
      <c r="BP136" s="214"/>
      <c r="BQ136" s="214"/>
      <c r="BR136" s="214"/>
      <c r="BS136" s="214"/>
      <c r="BT136" s="214"/>
      <c r="BU136" s="214"/>
      <c r="BV136" s="214"/>
      <c r="BW136" s="214"/>
      <c r="BX136" s="214"/>
      <c r="BY136" s="214"/>
      <c r="BZ136" s="214"/>
      <c r="CA136" s="214"/>
      <c r="CB136" s="214"/>
      <c r="CC136" s="214"/>
      <c r="CD136" s="214"/>
      <c r="CE136" s="214"/>
      <c r="CF136" s="214"/>
      <c r="CG136" s="214"/>
      <c r="CH136" s="214"/>
      <c r="CI136" s="214"/>
      <c r="CJ136" s="214"/>
      <c r="CK136" s="214"/>
      <c r="CL136" s="214"/>
      <c r="CM136" s="214"/>
      <c r="CN136" s="214"/>
      <c r="CO136" s="214"/>
      <c r="CP136" s="214"/>
      <c r="CQ136" s="214"/>
      <c r="CR136" s="214"/>
      <c r="CS136" s="214"/>
      <c r="CT136" s="214"/>
      <c r="CU136" s="214"/>
      <c r="CV136" s="214"/>
      <c r="CW136" s="214"/>
      <c r="CX136" s="214"/>
      <c r="CY136" s="214"/>
      <c r="CZ136" s="214"/>
      <c r="DA136" s="214"/>
      <c r="DB136" s="214"/>
      <c r="DC136" s="214"/>
      <c r="DD136" s="214"/>
      <c r="DE136" s="214"/>
      <c r="DF136" s="214"/>
      <c r="DG136" s="214"/>
      <c r="DH136" s="214"/>
      <c r="DI136" s="214"/>
      <c r="DJ136" s="214"/>
      <c r="DK136" s="214"/>
      <c r="DL136" s="214"/>
      <c r="DM136" s="214"/>
      <c r="DN136" s="214"/>
      <c r="DO136" s="214"/>
      <c r="DP136" s="214"/>
      <c r="DQ136" s="214"/>
      <c r="DR136" s="214"/>
      <c r="DS136" s="214"/>
      <c r="DT136" s="214"/>
      <c r="DU136" s="214"/>
      <c r="DV136" s="214"/>
      <c r="DW136" s="214"/>
      <c r="DX136" s="214"/>
      <c r="DY136" s="214"/>
      <c r="DZ136" s="214"/>
      <c r="EA136" s="214"/>
      <c r="EB136" s="214"/>
      <c r="EC136" s="214"/>
      <c r="ED136" s="214"/>
      <c r="EE136" s="214"/>
      <c r="EF136" s="214"/>
      <c r="EG136" s="214"/>
      <c r="EH136" s="214"/>
      <c r="EI136" s="214"/>
      <c r="EJ136" s="214"/>
      <c r="EK136" s="214"/>
      <c r="EL136" s="214"/>
      <c r="EM136" s="214"/>
      <c r="EN136" s="214"/>
      <c r="EO136" s="214"/>
      <c r="EP136" s="214"/>
      <c r="EQ136" s="214"/>
      <c r="ER136" s="214"/>
      <c r="ES136" s="214"/>
      <c r="ET136" s="214"/>
      <c r="EU136" s="214"/>
      <c r="EV136" s="214"/>
      <c r="EW136" s="214"/>
      <c r="EX136" s="214"/>
      <c r="EY136" s="214"/>
      <c r="EZ136" s="214"/>
      <c r="FA136" s="214"/>
      <c r="FB136" s="214"/>
      <c r="FC136" s="214"/>
      <c r="FD136" s="214"/>
      <c r="FE136" s="214"/>
      <c r="FF136" s="214"/>
      <c r="FG136" s="214"/>
      <c r="FH136" s="214"/>
      <c r="FI136" s="214"/>
      <c r="FJ136" s="214"/>
      <c r="FK136" s="214"/>
      <c r="FL136" s="214"/>
      <c r="FM136" s="214"/>
      <c r="FN136" s="214"/>
    </row>
    <row r="137" spans="1:170" s="214" customFormat="1" ht="52.5" customHeight="1">
      <c r="A137" s="221" t="s">
        <v>1386</v>
      </c>
      <c r="B137" s="217">
        <f t="shared" ref="B137:B200" si="40">C137+D137+E137+F137+G137+H137+I137+J137</f>
        <v>52246</v>
      </c>
      <c r="C137" s="217"/>
      <c r="D137" s="217"/>
      <c r="E137" s="217">
        <v>0</v>
      </c>
      <c r="F137" s="217">
        <v>52246</v>
      </c>
      <c r="G137" s="217">
        <v>0</v>
      </c>
      <c r="H137" s="217"/>
      <c r="I137" s="217"/>
      <c r="J137" s="217"/>
    </row>
    <row r="138" spans="1:170" s="214" customFormat="1" ht="78.75">
      <c r="A138" s="221" t="s">
        <v>1387</v>
      </c>
      <c r="B138" s="217">
        <f t="shared" si="40"/>
        <v>9000</v>
      </c>
      <c r="C138" s="217"/>
      <c r="D138" s="217"/>
      <c r="E138" s="217">
        <v>0</v>
      </c>
      <c r="F138" s="217">
        <v>9000</v>
      </c>
      <c r="G138" s="217">
        <v>0</v>
      </c>
      <c r="H138" s="217"/>
      <c r="I138" s="217"/>
      <c r="J138" s="217"/>
    </row>
    <row r="139" spans="1:170" s="214" customFormat="1" ht="94.5">
      <c r="A139" s="221" t="s">
        <v>1266</v>
      </c>
      <c r="B139" s="217">
        <f t="shared" si="40"/>
        <v>11225</v>
      </c>
      <c r="C139" s="217"/>
      <c r="D139" s="217"/>
      <c r="E139" s="217">
        <v>0</v>
      </c>
      <c r="F139" s="217">
        <v>11225</v>
      </c>
      <c r="G139" s="217">
        <v>0</v>
      </c>
      <c r="H139" s="217"/>
      <c r="I139" s="217"/>
      <c r="J139" s="217"/>
    </row>
    <row r="140" spans="1:170" s="214" customFormat="1" ht="31.5">
      <c r="A140" s="212" t="s">
        <v>572</v>
      </c>
      <c r="B140" s="213">
        <f t="shared" si="40"/>
        <v>83674</v>
      </c>
      <c r="C140" s="213">
        <f t="shared" ref="C140:J140" si="41">SUM(C141:C153)</f>
        <v>0</v>
      </c>
      <c r="D140" s="213">
        <f t="shared" si="41"/>
        <v>0</v>
      </c>
      <c r="E140" s="213">
        <f t="shared" si="41"/>
        <v>0</v>
      </c>
      <c r="F140" s="213">
        <f t="shared" si="41"/>
        <v>27932</v>
      </c>
      <c r="G140" s="213">
        <f t="shared" si="41"/>
        <v>55742</v>
      </c>
      <c r="H140" s="213">
        <f t="shared" si="41"/>
        <v>0</v>
      </c>
      <c r="I140" s="213">
        <f t="shared" si="41"/>
        <v>0</v>
      </c>
      <c r="J140" s="213">
        <f t="shared" si="41"/>
        <v>0</v>
      </c>
    </row>
    <row r="141" spans="1:170" s="214" customFormat="1" ht="94.5">
      <c r="A141" s="221" t="s">
        <v>1388</v>
      </c>
      <c r="B141" s="217">
        <f t="shared" si="40"/>
        <v>4684</v>
      </c>
      <c r="C141" s="217"/>
      <c r="D141" s="217"/>
      <c r="E141" s="217"/>
      <c r="F141" s="217">
        <v>4684</v>
      </c>
      <c r="G141" s="217">
        <v>0</v>
      </c>
      <c r="H141" s="217"/>
      <c r="I141" s="217"/>
      <c r="J141" s="217"/>
    </row>
    <row r="142" spans="1:170" s="214" customFormat="1" ht="94.5">
      <c r="A142" s="221" t="s">
        <v>1522</v>
      </c>
      <c r="B142" s="217">
        <f t="shared" si="40"/>
        <v>18000</v>
      </c>
      <c r="C142" s="217"/>
      <c r="D142" s="217"/>
      <c r="E142" s="217"/>
      <c r="F142" s="217">
        <v>18000</v>
      </c>
      <c r="G142" s="217">
        <v>0</v>
      </c>
      <c r="H142" s="217"/>
      <c r="I142" s="217"/>
      <c r="J142" s="217"/>
    </row>
    <row r="143" spans="1:170" s="214" customFormat="1" ht="47.25">
      <c r="A143" s="221" t="s">
        <v>1389</v>
      </c>
      <c r="B143" s="217">
        <f t="shared" si="40"/>
        <v>1500</v>
      </c>
      <c r="C143" s="217"/>
      <c r="D143" s="217"/>
      <c r="E143" s="217"/>
      <c r="F143" s="217">
        <v>1500</v>
      </c>
      <c r="G143" s="217"/>
      <c r="H143" s="217"/>
      <c r="I143" s="217"/>
      <c r="J143" s="217"/>
    </row>
    <row r="144" spans="1:170" s="111" customFormat="1" ht="63">
      <c r="A144" s="221" t="s">
        <v>1207</v>
      </c>
      <c r="B144" s="224">
        <f t="shared" si="40"/>
        <v>3748</v>
      </c>
      <c r="C144" s="224"/>
      <c r="D144" s="224"/>
      <c r="E144" s="224"/>
      <c r="F144" s="224">
        <v>3748</v>
      </c>
      <c r="G144" s="224">
        <v>0</v>
      </c>
      <c r="H144" s="224"/>
      <c r="I144" s="224"/>
      <c r="J144" s="224"/>
      <c r="K144" s="214"/>
      <c r="L144" s="214"/>
      <c r="M144" s="214"/>
      <c r="N144" s="214"/>
      <c r="O144" s="214"/>
      <c r="P144" s="214"/>
      <c r="Q144" s="214"/>
      <c r="R144" s="214"/>
      <c r="S144" s="214"/>
      <c r="T144" s="214"/>
      <c r="U144" s="214"/>
      <c r="V144" s="214"/>
      <c r="W144" s="214"/>
      <c r="X144" s="214"/>
      <c r="Y144" s="214"/>
      <c r="Z144" s="214"/>
      <c r="AA144" s="214"/>
      <c r="AB144" s="214"/>
      <c r="AC144" s="214"/>
      <c r="AD144" s="214"/>
      <c r="AE144" s="214"/>
      <c r="AF144" s="214"/>
      <c r="AG144" s="214"/>
      <c r="AH144" s="214"/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  <c r="BG144" s="214"/>
      <c r="BH144" s="214"/>
      <c r="BI144" s="214"/>
      <c r="BJ144" s="214"/>
      <c r="BK144" s="214"/>
      <c r="BL144" s="214"/>
      <c r="BM144" s="214"/>
      <c r="BN144" s="214"/>
      <c r="BO144" s="214"/>
      <c r="BP144" s="214"/>
      <c r="BQ144" s="214"/>
      <c r="BR144" s="214"/>
      <c r="BS144" s="214"/>
      <c r="BT144" s="214"/>
      <c r="BU144" s="214"/>
      <c r="BV144" s="214"/>
      <c r="BW144" s="214"/>
      <c r="BX144" s="214"/>
      <c r="BY144" s="214"/>
      <c r="BZ144" s="214"/>
      <c r="CA144" s="214"/>
      <c r="CB144" s="214"/>
      <c r="CC144" s="214"/>
      <c r="CD144" s="214"/>
      <c r="CE144" s="214"/>
      <c r="CF144" s="214"/>
      <c r="CG144" s="214"/>
      <c r="CH144" s="214"/>
      <c r="CI144" s="214"/>
      <c r="CJ144" s="214"/>
      <c r="CK144" s="214"/>
      <c r="CL144" s="214"/>
      <c r="CM144" s="214"/>
      <c r="CN144" s="214"/>
      <c r="CO144" s="214"/>
      <c r="CP144" s="214"/>
      <c r="CQ144" s="214"/>
      <c r="CR144" s="214"/>
      <c r="CS144" s="214"/>
      <c r="CT144" s="214"/>
      <c r="CU144" s="214"/>
      <c r="CV144" s="214"/>
      <c r="CW144" s="214"/>
      <c r="CX144" s="214"/>
      <c r="CY144" s="214"/>
      <c r="CZ144" s="214"/>
      <c r="DA144" s="214"/>
      <c r="DB144" s="214"/>
      <c r="DC144" s="214"/>
      <c r="DD144" s="214"/>
      <c r="DE144" s="214"/>
      <c r="DF144" s="214"/>
      <c r="DG144" s="214"/>
      <c r="DH144" s="214"/>
      <c r="DI144" s="214"/>
      <c r="DJ144" s="214"/>
      <c r="DK144" s="214"/>
      <c r="DL144" s="214"/>
      <c r="DM144" s="214"/>
      <c r="DN144" s="214"/>
      <c r="DO144" s="214"/>
      <c r="DP144" s="214"/>
      <c r="DQ144" s="214"/>
      <c r="DR144" s="214"/>
      <c r="DS144" s="214"/>
      <c r="DT144" s="214"/>
      <c r="DU144" s="214"/>
      <c r="DV144" s="214"/>
      <c r="DW144" s="214"/>
      <c r="DX144" s="214"/>
      <c r="DY144" s="214"/>
      <c r="DZ144" s="214"/>
      <c r="EA144" s="214"/>
      <c r="EB144" s="214"/>
      <c r="EC144" s="214"/>
      <c r="ED144" s="214"/>
      <c r="EE144" s="214"/>
      <c r="EF144" s="214"/>
      <c r="EG144" s="214"/>
      <c r="EH144" s="214"/>
      <c r="EI144" s="214"/>
      <c r="EJ144" s="214"/>
      <c r="EK144" s="214"/>
      <c r="EL144" s="214"/>
      <c r="EM144" s="214"/>
      <c r="EN144" s="214"/>
      <c r="EO144" s="214"/>
      <c r="EP144" s="214"/>
      <c r="EQ144" s="214"/>
      <c r="ER144" s="214"/>
      <c r="ES144" s="214"/>
      <c r="ET144" s="214"/>
      <c r="EU144" s="214"/>
      <c r="EV144" s="214"/>
      <c r="EW144" s="214"/>
      <c r="EX144" s="214"/>
      <c r="EY144" s="214"/>
      <c r="EZ144" s="214"/>
      <c r="FA144" s="214"/>
      <c r="FB144" s="214"/>
      <c r="FC144" s="214"/>
      <c r="FD144" s="214"/>
      <c r="FE144" s="214"/>
      <c r="FF144" s="214"/>
      <c r="FG144" s="214"/>
      <c r="FH144" s="214"/>
      <c r="FI144" s="214"/>
      <c r="FJ144" s="214"/>
      <c r="FK144" s="214"/>
      <c r="FL144" s="214"/>
      <c r="FM144" s="214"/>
      <c r="FN144" s="214"/>
    </row>
    <row r="145" spans="1:170" s="111" customFormat="1" ht="31.5">
      <c r="A145" s="221" t="s">
        <v>1390</v>
      </c>
      <c r="B145" s="224">
        <f t="shared" si="40"/>
        <v>3500</v>
      </c>
      <c r="C145" s="224"/>
      <c r="D145" s="224"/>
      <c r="E145" s="224">
        <v>0</v>
      </c>
      <c r="F145" s="224"/>
      <c r="G145" s="224">
        <v>3500</v>
      </c>
      <c r="H145" s="224"/>
      <c r="I145" s="224"/>
      <c r="J145" s="224"/>
      <c r="K145" s="214"/>
      <c r="L145" s="214"/>
      <c r="M145" s="214"/>
      <c r="N145" s="214"/>
      <c r="O145" s="214"/>
      <c r="P145" s="214"/>
      <c r="Q145" s="214"/>
      <c r="R145" s="214"/>
      <c r="S145" s="214"/>
      <c r="T145" s="214"/>
      <c r="U145" s="214"/>
      <c r="V145" s="214"/>
      <c r="W145" s="214"/>
      <c r="X145" s="214"/>
      <c r="Y145" s="214"/>
      <c r="Z145" s="214"/>
      <c r="AA145" s="214"/>
      <c r="AB145" s="214"/>
      <c r="AC145" s="214"/>
      <c r="AD145" s="214"/>
      <c r="AE145" s="214"/>
      <c r="AF145" s="214"/>
      <c r="AG145" s="214"/>
      <c r="AH145" s="214"/>
      <c r="AI145" s="214"/>
      <c r="AJ145" s="214"/>
      <c r="AK145" s="214"/>
      <c r="AL145" s="214"/>
      <c r="AM145" s="214"/>
      <c r="AN145" s="214"/>
      <c r="AO145" s="214"/>
      <c r="AP145" s="214"/>
      <c r="AQ145" s="214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214"/>
      <c r="BE145" s="214"/>
      <c r="BF145" s="214"/>
      <c r="BG145" s="214"/>
      <c r="BH145" s="214"/>
      <c r="BI145" s="214"/>
      <c r="BJ145" s="214"/>
      <c r="BK145" s="214"/>
      <c r="BL145" s="214"/>
      <c r="BM145" s="214"/>
      <c r="BN145" s="214"/>
      <c r="BO145" s="214"/>
      <c r="BP145" s="214"/>
      <c r="BQ145" s="214"/>
      <c r="BR145" s="214"/>
      <c r="BS145" s="214"/>
      <c r="BT145" s="214"/>
      <c r="BU145" s="214"/>
      <c r="BV145" s="214"/>
      <c r="BW145" s="214"/>
      <c r="BX145" s="214"/>
      <c r="BY145" s="214"/>
      <c r="BZ145" s="214"/>
      <c r="CA145" s="214"/>
      <c r="CB145" s="214"/>
      <c r="CC145" s="214"/>
      <c r="CD145" s="214"/>
      <c r="CE145" s="214"/>
      <c r="CF145" s="214"/>
      <c r="CG145" s="214"/>
      <c r="CH145" s="214"/>
      <c r="CI145" s="214"/>
      <c r="CJ145" s="214"/>
      <c r="CK145" s="214"/>
      <c r="CL145" s="214"/>
      <c r="CM145" s="214"/>
      <c r="CN145" s="214"/>
      <c r="CO145" s="214"/>
      <c r="CP145" s="214"/>
      <c r="CQ145" s="214"/>
      <c r="CR145" s="214"/>
      <c r="CS145" s="214"/>
      <c r="CT145" s="214"/>
      <c r="CU145" s="214"/>
      <c r="CV145" s="214"/>
      <c r="CW145" s="214"/>
      <c r="CX145" s="214"/>
      <c r="CY145" s="214"/>
      <c r="CZ145" s="214"/>
      <c r="DA145" s="214"/>
      <c r="DB145" s="214"/>
      <c r="DC145" s="214"/>
      <c r="DD145" s="214"/>
      <c r="DE145" s="214"/>
      <c r="DF145" s="214"/>
      <c r="DG145" s="214"/>
      <c r="DH145" s="214"/>
      <c r="DI145" s="214"/>
      <c r="DJ145" s="214"/>
      <c r="DK145" s="214"/>
      <c r="DL145" s="214"/>
      <c r="DM145" s="214"/>
      <c r="DN145" s="214"/>
      <c r="DO145" s="214"/>
      <c r="DP145" s="214"/>
      <c r="DQ145" s="214"/>
      <c r="DR145" s="214"/>
      <c r="DS145" s="214"/>
      <c r="DT145" s="214"/>
      <c r="DU145" s="214"/>
      <c r="DV145" s="214"/>
      <c r="DW145" s="214"/>
      <c r="DX145" s="214"/>
      <c r="DY145" s="214"/>
      <c r="DZ145" s="214"/>
      <c r="EA145" s="214"/>
      <c r="EB145" s="214"/>
      <c r="EC145" s="214"/>
      <c r="ED145" s="214"/>
      <c r="EE145" s="214"/>
      <c r="EF145" s="214"/>
      <c r="EG145" s="214"/>
      <c r="EH145" s="214"/>
      <c r="EI145" s="214"/>
      <c r="EJ145" s="214"/>
      <c r="EK145" s="214"/>
      <c r="EL145" s="214"/>
      <c r="EM145" s="214"/>
      <c r="EN145" s="214"/>
      <c r="EO145" s="214"/>
      <c r="EP145" s="214"/>
      <c r="EQ145" s="214"/>
      <c r="ER145" s="214"/>
      <c r="ES145" s="214"/>
      <c r="ET145" s="214"/>
      <c r="EU145" s="214"/>
      <c r="EV145" s="214"/>
      <c r="EW145" s="214"/>
      <c r="EX145" s="214"/>
      <c r="EY145" s="214"/>
      <c r="EZ145" s="214"/>
      <c r="FA145" s="214"/>
      <c r="FB145" s="214"/>
      <c r="FC145" s="214"/>
      <c r="FD145" s="214"/>
      <c r="FE145" s="214"/>
      <c r="FF145" s="214"/>
      <c r="FG145" s="214"/>
      <c r="FH145" s="214"/>
      <c r="FI145" s="214"/>
      <c r="FJ145" s="214"/>
      <c r="FK145" s="214"/>
      <c r="FL145" s="214"/>
      <c r="FM145" s="214"/>
      <c r="FN145" s="214"/>
    </row>
    <row r="146" spans="1:170" s="111" customFormat="1" ht="31.5">
      <c r="A146" s="221" t="s">
        <v>1391</v>
      </c>
      <c r="B146" s="224">
        <f t="shared" si="40"/>
        <v>3360</v>
      </c>
      <c r="C146" s="224"/>
      <c r="D146" s="224"/>
      <c r="E146" s="224">
        <v>0</v>
      </c>
      <c r="F146" s="224"/>
      <c r="G146" s="224">
        <v>3360</v>
      </c>
      <c r="H146" s="224"/>
      <c r="I146" s="224"/>
      <c r="J146" s="224"/>
      <c r="K146" s="214"/>
      <c r="L146" s="214"/>
      <c r="M146" s="214"/>
      <c r="N146" s="214"/>
      <c r="O146" s="214"/>
      <c r="P146" s="214"/>
      <c r="Q146" s="214"/>
      <c r="R146" s="214"/>
      <c r="S146" s="214"/>
      <c r="T146" s="214"/>
      <c r="U146" s="214"/>
      <c r="V146" s="214"/>
      <c r="W146" s="214"/>
      <c r="X146" s="214"/>
      <c r="Y146" s="214"/>
      <c r="Z146" s="214"/>
      <c r="AA146" s="214"/>
      <c r="AB146" s="214"/>
      <c r="AC146" s="214"/>
      <c r="AD146" s="214"/>
      <c r="AE146" s="214"/>
      <c r="AF146" s="214"/>
      <c r="AG146" s="214"/>
      <c r="AH146" s="214"/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  <c r="BI146" s="214"/>
      <c r="BJ146" s="214"/>
      <c r="BK146" s="214"/>
      <c r="BL146" s="214"/>
      <c r="BM146" s="214"/>
      <c r="BN146" s="214"/>
      <c r="BO146" s="214"/>
      <c r="BP146" s="214"/>
      <c r="BQ146" s="214"/>
      <c r="BR146" s="214"/>
      <c r="BS146" s="214"/>
      <c r="BT146" s="214"/>
      <c r="BU146" s="214"/>
      <c r="BV146" s="214"/>
      <c r="BW146" s="214"/>
      <c r="BX146" s="214"/>
      <c r="BY146" s="214"/>
      <c r="BZ146" s="214"/>
      <c r="CA146" s="214"/>
      <c r="CB146" s="214"/>
      <c r="CC146" s="214"/>
      <c r="CD146" s="214"/>
      <c r="CE146" s="214"/>
      <c r="CF146" s="214"/>
      <c r="CG146" s="214"/>
      <c r="CH146" s="214"/>
      <c r="CI146" s="214"/>
      <c r="CJ146" s="214"/>
      <c r="CK146" s="214"/>
      <c r="CL146" s="214"/>
      <c r="CM146" s="214"/>
      <c r="CN146" s="214"/>
      <c r="CO146" s="214"/>
      <c r="CP146" s="214"/>
      <c r="CQ146" s="214"/>
      <c r="CR146" s="214"/>
      <c r="CS146" s="214"/>
      <c r="CT146" s="214"/>
      <c r="CU146" s="214"/>
      <c r="CV146" s="214"/>
      <c r="CW146" s="214"/>
      <c r="CX146" s="214"/>
      <c r="CY146" s="214"/>
      <c r="CZ146" s="214"/>
      <c r="DA146" s="214"/>
      <c r="DB146" s="214"/>
      <c r="DC146" s="214"/>
      <c r="DD146" s="214"/>
      <c r="DE146" s="214"/>
      <c r="DF146" s="214"/>
      <c r="DG146" s="214"/>
      <c r="DH146" s="214"/>
      <c r="DI146" s="214"/>
      <c r="DJ146" s="214"/>
      <c r="DK146" s="214"/>
      <c r="DL146" s="214"/>
      <c r="DM146" s="214"/>
      <c r="DN146" s="214"/>
      <c r="DO146" s="214"/>
      <c r="DP146" s="214"/>
      <c r="DQ146" s="214"/>
      <c r="DR146" s="214"/>
      <c r="DS146" s="214"/>
      <c r="DT146" s="214"/>
      <c r="DU146" s="214"/>
      <c r="DV146" s="214"/>
      <c r="DW146" s="214"/>
      <c r="DX146" s="214"/>
      <c r="DY146" s="214"/>
      <c r="DZ146" s="214"/>
      <c r="EA146" s="214"/>
      <c r="EB146" s="214"/>
      <c r="EC146" s="214"/>
      <c r="ED146" s="214"/>
      <c r="EE146" s="214"/>
      <c r="EF146" s="214"/>
      <c r="EG146" s="214"/>
      <c r="EH146" s="214"/>
      <c r="EI146" s="214"/>
      <c r="EJ146" s="214"/>
      <c r="EK146" s="214"/>
      <c r="EL146" s="214"/>
      <c r="EM146" s="214"/>
      <c r="EN146" s="214"/>
      <c r="EO146" s="214"/>
      <c r="EP146" s="214"/>
      <c r="EQ146" s="214"/>
      <c r="ER146" s="214"/>
      <c r="ES146" s="214"/>
      <c r="ET146" s="214"/>
      <c r="EU146" s="214"/>
      <c r="EV146" s="214"/>
      <c r="EW146" s="214"/>
      <c r="EX146" s="214"/>
      <c r="EY146" s="214"/>
      <c r="EZ146" s="214"/>
      <c r="FA146" s="214"/>
      <c r="FB146" s="214"/>
      <c r="FC146" s="214"/>
      <c r="FD146" s="214"/>
      <c r="FE146" s="214"/>
      <c r="FF146" s="214"/>
      <c r="FG146" s="214"/>
      <c r="FH146" s="214"/>
      <c r="FI146" s="214"/>
      <c r="FJ146" s="214"/>
      <c r="FK146" s="214"/>
      <c r="FL146" s="214"/>
      <c r="FM146" s="214"/>
      <c r="FN146" s="214"/>
    </row>
    <row r="147" spans="1:170" s="111" customFormat="1" ht="31.5">
      <c r="A147" s="221" t="s">
        <v>1392</v>
      </c>
      <c r="B147" s="224">
        <f t="shared" si="40"/>
        <v>3816</v>
      </c>
      <c r="C147" s="224"/>
      <c r="D147" s="224"/>
      <c r="E147" s="224">
        <v>0</v>
      </c>
      <c r="F147" s="224"/>
      <c r="G147" s="224">
        <v>3816</v>
      </c>
      <c r="H147" s="224"/>
      <c r="I147" s="224"/>
      <c r="J147" s="224"/>
      <c r="K147" s="214"/>
      <c r="L147" s="214"/>
      <c r="M147" s="214"/>
      <c r="N147" s="214"/>
      <c r="O147" s="214"/>
      <c r="P147" s="214"/>
      <c r="Q147" s="214"/>
      <c r="R147" s="214"/>
      <c r="S147" s="214"/>
      <c r="T147" s="214"/>
      <c r="U147" s="214"/>
      <c r="V147" s="214"/>
      <c r="W147" s="214"/>
      <c r="X147" s="214"/>
      <c r="Y147" s="214"/>
      <c r="Z147" s="214"/>
      <c r="AA147" s="214"/>
      <c r="AB147" s="214"/>
      <c r="AC147" s="214"/>
      <c r="AD147" s="214"/>
      <c r="AE147" s="214"/>
      <c r="AF147" s="214"/>
      <c r="AG147" s="214"/>
      <c r="AH147" s="214"/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  <c r="BI147" s="214"/>
      <c r="BJ147" s="214"/>
      <c r="BK147" s="214"/>
      <c r="BL147" s="214"/>
      <c r="BM147" s="214"/>
      <c r="BN147" s="214"/>
      <c r="BO147" s="214"/>
      <c r="BP147" s="214"/>
      <c r="BQ147" s="214"/>
      <c r="BR147" s="214"/>
      <c r="BS147" s="214"/>
      <c r="BT147" s="214"/>
      <c r="BU147" s="214"/>
      <c r="BV147" s="214"/>
      <c r="BW147" s="214"/>
      <c r="BX147" s="214"/>
      <c r="BY147" s="214"/>
      <c r="BZ147" s="214"/>
      <c r="CA147" s="214"/>
      <c r="CB147" s="214"/>
      <c r="CC147" s="214"/>
      <c r="CD147" s="214"/>
      <c r="CE147" s="214"/>
      <c r="CF147" s="214"/>
      <c r="CG147" s="214"/>
      <c r="CH147" s="214"/>
      <c r="CI147" s="214"/>
      <c r="CJ147" s="214"/>
      <c r="CK147" s="214"/>
      <c r="CL147" s="214"/>
      <c r="CM147" s="214"/>
      <c r="CN147" s="214"/>
      <c r="CO147" s="214"/>
      <c r="CP147" s="214"/>
      <c r="CQ147" s="214"/>
      <c r="CR147" s="214"/>
      <c r="CS147" s="214"/>
      <c r="CT147" s="214"/>
      <c r="CU147" s="214"/>
      <c r="CV147" s="214"/>
      <c r="CW147" s="214"/>
      <c r="CX147" s="214"/>
      <c r="CY147" s="214"/>
      <c r="CZ147" s="214"/>
      <c r="DA147" s="214"/>
      <c r="DB147" s="214"/>
      <c r="DC147" s="214"/>
      <c r="DD147" s="214"/>
      <c r="DE147" s="214"/>
      <c r="DF147" s="214"/>
      <c r="DG147" s="214"/>
      <c r="DH147" s="214"/>
      <c r="DI147" s="214"/>
      <c r="DJ147" s="214"/>
      <c r="DK147" s="214"/>
      <c r="DL147" s="214"/>
      <c r="DM147" s="214"/>
      <c r="DN147" s="214"/>
      <c r="DO147" s="214"/>
      <c r="DP147" s="214"/>
      <c r="DQ147" s="214"/>
      <c r="DR147" s="214"/>
      <c r="DS147" s="214"/>
      <c r="DT147" s="214"/>
      <c r="DU147" s="214"/>
      <c r="DV147" s="214"/>
      <c r="DW147" s="214"/>
      <c r="DX147" s="214"/>
      <c r="DY147" s="214"/>
      <c r="DZ147" s="214"/>
      <c r="EA147" s="214"/>
      <c r="EB147" s="214"/>
      <c r="EC147" s="214"/>
      <c r="ED147" s="214"/>
      <c r="EE147" s="214"/>
      <c r="EF147" s="214"/>
      <c r="EG147" s="214"/>
      <c r="EH147" s="214"/>
      <c r="EI147" s="214"/>
      <c r="EJ147" s="214"/>
      <c r="EK147" s="214"/>
      <c r="EL147" s="214"/>
      <c r="EM147" s="214"/>
      <c r="EN147" s="214"/>
      <c r="EO147" s="214"/>
      <c r="EP147" s="214"/>
      <c r="EQ147" s="214"/>
      <c r="ER147" s="214"/>
      <c r="ES147" s="214"/>
      <c r="ET147" s="214"/>
      <c r="EU147" s="214"/>
      <c r="EV147" s="214"/>
      <c r="EW147" s="214"/>
      <c r="EX147" s="214"/>
      <c r="EY147" s="214"/>
      <c r="EZ147" s="214"/>
      <c r="FA147" s="214"/>
      <c r="FB147" s="214"/>
      <c r="FC147" s="214"/>
      <c r="FD147" s="214"/>
      <c r="FE147" s="214"/>
      <c r="FF147" s="214"/>
      <c r="FG147" s="214"/>
      <c r="FH147" s="214"/>
      <c r="FI147" s="214"/>
      <c r="FJ147" s="214"/>
      <c r="FK147" s="214"/>
      <c r="FL147" s="214"/>
      <c r="FM147" s="214"/>
      <c r="FN147" s="214"/>
    </row>
    <row r="148" spans="1:170" s="111" customFormat="1" ht="31.5">
      <c r="A148" s="221" t="s">
        <v>1393</v>
      </c>
      <c r="B148" s="224">
        <f t="shared" si="40"/>
        <v>5843</v>
      </c>
      <c r="C148" s="224"/>
      <c r="D148" s="224"/>
      <c r="E148" s="224">
        <v>0</v>
      </c>
      <c r="F148" s="224"/>
      <c r="G148" s="224">
        <v>5843</v>
      </c>
      <c r="H148" s="224"/>
      <c r="I148" s="224"/>
      <c r="J148" s="224"/>
      <c r="K148" s="214"/>
      <c r="L148" s="214"/>
      <c r="M148" s="214"/>
      <c r="N148" s="214"/>
      <c r="O148" s="214"/>
      <c r="P148" s="214"/>
      <c r="Q148" s="214"/>
      <c r="R148" s="214"/>
      <c r="S148" s="214"/>
      <c r="T148" s="214"/>
      <c r="U148" s="214"/>
      <c r="V148" s="214"/>
      <c r="W148" s="214"/>
      <c r="X148" s="214"/>
      <c r="Y148" s="214"/>
      <c r="Z148" s="214"/>
      <c r="AA148" s="214"/>
      <c r="AB148" s="214"/>
      <c r="AC148" s="214"/>
      <c r="AD148" s="214"/>
      <c r="AE148" s="214"/>
      <c r="AF148" s="214"/>
      <c r="AG148" s="214"/>
      <c r="AH148" s="214"/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  <c r="BI148" s="214"/>
      <c r="BJ148" s="214"/>
      <c r="BK148" s="214"/>
      <c r="BL148" s="214"/>
      <c r="BM148" s="214"/>
      <c r="BN148" s="214"/>
      <c r="BO148" s="214"/>
      <c r="BP148" s="214"/>
      <c r="BQ148" s="214"/>
      <c r="BR148" s="214"/>
      <c r="BS148" s="214"/>
      <c r="BT148" s="214"/>
      <c r="BU148" s="214"/>
      <c r="BV148" s="214"/>
      <c r="BW148" s="214"/>
      <c r="BX148" s="214"/>
      <c r="BY148" s="214"/>
      <c r="BZ148" s="214"/>
      <c r="CA148" s="214"/>
      <c r="CB148" s="214"/>
      <c r="CC148" s="214"/>
      <c r="CD148" s="214"/>
      <c r="CE148" s="214"/>
      <c r="CF148" s="214"/>
      <c r="CG148" s="214"/>
      <c r="CH148" s="214"/>
      <c r="CI148" s="214"/>
      <c r="CJ148" s="214"/>
      <c r="CK148" s="214"/>
      <c r="CL148" s="214"/>
      <c r="CM148" s="214"/>
      <c r="CN148" s="214"/>
      <c r="CO148" s="214"/>
      <c r="CP148" s="214"/>
      <c r="CQ148" s="214"/>
      <c r="CR148" s="214"/>
      <c r="CS148" s="214"/>
      <c r="CT148" s="214"/>
      <c r="CU148" s="214"/>
      <c r="CV148" s="214"/>
      <c r="CW148" s="214"/>
      <c r="CX148" s="214"/>
      <c r="CY148" s="214"/>
      <c r="CZ148" s="214"/>
      <c r="DA148" s="214"/>
      <c r="DB148" s="214"/>
      <c r="DC148" s="214"/>
      <c r="DD148" s="214"/>
      <c r="DE148" s="214"/>
      <c r="DF148" s="214"/>
      <c r="DG148" s="214"/>
      <c r="DH148" s="214"/>
      <c r="DI148" s="214"/>
      <c r="DJ148" s="214"/>
      <c r="DK148" s="214"/>
      <c r="DL148" s="214"/>
      <c r="DM148" s="214"/>
      <c r="DN148" s="214"/>
      <c r="DO148" s="214"/>
      <c r="DP148" s="214"/>
      <c r="DQ148" s="214"/>
      <c r="DR148" s="214"/>
      <c r="DS148" s="214"/>
      <c r="DT148" s="214"/>
      <c r="DU148" s="214"/>
      <c r="DV148" s="214"/>
      <c r="DW148" s="214"/>
      <c r="DX148" s="214"/>
      <c r="DY148" s="214"/>
      <c r="DZ148" s="214"/>
      <c r="EA148" s="214"/>
      <c r="EB148" s="214"/>
      <c r="EC148" s="214"/>
      <c r="ED148" s="214"/>
      <c r="EE148" s="214"/>
      <c r="EF148" s="214"/>
      <c r="EG148" s="214"/>
      <c r="EH148" s="214"/>
      <c r="EI148" s="214"/>
      <c r="EJ148" s="214"/>
      <c r="EK148" s="214"/>
      <c r="EL148" s="214"/>
      <c r="EM148" s="214"/>
      <c r="EN148" s="214"/>
      <c r="EO148" s="214"/>
      <c r="EP148" s="214"/>
      <c r="EQ148" s="214"/>
      <c r="ER148" s="214"/>
      <c r="ES148" s="214"/>
      <c r="ET148" s="214"/>
      <c r="EU148" s="214"/>
      <c r="EV148" s="214"/>
      <c r="EW148" s="214"/>
      <c r="EX148" s="214"/>
      <c r="EY148" s="214"/>
      <c r="EZ148" s="214"/>
      <c r="FA148" s="214"/>
      <c r="FB148" s="214"/>
      <c r="FC148" s="214"/>
      <c r="FD148" s="214"/>
      <c r="FE148" s="214"/>
      <c r="FF148" s="214"/>
      <c r="FG148" s="214"/>
      <c r="FH148" s="214"/>
      <c r="FI148" s="214"/>
      <c r="FJ148" s="214"/>
      <c r="FK148" s="214"/>
      <c r="FL148" s="214"/>
      <c r="FM148" s="214"/>
      <c r="FN148" s="214"/>
    </row>
    <row r="149" spans="1:170" s="111" customFormat="1" ht="31.5">
      <c r="A149" s="221" t="s">
        <v>1394</v>
      </c>
      <c r="B149" s="224">
        <f t="shared" si="40"/>
        <v>2400</v>
      </c>
      <c r="C149" s="224"/>
      <c r="D149" s="224"/>
      <c r="E149" s="224">
        <v>0</v>
      </c>
      <c r="F149" s="224"/>
      <c r="G149" s="224">
        <v>2400</v>
      </c>
      <c r="H149" s="224"/>
      <c r="I149" s="224"/>
      <c r="J149" s="224"/>
      <c r="K149" s="214"/>
      <c r="L149" s="214"/>
      <c r="M149" s="214"/>
      <c r="N149" s="214"/>
      <c r="O149" s="214"/>
      <c r="P149" s="214"/>
      <c r="Q149" s="214"/>
      <c r="R149" s="214"/>
      <c r="S149" s="214"/>
      <c r="T149" s="214"/>
      <c r="U149" s="214"/>
      <c r="V149" s="214"/>
      <c r="W149" s="214"/>
      <c r="X149" s="214"/>
      <c r="Y149" s="214"/>
      <c r="Z149" s="214"/>
      <c r="AA149" s="214"/>
      <c r="AB149" s="214"/>
      <c r="AC149" s="214"/>
      <c r="AD149" s="214"/>
      <c r="AE149" s="214"/>
      <c r="AF149" s="214"/>
      <c r="AG149" s="214"/>
      <c r="AH149" s="214"/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  <c r="BI149" s="214"/>
      <c r="BJ149" s="214"/>
      <c r="BK149" s="214"/>
      <c r="BL149" s="214"/>
      <c r="BM149" s="214"/>
      <c r="BN149" s="214"/>
      <c r="BO149" s="214"/>
      <c r="BP149" s="214"/>
      <c r="BQ149" s="214"/>
      <c r="BR149" s="214"/>
      <c r="BS149" s="214"/>
      <c r="BT149" s="214"/>
      <c r="BU149" s="214"/>
      <c r="BV149" s="214"/>
      <c r="BW149" s="214"/>
      <c r="BX149" s="214"/>
      <c r="BY149" s="214"/>
      <c r="BZ149" s="214"/>
      <c r="CA149" s="214"/>
      <c r="CB149" s="214"/>
      <c r="CC149" s="214"/>
      <c r="CD149" s="214"/>
      <c r="CE149" s="214"/>
      <c r="CF149" s="214"/>
      <c r="CG149" s="214"/>
      <c r="CH149" s="214"/>
      <c r="CI149" s="214"/>
      <c r="CJ149" s="214"/>
      <c r="CK149" s="214"/>
      <c r="CL149" s="214"/>
      <c r="CM149" s="214"/>
      <c r="CN149" s="214"/>
      <c r="CO149" s="214"/>
      <c r="CP149" s="214"/>
      <c r="CQ149" s="214"/>
      <c r="CR149" s="214"/>
      <c r="CS149" s="214"/>
      <c r="CT149" s="214"/>
      <c r="CU149" s="214"/>
      <c r="CV149" s="214"/>
      <c r="CW149" s="214"/>
      <c r="CX149" s="214"/>
      <c r="CY149" s="214"/>
      <c r="CZ149" s="214"/>
      <c r="DA149" s="214"/>
      <c r="DB149" s="214"/>
      <c r="DC149" s="214"/>
      <c r="DD149" s="214"/>
      <c r="DE149" s="214"/>
      <c r="DF149" s="214"/>
      <c r="DG149" s="214"/>
      <c r="DH149" s="214"/>
      <c r="DI149" s="214"/>
      <c r="DJ149" s="214"/>
      <c r="DK149" s="214"/>
      <c r="DL149" s="214"/>
      <c r="DM149" s="214"/>
      <c r="DN149" s="214"/>
      <c r="DO149" s="214"/>
      <c r="DP149" s="214"/>
      <c r="DQ149" s="214"/>
      <c r="DR149" s="214"/>
      <c r="DS149" s="214"/>
      <c r="DT149" s="214"/>
      <c r="DU149" s="214"/>
      <c r="DV149" s="214"/>
      <c r="DW149" s="214"/>
      <c r="DX149" s="214"/>
      <c r="DY149" s="214"/>
      <c r="DZ149" s="214"/>
      <c r="EA149" s="214"/>
      <c r="EB149" s="214"/>
      <c r="EC149" s="214"/>
      <c r="ED149" s="214"/>
      <c r="EE149" s="214"/>
      <c r="EF149" s="214"/>
      <c r="EG149" s="214"/>
      <c r="EH149" s="214"/>
      <c r="EI149" s="214"/>
      <c r="EJ149" s="214"/>
      <c r="EK149" s="214"/>
      <c r="EL149" s="214"/>
      <c r="EM149" s="214"/>
      <c r="EN149" s="214"/>
      <c r="EO149" s="214"/>
      <c r="EP149" s="214"/>
      <c r="EQ149" s="214"/>
      <c r="ER149" s="214"/>
      <c r="ES149" s="214"/>
      <c r="ET149" s="214"/>
      <c r="EU149" s="214"/>
      <c r="EV149" s="214"/>
      <c r="EW149" s="214"/>
      <c r="EX149" s="214"/>
      <c r="EY149" s="214"/>
      <c r="EZ149" s="214"/>
      <c r="FA149" s="214"/>
      <c r="FB149" s="214"/>
      <c r="FC149" s="214"/>
      <c r="FD149" s="214"/>
      <c r="FE149" s="214"/>
      <c r="FF149" s="214"/>
      <c r="FG149" s="214"/>
      <c r="FH149" s="214"/>
      <c r="FI149" s="214"/>
      <c r="FJ149" s="214"/>
      <c r="FK149" s="214"/>
      <c r="FL149" s="214"/>
      <c r="FM149" s="214"/>
      <c r="FN149" s="214"/>
    </row>
    <row r="150" spans="1:170" s="214" customFormat="1" ht="47.25">
      <c r="A150" s="219" t="s">
        <v>1395</v>
      </c>
      <c r="B150" s="220">
        <f t="shared" si="40"/>
        <v>6414</v>
      </c>
      <c r="C150" s="220"/>
      <c r="D150" s="220"/>
      <c r="E150" s="220"/>
      <c r="F150" s="220">
        <v>0</v>
      </c>
      <c r="G150" s="220">
        <v>6414</v>
      </c>
      <c r="H150" s="220"/>
      <c r="I150" s="220"/>
      <c r="J150" s="220"/>
    </row>
    <row r="151" spans="1:170" s="214" customFormat="1" ht="31.5">
      <c r="A151" s="221" t="s">
        <v>1396</v>
      </c>
      <c r="B151" s="217">
        <f t="shared" si="40"/>
        <v>14998</v>
      </c>
      <c r="C151" s="217"/>
      <c r="D151" s="217"/>
      <c r="E151" s="217"/>
      <c r="F151" s="217">
        <v>0</v>
      </c>
      <c r="G151" s="217">
        <v>14998</v>
      </c>
      <c r="H151" s="217"/>
      <c r="I151" s="217"/>
      <c r="J151" s="217"/>
    </row>
    <row r="152" spans="1:170" s="214" customFormat="1" ht="47.25">
      <c r="A152" s="219" t="s">
        <v>1397</v>
      </c>
      <c r="B152" s="220">
        <f t="shared" si="40"/>
        <v>3605</v>
      </c>
      <c r="C152" s="220">
        <v>0</v>
      </c>
      <c r="D152" s="220"/>
      <c r="E152" s="220"/>
      <c r="F152" s="220"/>
      <c r="G152" s="220">
        <v>3605</v>
      </c>
      <c r="H152" s="220"/>
      <c r="I152" s="220"/>
      <c r="J152" s="220"/>
    </row>
    <row r="153" spans="1:170" s="214" customFormat="1">
      <c r="A153" s="219" t="s">
        <v>1146</v>
      </c>
      <c r="B153" s="220">
        <f t="shared" si="40"/>
        <v>11806</v>
      </c>
      <c r="C153" s="220"/>
      <c r="D153" s="220"/>
      <c r="E153" s="220"/>
      <c r="F153" s="220">
        <v>0</v>
      </c>
      <c r="G153" s="220">
        <v>11806</v>
      </c>
      <c r="H153" s="220"/>
      <c r="I153" s="220"/>
      <c r="J153" s="220"/>
    </row>
    <row r="154" spans="1:170" s="214" customFormat="1">
      <c r="A154" s="212" t="s">
        <v>574</v>
      </c>
      <c r="B154" s="213">
        <f t="shared" si="40"/>
        <v>177988</v>
      </c>
      <c r="C154" s="213">
        <f t="shared" ref="C154:J154" si="42">SUM(C155:C158)</f>
        <v>0</v>
      </c>
      <c r="D154" s="213">
        <f t="shared" si="42"/>
        <v>0</v>
      </c>
      <c r="E154" s="213">
        <f t="shared" si="42"/>
        <v>0</v>
      </c>
      <c r="F154" s="213">
        <f t="shared" si="42"/>
        <v>107488</v>
      </c>
      <c r="G154" s="213">
        <f t="shared" si="42"/>
        <v>70500</v>
      </c>
      <c r="H154" s="213">
        <f t="shared" si="42"/>
        <v>0</v>
      </c>
      <c r="I154" s="213">
        <f t="shared" si="42"/>
        <v>0</v>
      </c>
      <c r="J154" s="213">
        <f t="shared" si="42"/>
        <v>0</v>
      </c>
    </row>
    <row r="155" spans="1:170" s="111" customFormat="1" ht="31.5">
      <c r="A155" s="221" t="s">
        <v>1398</v>
      </c>
      <c r="B155" s="224">
        <f t="shared" si="40"/>
        <v>70500</v>
      </c>
      <c r="C155" s="224"/>
      <c r="D155" s="224"/>
      <c r="E155" s="224">
        <v>0</v>
      </c>
      <c r="F155" s="224"/>
      <c r="G155" s="224">
        <v>70500</v>
      </c>
      <c r="H155" s="224"/>
      <c r="I155" s="224"/>
      <c r="J155" s="224"/>
      <c r="K155" s="214"/>
      <c r="L155" s="214"/>
      <c r="M155" s="214"/>
      <c r="N155" s="214"/>
      <c r="O155" s="214"/>
      <c r="P155" s="214"/>
      <c r="Q155" s="214"/>
      <c r="R155" s="214"/>
      <c r="S155" s="214"/>
      <c r="T155" s="214"/>
      <c r="U155" s="214"/>
      <c r="V155" s="214"/>
      <c r="W155" s="214"/>
      <c r="X155" s="214"/>
      <c r="Y155" s="214"/>
      <c r="Z155" s="214"/>
      <c r="AA155" s="214"/>
      <c r="AB155" s="214"/>
      <c r="AC155" s="214"/>
      <c r="AD155" s="214"/>
      <c r="AE155" s="214"/>
      <c r="AF155" s="214"/>
      <c r="AG155" s="214"/>
      <c r="AH155" s="214"/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4"/>
      <c r="AT155" s="214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  <c r="BG155" s="214"/>
      <c r="BH155" s="214"/>
      <c r="BI155" s="214"/>
      <c r="BJ155" s="214"/>
      <c r="BK155" s="214"/>
      <c r="BL155" s="214"/>
      <c r="BM155" s="214"/>
      <c r="BN155" s="214"/>
      <c r="BO155" s="214"/>
      <c r="BP155" s="214"/>
      <c r="BQ155" s="214"/>
      <c r="BR155" s="214"/>
      <c r="BS155" s="214"/>
      <c r="BT155" s="214"/>
      <c r="BU155" s="214"/>
      <c r="BV155" s="214"/>
      <c r="BW155" s="214"/>
      <c r="BX155" s="214"/>
      <c r="BY155" s="214"/>
      <c r="BZ155" s="214"/>
      <c r="CA155" s="214"/>
      <c r="CB155" s="214"/>
      <c r="CC155" s="214"/>
      <c r="CD155" s="214"/>
      <c r="CE155" s="214"/>
      <c r="CF155" s="214"/>
      <c r="CG155" s="214"/>
      <c r="CH155" s="214"/>
      <c r="CI155" s="214"/>
      <c r="CJ155" s="214"/>
      <c r="CK155" s="214"/>
      <c r="CL155" s="214"/>
      <c r="CM155" s="214"/>
      <c r="CN155" s="214"/>
      <c r="CO155" s="214"/>
      <c r="CP155" s="214"/>
      <c r="CQ155" s="214"/>
      <c r="CR155" s="214"/>
      <c r="CS155" s="214"/>
      <c r="CT155" s="214"/>
      <c r="CU155" s="214"/>
      <c r="CV155" s="214"/>
      <c r="CW155" s="214"/>
      <c r="CX155" s="214"/>
      <c r="CY155" s="214"/>
      <c r="CZ155" s="214"/>
      <c r="DA155" s="214"/>
      <c r="DB155" s="214"/>
      <c r="DC155" s="214"/>
      <c r="DD155" s="214"/>
      <c r="DE155" s="214"/>
      <c r="DF155" s="214"/>
      <c r="DG155" s="214"/>
      <c r="DH155" s="214"/>
      <c r="DI155" s="214"/>
      <c r="DJ155" s="214"/>
      <c r="DK155" s="214"/>
      <c r="DL155" s="214"/>
      <c r="DM155" s="214"/>
      <c r="DN155" s="214"/>
      <c r="DO155" s="214"/>
      <c r="DP155" s="214"/>
      <c r="DQ155" s="214"/>
      <c r="DR155" s="214"/>
      <c r="DS155" s="214"/>
      <c r="DT155" s="214"/>
      <c r="DU155" s="214"/>
      <c r="DV155" s="214"/>
      <c r="DW155" s="214"/>
      <c r="DX155" s="214"/>
      <c r="DY155" s="214"/>
      <c r="DZ155" s="214"/>
      <c r="EA155" s="214"/>
      <c r="EB155" s="214"/>
      <c r="EC155" s="214"/>
      <c r="ED155" s="214"/>
      <c r="EE155" s="214"/>
      <c r="EF155" s="214"/>
      <c r="EG155" s="214"/>
      <c r="EH155" s="214"/>
      <c r="EI155" s="214"/>
      <c r="EJ155" s="214"/>
      <c r="EK155" s="214"/>
      <c r="EL155" s="214"/>
      <c r="EM155" s="214"/>
      <c r="EN155" s="214"/>
      <c r="EO155" s="214"/>
      <c r="EP155" s="214"/>
      <c r="EQ155" s="214"/>
      <c r="ER155" s="214"/>
      <c r="ES155" s="214"/>
      <c r="ET155" s="214"/>
      <c r="EU155" s="214"/>
      <c r="EV155" s="214"/>
      <c r="EW155" s="214"/>
      <c r="EX155" s="214"/>
      <c r="EY155" s="214"/>
      <c r="EZ155" s="214"/>
      <c r="FA155" s="214"/>
      <c r="FB155" s="214"/>
      <c r="FC155" s="214"/>
      <c r="FD155" s="214"/>
      <c r="FE155" s="214"/>
      <c r="FF155" s="214"/>
      <c r="FG155" s="214"/>
      <c r="FH155" s="214"/>
      <c r="FI155" s="214"/>
      <c r="FJ155" s="214"/>
      <c r="FK155" s="214"/>
      <c r="FL155" s="214"/>
      <c r="FM155" s="214"/>
      <c r="FN155" s="214"/>
    </row>
    <row r="156" spans="1:170" s="214" customFormat="1" ht="78.75">
      <c r="A156" s="221" t="s">
        <v>1399</v>
      </c>
      <c r="B156" s="217">
        <f t="shared" si="40"/>
        <v>77500</v>
      </c>
      <c r="C156" s="217"/>
      <c r="D156" s="217"/>
      <c r="E156" s="217">
        <v>0</v>
      </c>
      <c r="F156" s="217">
        <v>77500</v>
      </c>
      <c r="G156" s="217"/>
      <c r="H156" s="217"/>
      <c r="I156" s="217"/>
      <c r="J156" s="217"/>
    </row>
    <row r="157" spans="1:170" s="214" customFormat="1" ht="78.75">
      <c r="A157" s="221" t="s">
        <v>1267</v>
      </c>
      <c r="B157" s="217">
        <f t="shared" si="40"/>
        <v>29988</v>
      </c>
      <c r="C157" s="217"/>
      <c r="D157" s="217"/>
      <c r="E157" s="217">
        <v>0</v>
      </c>
      <c r="F157" s="217">
        <v>29988</v>
      </c>
      <c r="G157" s="217"/>
      <c r="H157" s="217"/>
      <c r="I157" s="217"/>
      <c r="J157" s="217"/>
    </row>
    <row r="158" spans="1:170" s="111" customFormat="1">
      <c r="A158" s="221"/>
      <c r="B158" s="224">
        <f t="shared" si="40"/>
        <v>0</v>
      </c>
      <c r="C158" s="224"/>
      <c r="D158" s="224"/>
      <c r="E158" s="224">
        <v>0</v>
      </c>
      <c r="F158" s="224"/>
      <c r="G158" s="224"/>
      <c r="H158" s="224"/>
      <c r="I158" s="224"/>
      <c r="J158" s="224"/>
      <c r="K158" s="214"/>
      <c r="L158" s="214"/>
      <c r="M158" s="214"/>
      <c r="N158" s="214"/>
      <c r="O158" s="214"/>
      <c r="P158" s="214"/>
      <c r="Q158" s="214"/>
      <c r="R158" s="214"/>
      <c r="S158" s="214"/>
      <c r="T158" s="214"/>
      <c r="U158" s="214"/>
      <c r="V158" s="214"/>
      <c r="W158" s="214"/>
      <c r="X158" s="214"/>
      <c r="Y158" s="214"/>
      <c r="Z158" s="214"/>
      <c r="AA158" s="214"/>
      <c r="AB158" s="214"/>
      <c r="AC158" s="214"/>
      <c r="AD158" s="214"/>
      <c r="AE158" s="214"/>
      <c r="AF158" s="214"/>
      <c r="AG158" s="214"/>
      <c r="AH158" s="214"/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214"/>
      <c r="AS158" s="214"/>
      <c r="AT158" s="214"/>
      <c r="AU158" s="214"/>
      <c r="AV158" s="214"/>
      <c r="AW158" s="214"/>
      <c r="AX158" s="214"/>
      <c r="AY158" s="214"/>
      <c r="AZ158" s="214"/>
      <c r="BA158" s="214"/>
      <c r="BB158" s="214"/>
      <c r="BC158" s="214"/>
      <c r="BD158" s="214"/>
      <c r="BE158" s="214"/>
      <c r="BF158" s="214"/>
      <c r="BG158" s="214"/>
      <c r="BH158" s="214"/>
      <c r="BI158" s="214"/>
      <c r="BJ158" s="214"/>
      <c r="BK158" s="214"/>
      <c r="BL158" s="214"/>
      <c r="BM158" s="214"/>
      <c r="BN158" s="214"/>
      <c r="BO158" s="214"/>
      <c r="BP158" s="214"/>
      <c r="BQ158" s="214"/>
      <c r="BR158" s="214"/>
      <c r="BS158" s="214"/>
      <c r="BT158" s="214"/>
      <c r="BU158" s="214"/>
      <c r="BV158" s="214"/>
      <c r="BW158" s="214"/>
      <c r="BX158" s="214"/>
      <c r="BY158" s="214"/>
      <c r="BZ158" s="214"/>
      <c r="CA158" s="214"/>
      <c r="CB158" s="214"/>
      <c r="CC158" s="214"/>
      <c r="CD158" s="214"/>
      <c r="CE158" s="214"/>
      <c r="CF158" s="214"/>
      <c r="CG158" s="214"/>
      <c r="CH158" s="214"/>
      <c r="CI158" s="214"/>
      <c r="CJ158" s="214"/>
      <c r="CK158" s="214"/>
      <c r="CL158" s="214"/>
      <c r="CM158" s="214"/>
      <c r="CN158" s="214"/>
      <c r="CO158" s="214"/>
      <c r="CP158" s="214"/>
      <c r="CQ158" s="214"/>
      <c r="CR158" s="214"/>
      <c r="CS158" s="214"/>
      <c r="CT158" s="214"/>
      <c r="CU158" s="214"/>
      <c r="CV158" s="214"/>
      <c r="CW158" s="214"/>
      <c r="CX158" s="214"/>
      <c r="CY158" s="214"/>
      <c r="CZ158" s="214"/>
      <c r="DA158" s="214"/>
      <c r="DB158" s="214"/>
      <c r="DC158" s="214"/>
      <c r="DD158" s="214"/>
      <c r="DE158" s="214"/>
      <c r="DF158" s="214"/>
      <c r="DG158" s="214"/>
      <c r="DH158" s="214"/>
      <c r="DI158" s="214"/>
      <c r="DJ158" s="214"/>
      <c r="DK158" s="214"/>
      <c r="DL158" s="214"/>
      <c r="DM158" s="214"/>
      <c r="DN158" s="214"/>
      <c r="DO158" s="214"/>
      <c r="DP158" s="214"/>
      <c r="DQ158" s="214"/>
      <c r="DR158" s="214"/>
      <c r="DS158" s="214"/>
      <c r="DT158" s="214"/>
      <c r="DU158" s="214"/>
      <c r="DV158" s="214"/>
      <c r="DW158" s="214"/>
      <c r="DX158" s="214"/>
      <c r="DY158" s="214"/>
      <c r="DZ158" s="214"/>
      <c r="EA158" s="214"/>
      <c r="EB158" s="214"/>
      <c r="EC158" s="214"/>
      <c r="ED158" s="214"/>
      <c r="EE158" s="214"/>
      <c r="EF158" s="214"/>
      <c r="EG158" s="214"/>
      <c r="EH158" s="214"/>
      <c r="EI158" s="214"/>
      <c r="EJ158" s="214"/>
      <c r="EK158" s="214"/>
      <c r="EL158" s="214"/>
      <c r="EM158" s="214"/>
      <c r="EN158" s="214"/>
      <c r="EO158" s="214"/>
      <c r="EP158" s="214"/>
      <c r="EQ158" s="214"/>
      <c r="ER158" s="214"/>
      <c r="ES158" s="214"/>
      <c r="ET158" s="214"/>
      <c r="EU158" s="214"/>
      <c r="EV158" s="214"/>
      <c r="EW158" s="214"/>
      <c r="EX158" s="214"/>
      <c r="EY158" s="214"/>
      <c r="EZ158" s="214"/>
      <c r="FA158" s="214"/>
      <c r="FB158" s="214"/>
      <c r="FC158" s="214"/>
      <c r="FD158" s="214"/>
      <c r="FE158" s="214"/>
      <c r="FF158" s="214"/>
      <c r="FG158" s="214"/>
      <c r="FH158" s="214"/>
      <c r="FI158" s="214"/>
      <c r="FJ158" s="214"/>
      <c r="FK158" s="214"/>
      <c r="FL158" s="214"/>
      <c r="FM158" s="214"/>
      <c r="FN158" s="214"/>
    </row>
    <row r="159" spans="1:170" s="214" customFormat="1">
      <c r="A159" s="212" t="s">
        <v>575</v>
      </c>
      <c r="B159" s="213">
        <f t="shared" si="40"/>
        <v>47183</v>
      </c>
      <c r="C159" s="213">
        <f t="shared" ref="C159:J159" si="43">SUM(C160:C165)</f>
        <v>0</v>
      </c>
      <c r="D159" s="213">
        <f t="shared" si="43"/>
        <v>0</v>
      </c>
      <c r="E159" s="213">
        <f t="shared" si="43"/>
        <v>0</v>
      </c>
      <c r="F159" s="213">
        <f t="shared" si="43"/>
        <v>6310</v>
      </c>
      <c r="G159" s="213">
        <f t="shared" si="43"/>
        <v>40873</v>
      </c>
      <c r="H159" s="213">
        <f t="shared" si="43"/>
        <v>0</v>
      </c>
      <c r="I159" s="213">
        <f t="shared" si="43"/>
        <v>0</v>
      </c>
      <c r="J159" s="213">
        <f t="shared" si="43"/>
        <v>0</v>
      </c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  <c r="AA159" s="111"/>
      <c r="AB159" s="111"/>
      <c r="AC159" s="111"/>
      <c r="AD159" s="111"/>
      <c r="AE159" s="111"/>
      <c r="AF159" s="111"/>
      <c r="AG159" s="111"/>
      <c r="AH159" s="111"/>
      <c r="AI159" s="111"/>
      <c r="AJ159" s="111"/>
      <c r="AK159" s="111"/>
      <c r="AL159" s="111"/>
      <c r="AM159" s="111"/>
      <c r="AN159" s="111"/>
      <c r="AO159" s="111"/>
      <c r="AP159" s="111"/>
      <c r="AQ159" s="111"/>
      <c r="AR159" s="111"/>
      <c r="AS159" s="111"/>
      <c r="AT159" s="111"/>
      <c r="AU159" s="111"/>
      <c r="AV159" s="111"/>
      <c r="AW159" s="111"/>
      <c r="AX159" s="111"/>
      <c r="AY159" s="111"/>
      <c r="AZ159" s="111"/>
      <c r="BA159" s="111"/>
      <c r="BB159" s="111"/>
      <c r="BC159" s="111"/>
      <c r="BD159" s="111"/>
      <c r="BE159" s="111"/>
      <c r="BF159" s="111"/>
      <c r="BG159" s="111"/>
      <c r="BH159" s="111"/>
      <c r="BI159" s="111"/>
      <c r="BJ159" s="111"/>
      <c r="BK159" s="111"/>
      <c r="BL159" s="111"/>
      <c r="BM159" s="111"/>
      <c r="BN159" s="111"/>
      <c r="BO159" s="111"/>
      <c r="BP159" s="111"/>
      <c r="BQ159" s="111"/>
      <c r="BR159" s="111"/>
      <c r="BS159" s="111"/>
      <c r="BT159" s="111"/>
      <c r="BU159" s="111"/>
      <c r="BV159" s="111"/>
      <c r="BW159" s="111"/>
      <c r="BX159" s="111"/>
      <c r="BY159" s="111"/>
      <c r="BZ159" s="111"/>
      <c r="CA159" s="111"/>
      <c r="CB159" s="111"/>
      <c r="CC159" s="111"/>
      <c r="CD159" s="111"/>
      <c r="CE159" s="111"/>
      <c r="CF159" s="111"/>
      <c r="CG159" s="111"/>
      <c r="CH159" s="111"/>
      <c r="CI159" s="111"/>
      <c r="CJ159" s="111"/>
      <c r="CK159" s="111"/>
      <c r="CL159" s="111"/>
      <c r="CM159" s="111"/>
      <c r="CN159" s="111"/>
      <c r="CO159" s="111"/>
      <c r="CP159" s="111"/>
      <c r="CQ159" s="111"/>
      <c r="CR159" s="111"/>
      <c r="CS159" s="111"/>
      <c r="CT159" s="111"/>
      <c r="CU159" s="111"/>
      <c r="CV159" s="111"/>
      <c r="CW159" s="111"/>
      <c r="CX159" s="111"/>
      <c r="CY159" s="111"/>
      <c r="CZ159" s="111"/>
      <c r="DA159" s="111"/>
      <c r="DB159" s="111"/>
      <c r="DC159" s="111"/>
      <c r="DD159" s="111"/>
      <c r="DE159" s="111"/>
      <c r="DF159" s="111"/>
      <c r="DG159" s="111"/>
      <c r="DH159" s="111"/>
      <c r="DI159" s="111"/>
      <c r="DJ159" s="111"/>
      <c r="DK159" s="111"/>
      <c r="DL159" s="111"/>
      <c r="DM159" s="111"/>
      <c r="DN159" s="111"/>
      <c r="DO159" s="111"/>
      <c r="DP159" s="111"/>
      <c r="DQ159" s="111"/>
      <c r="DR159" s="111"/>
      <c r="DS159" s="111"/>
      <c r="DT159" s="111"/>
      <c r="DU159" s="111"/>
      <c r="DV159" s="111"/>
      <c r="DW159" s="111"/>
      <c r="DX159" s="111"/>
      <c r="DY159" s="111"/>
      <c r="DZ159" s="111"/>
      <c r="EA159" s="111"/>
      <c r="EB159" s="111"/>
      <c r="EC159" s="111"/>
      <c r="ED159" s="111"/>
      <c r="EE159" s="111"/>
      <c r="EF159" s="111"/>
      <c r="EG159" s="111"/>
      <c r="EH159" s="111"/>
      <c r="EI159" s="111"/>
      <c r="EJ159" s="111"/>
      <c r="EK159" s="111"/>
      <c r="EL159" s="111"/>
      <c r="EM159" s="111"/>
      <c r="EN159" s="111"/>
      <c r="EO159" s="111"/>
      <c r="EP159" s="111"/>
      <c r="EQ159" s="111"/>
      <c r="ER159" s="111"/>
      <c r="ES159" s="111"/>
      <c r="ET159" s="111"/>
      <c r="EU159" s="111"/>
      <c r="EV159" s="111"/>
      <c r="EW159" s="111"/>
      <c r="EX159" s="111"/>
      <c r="EY159" s="111"/>
      <c r="EZ159" s="111"/>
      <c r="FA159" s="111"/>
      <c r="FB159" s="111"/>
      <c r="FC159" s="111"/>
      <c r="FD159" s="111"/>
      <c r="FE159" s="111"/>
      <c r="FF159" s="111"/>
      <c r="FG159" s="111"/>
      <c r="FH159" s="111"/>
      <c r="FI159" s="111"/>
      <c r="FJ159" s="111"/>
      <c r="FK159" s="111"/>
      <c r="FL159" s="111"/>
      <c r="FM159" s="111"/>
      <c r="FN159" s="111"/>
    </row>
    <row r="160" spans="1:170" s="214" customFormat="1" ht="31.5">
      <c r="A160" s="225" t="s">
        <v>1400</v>
      </c>
      <c r="B160" s="220">
        <f t="shared" si="40"/>
        <v>7405</v>
      </c>
      <c r="C160" s="220"/>
      <c r="D160" s="220"/>
      <c r="E160" s="220"/>
      <c r="F160" s="220">
        <v>0</v>
      </c>
      <c r="G160" s="220">
        <v>7405</v>
      </c>
      <c r="H160" s="220"/>
      <c r="I160" s="220"/>
      <c r="J160" s="220"/>
    </row>
    <row r="161" spans="1:170" s="214" customFormat="1">
      <c r="A161" s="221" t="s">
        <v>1401</v>
      </c>
      <c r="B161" s="217">
        <f t="shared" si="40"/>
        <v>6024</v>
      </c>
      <c r="C161" s="217"/>
      <c r="D161" s="217"/>
      <c r="E161" s="217"/>
      <c r="F161" s="217">
        <v>0</v>
      </c>
      <c r="G161" s="217">
        <v>6024</v>
      </c>
      <c r="H161" s="217"/>
      <c r="I161" s="217"/>
      <c r="J161" s="217"/>
    </row>
    <row r="162" spans="1:170" s="214" customFormat="1" ht="31.5">
      <c r="A162" s="221" t="s">
        <v>1402</v>
      </c>
      <c r="B162" s="217">
        <f t="shared" si="40"/>
        <v>19988</v>
      </c>
      <c r="C162" s="217"/>
      <c r="D162" s="217"/>
      <c r="E162" s="217"/>
      <c r="F162" s="217">
        <v>0</v>
      </c>
      <c r="G162" s="217">
        <v>19988</v>
      </c>
      <c r="H162" s="217"/>
      <c r="I162" s="217"/>
      <c r="J162" s="217"/>
    </row>
    <row r="163" spans="1:170" s="214" customFormat="1" ht="31.5">
      <c r="A163" s="221" t="s">
        <v>1403</v>
      </c>
      <c r="B163" s="217">
        <f t="shared" si="40"/>
        <v>7456</v>
      </c>
      <c r="C163" s="217"/>
      <c r="D163" s="217"/>
      <c r="E163" s="217"/>
      <c r="F163" s="217">
        <v>0</v>
      </c>
      <c r="G163" s="217">
        <v>7456</v>
      </c>
      <c r="H163" s="217"/>
      <c r="I163" s="217"/>
      <c r="J163" s="217"/>
    </row>
    <row r="164" spans="1:170" s="214" customFormat="1" ht="94.5">
      <c r="A164" s="221" t="s">
        <v>1404</v>
      </c>
      <c r="B164" s="217">
        <f t="shared" si="40"/>
        <v>5000</v>
      </c>
      <c r="C164" s="217"/>
      <c r="D164" s="217"/>
      <c r="E164" s="217">
        <v>0</v>
      </c>
      <c r="F164" s="217">
        <v>5000</v>
      </c>
      <c r="G164" s="217"/>
      <c r="H164" s="217"/>
      <c r="I164" s="217"/>
      <c r="J164" s="217"/>
    </row>
    <row r="165" spans="1:170" s="214" customFormat="1" ht="94.5">
      <c r="A165" s="221" t="s">
        <v>1405</v>
      </c>
      <c r="B165" s="217">
        <f t="shared" si="40"/>
        <v>1310</v>
      </c>
      <c r="C165" s="217"/>
      <c r="D165" s="217"/>
      <c r="E165" s="217"/>
      <c r="F165" s="217">
        <v>1310</v>
      </c>
      <c r="G165" s="217">
        <v>0</v>
      </c>
      <c r="H165" s="217"/>
      <c r="I165" s="217"/>
      <c r="J165" s="217"/>
    </row>
    <row r="166" spans="1:170" s="214" customFormat="1" ht="31.5">
      <c r="A166" s="212" t="s">
        <v>565</v>
      </c>
      <c r="B166" s="213">
        <f t="shared" si="40"/>
        <v>13599793</v>
      </c>
      <c r="C166" s="213">
        <f>SUM(C167,C170,C176,C174)</f>
        <v>152495</v>
      </c>
      <c r="D166" s="213">
        <f t="shared" ref="D166:J166" si="44">SUM(D167,D170,D176,D174)</f>
        <v>4053</v>
      </c>
      <c r="E166" s="213">
        <f t="shared" si="44"/>
        <v>577979</v>
      </c>
      <c r="F166" s="213">
        <f t="shared" si="44"/>
        <v>7417574</v>
      </c>
      <c r="G166" s="213">
        <f t="shared" si="44"/>
        <v>0</v>
      </c>
      <c r="H166" s="213">
        <f t="shared" si="44"/>
        <v>4847692</v>
      </c>
      <c r="I166" s="213">
        <f t="shared" si="44"/>
        <v>0</v>
      </c>
      <c r="J166" s="213">
        <f t="shared" si="44"/>
        <v>600000</v>
      </c>
    </row>
    <row r="167" spans="1:170" s="111" customFormat="1" ht="31.5">
      <c r="A167" s="212" t="s">
        <v>572</v>
      </c>
      <c r="B167" s="213">
        <f t="shared" si="40"/>
        <v>1201200</v>
      </c>
      <c r="C167" s="213">
        <f>SUM(C168:C169)</f>
        <v>0</v>
      </c>
      <c r="D167" s="213">
        <f t="shared" ref="D167:J167" si="45">SUM(D168:D169)</f>
        <v>0</v>
      </c>
      <c r="E167" s="213">
        <f t="shared" si="45"/>
        <v>0</v>
      </c>
      <c r="F167" s="213">
        <f t="shared" si="45"/>
        <v>1201200</v>
      </c>
      <c r="G167" s="213">
        <f t="shared" si="45"/>
        <v>0</v>
      </c>
      <c r="H167" s="213">
        <f t="shared" si="45"/>
        <v>0</v>
      </c>
      <c r="I167" s="213">
        <f t="shared" si="45"/>
        <v>0</v>
      </c>
      <c r="J167" s="213">
        <f t="shared" si="45"/>
        <v>0</v>
      </c>
      <c r="K167" s="214"/>
      <c r="L167" s="214"/>
      <c r="M167" s="214"/>
      <c r="N167" s="214"/>
      <c r="O167" s="214"/>
      <c r="P167" s="214"/>
      <c r="Q167" s="214"/>
      <c r="R167" s="214"/>
      <c r="S167" s="214"/>
      <c r="T167" s="214"/>
      <c r="U167" s="214"/>
      <c r="V167" s="214"/>
      <c r="W167" s="214"/>
      <c r="X167" s="214"/>
      <c r="Y167" s="214"/>
      <c r="Z167" s="214"/>
      <c r="AA167" s="214"/>
      <c r="AB167" s="214"/>
      <c r="AC167" s="214"/>
      <c r="AD167" s="214"/>
      <c r="AE167" s="214"/>
      <c r="AF167" s="214"/>
      <c r="AG167" s="214"/>
      <c r="AH167" s="214"/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4"/>
      <c r="BB167" s="214"/>
      <c r="BC167" s="214"/>
      <c r="BD167" s="214"/>
      <c r="BE167" s="214"/>
      <c r="BF167" s="214"/>
      <c r="BG167" s="214"/>
      <c r="BH167" s="214"/>
      <c r="BI167" s="214"/>
      <c r="BJ167" s="214"/>
      <c r="BK167" s="214"/>
      <c r="BL167" s="214"/>
      <c r="BM167" s="214"/>
      <c r="BN167" s="214"/>
      <c r="BO167" s="214"/>
      <c r="BP167" s="214"/>
      <c r="BQ167" s="214"/>
      <c r="BR167" s="214"/>
      <c r="BS167" s="214"/>
      <c r="BT167" s="214"/>
      <c r="BU167" s="214"/>
      <c r="BV167" s="214"/>
      <c r="BW167" s="214"/>
      <c r="BX167" s="214"/>
      <c r="BY167" s="214"/>
      <c r="BZ167" s="214"/>
      <c r="CA167" s="214"/>
      <c r="CB167" s="214"/>
      <c r="CC167" s="214"/>
      <c r="CD167" s="214"/>
      <c r="CE167" s="214"/>
      <c r="CF167" s="214"/>
      <c r="CG167" s="214"/>
      <c r="CH167" s="214"/>
      <c r="CI167" s="214"/>
      <c r="CJ167" s="214"/>
      <c r="CK167" s="214"/>
      <c r="CL167" s="214"/>
      <c r="CM167" s="214"/>
      <c r="CN167" s="214"/>
      <c r="CO167" s="214"/>
      <c r="CP167" s="214"/>
      <c r="CQ167" s="214"/>
      <c r="CR167" s="214"/>
      <c r="CS167" s="214"/>
      <c r="CT167" s="214"/>
      <c r="CU167" s="214"/>
      <c r="CV167" s="214"/>
      <c r="CW167" s="214"/>
      <c r="CX167" s="214"/>
      <c r="CY167" s="214"/>
      <c r="CZ167" s="214"/>
      <c r="DA167" s="214"/>
      <c r="DB167" s="214"/>
      <c r="DC167" s="214"/>
      <c r="DD167" s="214"/>
      <c r="DE167" s="214"/>
      <c r="DF167" s="214"/>
      <c r="DG167" s="214"/>
      <c r="DH167" s="214"/>
      <c r="DI167" s="214"/>
      <c r="DJ167" s="214"/>
      <c r="DK167" s="214"/>
      <c r="DL167" s="214"/>
      <c r="DM167" s="214"/>
      <c r="DN167" s="214"/>
      <c r="DO167" s="214"/>
      <c r="DP167" s="214"/>
      <c r="DQ167" s="214"/>
      <c r="DR167" s="214"/>
      <c r="DS167" s="214"/>
      <c r="DT167" s="214"/>
      <c r="DU167" s="214"/>
      <c r="DV167" s="214"/>
      <c r="DW167" s="214"/>
      <c r="DX167" s="214"/>
      <c r="DY167" s="214"/>
      <c r="DZ167" s="214"/>
      <c r="EA167" s="214"/>
      <c r="EB167" s="214"/>
      <c r="EC167" s="214"/>
      <c r="ED167" s="214"/>
      <c r="EE167" s="214"/>
      <c r="EF167" s="214"/>
      <c r="EG167" s="214"/>
      <c r="EH167" s="214"/>
      <c r="EI167" s="214"/>
      <c r="EJ167" s="214"/>
      <c r="EK167" s="214"/>
      <c r="EL167" s="214"/>
      <c r="EM167" s="214"/>
      <c r="EN167" s="214"/>
      <c r="EO167" s="214"/>
      <c r="EP167" s="214"/>
      <c r="EQ167" s="214"/>
      <c r="ER167" s="214"/>
      <c r="ES167" s="214"/>
      <c r="ET167" s="214"/>
      <c r="EU167" s="214"/>
      <c r="EV167" s="214"/>
      <c r="EW167" s="214"/>
      <c r="EX167" s="214"/>
      <c r="EY167" s="214"/>
      <c r="EZ167" s="214"/>
      <c r="FA167" s="214"/>
      <c r="FB167" s="214"/>
      <c r="FC167" s="214"/>
      <c r="FD167" s="214"/>
      <c r="FE167" s="214"/>
      <c r="FF167" s="214"/>
      <c r="FG167" s="214"/>
      <c r="FH167" s="214"/>
      <c r="FI167" s="214"/>
      <c r="FJ167" s="214"/>
      <c r="FK167" s="214"/>
      <c r="FL167" s="214"/>
      <c r="FM167" s="214"/>
      <c r="FN167" s="214"/>
    </row>
    <row r="168" spans="1:170" s="214" customFormat="1" ht="63">
      <c r="A168" s="221" t="s">
        <v>1406</v>
      </c>
      <c r="B168" s="220">
        <f t="shared" si="40"/>
        <v>1200</v>
      </c>
      <c r="C168" s="220">
        <v>0</v>
      </c>
      <c r="D168" s="220"/>
      <c r="E168" s="220">
        <v>0</v>
      </c>
      <c r="F168" s="220">
        <v>1200</v>
      </c>
      <c r="G168" s="220"/>
      <c r="H168" s="220"/>
      <c r="I168" s="220"/>
      <c r="J168" s="220"/>
    </row>
    <row r="169" spans="1:170" s="214" customFormat="1" ht="78.75">
      <c r="A169" s="225" t="s">
        <v>1268</v>
      </c>
      <c r="B169" s="220">
        <f t="shared" si="40"/>
        <v>1200000</v>
      </c>
      <c r="C169" s="220"/>
      <c r="D169" s="220"/>
      <c r="E169" s="220">
        <v>0</v>
      </c>
      <c r="F169" s="220">
        <v>1200000</v>
      </c>
      <c r="G169" s="220"/>
      <c r="H169" s="220"/>
      <c r="I169" s="220"/>
      <c r="J169" s="220"/>
    </row>
    <row r="170" spans="1:170" s="214" customFormat="1">
      <c r="A170" s="212" t="s">
        <v>574</v>
      </c>
      <c r="B170" s="213">
        <f t="shared" si="40"/>
        <v>468000</v>
      </c>
      <c r="C170" s="213">
        <f t="shared" ref="C170:J170" si="46">SUM(C171:C173)</f>
        <v>0</v>
      </c>
      <c r="D170" s="213">
        <f t="shared" si="46"/>
        <v>0</v>
      </c>
      <c r="E170" s="213">
        <f t="shared" si="46"/>
        <v>468000</v>
      </c>
      <c r="F170" s="213">
        <f t="shared" si="46"/>
        <v>0</v>
      </c>
      <c r="G170" s="213">
        <f t="shared" si="46"/>
        <v>0</v>
      </c>
      <c r="H170" s="213">
        <f t="shared" si="46"/>
        <v>0</v>
      </c>
      <c r="I170" s="213">
        <f t="shared" si="46"/>
        <v>0</v>
      </c>
      <c r="J170" s="213">
        <f t="shared" si="46"/>
        <v>0</v>
      </c>
    </row>
    <row r="171" spans="1:170" s="214" customFormat="1">
      <c r="A171" s="225" t="s">
        <v>1407</v>
      </c>
      <c r="B171" s="220">
        <f t="shared" si="40"/>
        <v>186000</v>
      </c>
      <c r="C171" s="220"/>
      <c r="D171" s="220"/>
      <c r="E171" s="220">
        <v>186000</v>
      </c>
      <c r="F171" s="220"/>
      <c r="G171" s="220"/>
      <c r="H171" s="220"/>
      <c r="I171" s="220"/>
      <c r="J171" s="220"/>
    </row>
    <row r="172" spans="1:170" s="214" customFormat="1" ht="31.5">
      <c r="A172" s="225" t="s">
        <v>1408</v>
      </c>
      <c r="B172" s="220">
        <f t="shared" si="40"/>
        <v>222000</v>
      </c>
      <c r="C172" s="220"/>
      <c r="D172" s="220"/>
      <c r="E172" s="220">
        <v>222000</v>
      </c>
      <c r="F172" s="220"/>
      <c r="G172" s="220"/>
      <c r="H172" s="220"/>
      <c r="I172" s="220"/>
      <c r="J172" s="220"/>
    </row>
    <row r="173" spans="1:170" s="214" customFormat="1">
      <c r="A173" s="225" t="s">
        <v>1409</v>
      </c>
      <c r="B173" s="220">
        <f t="shared" si="40"/>
        <v>60000</v>
      </c>
      <c r="C173" s="220"/>
      <c r="D173" s="220"/>
      <c r="E173" s="220">
        <v>60000</v>
      </c>
      <c r="F173" s="220"/>
      <c r="G173" s="220"/>
      <c r="H173" s="220"/>
      <c r="I173" s="220"/>
      <c r="J173" s="220"/>
    </row>
    <row r="174" spans="1:170" s="214" customFormat="1">
      <c r="A174" s="212" t="s">
        <v>575</v>
      </c>
      <c r="B174" s="213">
        <f t="shared" si="40"/>
        <v>8719</v>
      </c>
      <c r="C174" s="213">
        <f t="shared" ref="C174:J174" si="47">SUM(C175:C175)</f>
        <v>0</v>
      </c>
      <c r="D174" s="213">
        <f t="shared" si="47"/>
        <v>0</v>
      </c>
      <c r="E174" s="213">
        <f t="shared" si="47"/>
        <v>8719</v>
      </c>
      <c r="F174" s="213">
        <f t="shared" si="47"/>
        <v>0</v>
      </c>
      <c r="G174" s="213">
        <f t="shared" si="47"/>
        <v>0</v>
      </c>
      <c r="H174" s="213">
        <f t="shared" si="47"/>
        <v>0</v>
      </c>
      <c r="I174" s="213">
        <f t="shared" si="47"/>
        <v>0</v>
      </c>
      <c r="J174" s="213">
        <f t="shared" si="47"/>
        <v>0</v>
      </c>
    </row>
    <row r="175" spans="1:170" s="214" customFormat="1" ht="31.5">
      <c r="A175" s="225" t="s">
        <v>1410</v>
      </c>
      <c r="B175" s="220">
        <f t="shared" si="40"/>
        <v>8719</v>
      </c>
      <c r="C175" s="220"/>
      <c r="D175" s="220"/>
      <c r="E175" s="220">
        <v>8719</v>
      </c>
      <c r="F175" s="220"/>
      <c r="G175" s="220"/>
      <c r="H175" s="220"/>
      <c r="I175" s="220"/>
      <c r="J175" s="220"/>
    </row>
    <row r="176" spans="1:170" s="214" customFormat="1">
      <c r="A176" s="212" t="s">
        <v>577</v>
      </c>
      <c r="B176" s="213">
        <f t="shared" si="40"/>
        <v>11921874</v>
      </c>
      <c r="C176" s="213">
        <f t="shared" ref="C176:J176" si="48">SUM(C177:C188)</f>
        <v>152495</v>
      </c>
      <c r="D176" s="213">
        <f t="shared" si="48"/>
        <v>4053</v>
      </c>
      <c r="E176" s="213">
        <f t="shared" si="48"/>
        <v>101260</v>
      </c>
      <c r="F176" s="213">
        <f t="shared" si="48"/>
        <v>6216374</v>
      </c>
      <c r="G176" s="213">
        <f t="shared" si="48"/>
        <v>0</v>
      </c>
      <c r="H176" s="213">
        <f t="shared" si="48"/>
        <v>4847692</v>
      </c>
      <c r="I176" s="213">
        <f t="shared" si="48"/>
        <v>0</v>
      </c>
      <c r="J176" s="213">
        <f t="shared" si="48"/>
        <v>600000</v>
      </c>
    </row>
    <row r="177" spans="1:170" s="214" customFormat="1">
      <c r="A177" s="219" t="s">
        <v>757</v>
      </c>
      <c r="B177" s="220">
        <f t="shared" si="40"/>
        <v>4053</v>
      </c>
      <c r="C177" s="220"/>
      <c r="D177" s="220">
        <v>4053</v>
      </c>
      <c r="E177" s="220">
        <v>0</v>
      </c>
      <c r="F177" s="220"/>
      <c r="G177" s="220"/>
      <c r="H177" s="220"/>
      <c r="I177" s="220">
        <v>0</v>
      </c>
      <c r="J177" s="220"/>
    </row>
    <row r="178" spans="1:170" s="214" customFormat="1" ht="94.5">
      <c r="A178" s="219" t="s">
        <v>1411</v>
      </c>
      <c r="B178" s="220">
        <f t="shared" si="40"/>
        <v>1850000</v>
      </c>
      <c r="C178" s="220"/>
      <c r="D178" s="220"/>
      <c r="E178" s="220">
        <v>0</v>
      </c>
      <c r="F178" s="220"/>
      <c r="G178" s="220"/>
      <c r="H178" s="220">
        <f>1290000</f>
        <v>1290000</v>
      </c>
      <c r="I178" s="220">
        <f>1290000-1290000</f>
        <v>0</v>
      </c>
      <c r="J178" s="220">
        <v>560000</v>
      </c>
    </row>
    <row r="179" spans="1:170" s="214" customFormat="1" ht="110.25">
      <c r="A179" s="216" t="s">
        <v>1208</v>
      </c>
      <c r="B179" s="220">
        <f t="shared" si="40"/>
        <v>33634</v>
      </c>
      <c r="C179" s="220"/>
      <c r="D179" s="220"/>
      <c r="E179" s="220">
        <v>0</v>
      </c>
      <c r="F179" s="220"/>
      <c r="G179" s="220"/>
      <c r="H179" s="220">
        <v>33634</v>
      </c>
      <c r="I179" s="220">
        <v>0</v>
      </c>
      <c r="J179" s="220"/>
    </row>
    <row r="180" spans="1:170" s="214" customFormat="1" ht="47.25">
      <c r="A180" s="216" t="s">
        <v>758</v>
      </c>
      <c r="B180" s="220">
        <f t="shared" si="40"/>
        <v>18646</v>
      </c>
      <c r="C180" s="220">
        <f>15000-15000</f>
        <v>0</v>
      </c>
      <c r="D180" s="220"/>
      <c r="E180" s="220">
        <v>0</v>
      </c>
      <c r="F180" s="220"/>
      <c r="G180" s="220"/>
      <c r="H180" s="220">
        <f>3646+15000</f>
        <v>18646</v>
      </c>
      <c r="I180" s="220">
        <v>0</v>
      </c>
      <c r="J180" s="220"/>
    </row>
    <row r="181" spans="1:170" s="214" customFormat="1" ht="110.25">
      <c r="A181" s="216" t="s">
        <v>1269</v>
      </c>
      <c r="B181" s="220">
        <f t="shared" si="40"/>
        <v>3412885</v>
      </c>
      <c r="C181" s="220"/>
      <c r="D181" s="220"/>
      <c r="E181" s="220">
        <v>0</v>
      </c>
      <c r="F181" s="220"/>
      <c r="G181" s="220"/>
      <c r="H181" s="220">
        <v>3412885</v>
      </c>
      <c r="I181" s="220">
        <v>0</v>
      </c>
      <c r="J181" s="220"/>
    </row>
    <row r="182" spans="1:170" s="214" customFormat="1" ht="110.25">
      <c r="A182" s="216" t="s">
        <v>1209</v>
      </c>
      <c r="B182" s="220">
        <f t="shared" si="40"/>
        <v>100017</v>
      </c>
      <c r="C182" s="220"/>
      <c r="D182" s="220"/>
      <c r="E182" s="220">
        <v>60017</v>
      </c>
      <c r="F182" s="220"/>
      <c r="G182" s="220"/>
      <c r="H182" s="220">
        <v>0</v>
      </c>
      <c r="I182" s="220">
        <v>0</v>
      </c>
      <c r="J182" s="220">
        <v>40000</v>
      </c>
    </row>
    <row r="183" spans="1:170" s="214" customFormat="1" ht="31.5">
      <c r="A183" s="216" t="s">
        <v>1270</v>
      </c>
      <c r="B183" s="220">
        <f t="shared" si="40"/>
        <v>6839</v>
      </c>
      <c r="C183" s="220"/>
      <c r="D183" s="220">
        <v>0</v>
      </c>
      <c r="E183" s="220">
        <v>6839</v>
      </c>
      <c r="F183" s="220"/>
      <c r="G183" s="220"/>
      <c r="H183" s="220">
        <v>0</v>
      </c>
      <c r="I183" s="220">
        <v>0</v>
      </c>
      <c r="J183" s="220"/>
    </row>
    <row r="184" spans="1:170" s="214" customFormat="1" ht="31.5">
      <c r="A184" s="216" t="s">
        <v>1149</v>
      </c>
      <c r="B184" s="220">
        <f t="shared" si="40"/>
        <v>142441</v>
      </c>
      <c r="C184" s="220">
        <v>49914</v>
      </c>
      <c r="D184" s="220"/>
      <c r="E184" s="220">
        <v>0</v>
      </c>
      <c r="F184" s="220"/>
      <c r="G184" s="220"/>
      <c r="H184" s="220">
        <f>72177+20350</f>
        <v>92527</v>
      </c>
      <c r="I184" s="220">
        <v>0</v>
      </c>
      <c r="J184" s="220"/>
    </row>
    <row r="185" spans="1:170" s="214" customFormat="1" ht="94.5">
      <c r="A185" s="216" t="s">
        <v>1271</v>
      </c>
      <c r="B185" s="220">
        <f t="shared" si="40"/>
        <v>6216374</v>
      </c>
      <c r="C185" s="220"/>
      <c r="D185" s="220">
        <v>0</v>
      </c>
      <c r="E185" s="220">
        <v>0</v>
      </c>
      <c r="F185" s="220">
        <v>6216374</v>
      </c>
      <c r="G185" s="220"/>
      <c r="H185" s="220">
        <v>0</v>
      </c>
      <c r="I185" s="220">
        <v>0</v>
      </c>
      <c r="J185" s="220"/>
    </row>
    <row r="186" spans="1:170" s="214" customFormat="1" ht="31.5">
      <c r="A186" s="219" t="s">
        <v>1272</v>
      </c>
      <c r="B186" s="220">
        <f t="shared" si="40"/>
        <v>55085</v>
      </c>
      <c r="C186" s="220">
        <v>55085</v>
      </c>
      <c r="D186" s="220"/>
      <c r="E186" s="220"/>
      <c r="F186" s="220"/>
      <c r="G186" s="220"/>
      <c r="H186" s="220">
        <v>0</v>
      </c>
      <c r="I186" s="220">
        <v>0</v>
      </c>
      <c r="J186" s="220">
        <f>37665-37665</f>
        <v>0</v>
      </c>
    </row>
    <row r="187" spans="1:170" s="214" customFormat="1" ht="31.5">
      <c r="A187" s="219" t="s">
        <v>1150</v>
      </c>
      <c r="B187" s="220">
        <f t="shared" si="40"/>
        <v>63574</v>
      </c>
      <c r="C187" s="220">
        <f>63574-16078</f>
        <v>47496</v>
      </c>
      <c r="D187" s="220"/>
      <c r="E187" s="220">
        <v>16078</v>
      </c>
      <c r="F187" s="220"/>
      <c r="G187" s="220"/>
      <c r="H187" s="220">
        <v>0</v>
      </c>
      <c r="I187" s="220">
        <v>0</v>
      </c>
      <c r="J187" s="220"/>
    </row>
    <row r="188" spans="1:170" s="214" customFormat="1" ht="31.5">
      <c r="A188" s="219" t="s">
        <v>1412</v>
      </c>
      <c r="B188" s="220">
        <f t="shared" si="40"/>
        <v>18326</v>
      </c>
      <c r="C188" s="220">
        <v>0</v>
      </c>
      <c r="D188" s="220"/>
      <c r="E188" s="220">
        <v>18326</v>
      </c>
      <c r="F188" s="220"/>
      <c r="G188" s="220"/>
      <c r="H188" s="220">
        <v>0</v>
      </c>
      <c r="I188" s="220">
        <v>0</v>
      </c>
      <c r="J188" s="220"/>
    </row>
    <row r="189" spans="1:170" s="214" customFormat="1" ht="31.5">
      <c r="A189" s="212" t="s">
        <v>566</v>
      </c>
      <c r="B189" s="213">
        <f t="shared" si="40"/>
        <v>1027403</v>
      </c>
      <c r="C189" s="213">
        <f t="shared" ref="C189:J189" si="49">SUM(C194,C202,C199,C190,C205)</f>
        <v>0</v>
      </c>
      <c r="D189" s="213">
        <f t="shared" si="49"/>
        <v>0</v>
      </c>
      <c r="E189" s="213">
        <f t="shared" si="49"/>
        <v>83163</v>
      </c>
      <c r="F189" s="213">
        <f t="shared" si="49"/>
        <v>560880</v>
      </c>
      <c r="G189" s="213">
        <f t="shared" si="49"/>
        <v>27560</v>
      </c>
      <c r="H189" s="213">
        <f t="shared" si="49"/>
        <v>177000</v>
      </c>
      <c r="I189" s="213">
        <f t="shared" si="49"/>
        <v>0</v>
      </c>
      <c r="J189" s="213">
        <f t="shared" si="49"/>
        <v>178800</v>
      </c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  <c r="X189" s="111"/>
      <c r="Y189" s="111"/>
      <c r="Z189" s="111"/>
      <c r="AA189" s="111"/>
      <c r="AB189" s="111"/>
      <c r="AC189" s="111"/>
      <c r="AD189" s="111"/>
      <c r="AE189" s="111"/>
      <c r="AF189" s="111"/>
      <c r="AG189" s="111"/>
      <c r="AH189" s="111"/>
      <c r="AI189" s="111"/>
      <c r="AJ189" s="111"/>
      <c r="AK189" s="111"/>
      <c r="AL189" s="111"/>
      <c r="AM189" s="111"/>
      <c r="AN189" s="111"/>
      <c r="AO189" s="111"/>
      <c r="AP189" s="111"/>
      <c r="AQ189" s="111"/>
      <c r="AR189" s="111"/>
      <c r="AS189" s="111"/>
      <c r="AT189" s="111"/>
      <c r="AU189" s="111"/>
      <c r="AV189" s="111"/>
      <c r="AW189" s="111"/>
      <c r="AX189" s="111"/>
      <c r="AY189" s="111"/>
      <c r="AZ189" s="111"/>
      <c r="BA189" s="111"/>
      <c r="BB189" s="111"/>
      <c r="BC189" s="111"/>
      <c r="BD189" s="111"/>
      <c r="BE189" s="111"/>
      <c r="BF189" s="111"/>
      <c r="BG189" s="111"/>
      <c r="BH189" s="111"/>
      <c r="BI189" s="111"/>
      <c r="BJ189" s="111"/>
      <c r="BK189" s="111"/>
      <c r="BL189" s="111"/>
      <c r="BM189" s="111"/>
      <c r="BN189" s="111"/>
      <c r="BO189" s="111"/>
      <c r="BP189" s="111"/>
      <c r="BQ189" s="111"/>
      <c r="BR189" s="111"/>
      <c r="BS189" s="111"/>
      <c r="BT189" s="111"/>
      <c r="BU189" s="111"/>
      <c r="BV189" s="111"/>
      <c r="BW189" s="111"/>
      <c r="BX189" s="111"/>
      <c r="BY189" s="111"/>
      <c r="BZ189" s="111"/>
      <c r="CA189" s="111"/>
      <c r="CB189" s="111"/>
      <c r="CC189" s="111"/>
      <c r="CD189" s="111"/>
      <c r="CE189" s="111"/>
      <c r="CF189" s="111"/>
      <c r="CG189" s="111"/>
      <c r="CH189" s="111"/>
      <c r="CI189" s="111"/>
      <c r="CJ189" s="111"/>
      <c r="CK189" s="111"/>
      <c r="CL189" s="111"/>
      <c r="CM189" s="111"/>
      <c r="CN189" s="111"/>
      <c r="CO189" s="111"/>
      <c r="CP189" s="111"/>
      <c r="CQ189" s="111"/>
      <c r="CR189" s="111"/>
      <c r="CS189" s="111"/>
      <c r="CT189" s="111"/>
      <c r="CU189" s="111"/>
      <c r="CV189" s="111"/>
      <c r="CW189" s="111"/>
      <c r="CX189" s="111"/>
      <c r="CY189" s="111"/>
      <c r="CZ189" s="111"/>
      <c r="DA189" s="111"/>
      <c r="DB189" s="111"/>
      <c r="DC189" s="111"/>
      <c r="DD189" s="111"/>
      <c r="DE189" s="111"/>
      <c r="DF189" s="111"/>
      <c r="DG189" s="111"/>
      <c r="DH189" s="111"/>
      <c r="DI189" s="111"/>
      <c r="DJ189" s="111"/>
      <c r="DK189" s="111"/>
      <c r="DL189" s="111"/>
      <c r="DM189" s="111"/>
      <c r="DN189" s="111"/>
      <c r="DO189" s="111"/>
      <c r="DP189" s="111"/>
      <c r="DQ189" s="111"/>
      <c r="DR189" s="111"/>
      <c r="DS189" s="111"/>
      <c r="DT189" s="111"/>
      <c r="DU189" s="111"/>
      <c r="DV189" s="111"/>
      <c r="DW189" s="111"/>
      <c r="DX189" s="111"/>
      <c r="DY189" s="111"/>
      <c r="DZ189" s="111"/>
      <c r="EA189" s="111"/>
      <c r="EB189" s="111"/>
      <c r="EC189" s="111"/>
      <c r="ED189" s="111"/>
      <c r="EE189" s="111"/>
      <c r="EF189" s="111"/>
      <c r="EG189" s="111"/>
      <c r="EH189" s="111"/>
      <c r="EI189" s="111"/>
      <c r="EJ189" s="111"/>
      <c r="EK189" s="111"/>
      <c r="EL189" s="111"/>
      <c r="EM189" s="111"/>
      <c r="EN189" s="111"/>
      <c r="EO189" s="111"/>
      <c r="EP189" s="111"/>
      <c r="EQ189" s="111"/>
      <c r="ER189" s="111"/>
      <c r="ES189" s="111"/>
      <c r="ET189" s="111"/>
      <c r="EU189" s="111"/>
      <c r="EV189" s="111"/>
      <c r="EW189" s="111"/>
      <c r="EX189" s="111"/>
      <c r="EY189" s="111"/>
      <c r="EZ189" s="111"/>
      <c r="FA189" s="111"/>
      <c r="FB189" s="111"/>
      <c r="FC189" s="111"/>
      <c r="FD189" s="111"/>
      <c r="FE189" s="111"/>
      <c r="FF189" s="111"/>
      <c r="FG189" s="111"/>
      <c r="FH189" s="111"/>
      <c r="FI189" s="111"/>
      <c r="FJ189" s="111"/>
      <c r="FK189" s="111"/>
      <c r="FL189" s="111"/>
      <c r="FM189" s="111"/>
      <c r="FN189" s="111"/>
    </row>
    <row r="190" spans="1:170" s="214" customFormat="1">
      <c r="A190" s="212" t="s">
        <v>570</v>
      </c>
      <c r="B190" s="213">
        <f t="shared" si="40"/>
        <v>30903</v>
      </c>
      <c r="C190" s="213">
        <f t="shared" ref="C190:J190" si="50">SUM(C191:C193)</f>
        <v>0</v>
      </c>
      <c r="D190" s="213">
        <f t="shared" si="50"/>
        <v>0</v>
      </c>
      <c r="E190" s="213">
        <f t="shared" si="50"/>
        <v>0</v>
      </c>
      <c r="F190" s="213">
        <f t="shared" si="50"/>
        <v>5343</v>
      </c>
      <c r="G190" s="213">
        <f t="shared" si="50"/>
        <v>25560</v>
      </c>
      <c r="H190" s="213">
        <f t="shared" si="50"/>
        <v>0</v>
      </c>
      <c r="I190" s="213">
        <f t="shared" si="50"/>
        <v>0</v>
      </c>
      <c r="J190" s="213">
        <f t="shared" si="50"/>
        <v>0</v>
      </c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  <c r="AA190" s="111"/>
      <c r="AB190" s="111"/>
      <c r="AC190" s="111"/>
      <c r="AD190" s="111"/>
      <c r="AE190" s="111"/>
      <c r="AF190" s="111"/>
      <c r="AG190" s="111"/>
      <c r="AH190" s="111"/>
      <c r="AI190" s="111"/>
      <c r="AJ190" s="111"/>
      <c r="AK190" s="111"/>
      <c r="AL190" s="111"/>
      <c r="AM190" s="111"/>
      <c r="AN190" s="111"/>
      <c r="AO190" s="111"/>
      <c r="AP190" s="111"/>
      <c r="AQ190" s="111"/>
      <c r="AR190" s="111"/>
      <c r="AS190" s="111"/>
      <c r="AT190" s="111"/>
      <c r="AU190" s="111"/>
      <c r="AV190" s="111"/>
      <c r="AW190" s="111"/>
      <c r="AX190" s="111"/>
      <c r="AY190" s="111"/>
      <c r="AZ190" s="111"/>
      <c r="BA190" s="111"/>
      <c r="BB190" s="111"/>
      <c r="BC190" s="111"/>
      <c r="BD190" s="111"/>
      <c r="BE190" s="111"/>
      <c r="BF190" s="111"/>
      <c r="BG190" s="111"/>
      <c r="BH190" s="111"/>
      <c r="BI190" s="111"/>
      <c r="BJ190" s="111"/>
      <c r="BK190" s="111"/>
      <c r="BL190" s="111"/>
      <c r="BM190" s="111"/>
      <c r="BN190" s="111"/>
      <c r="BO190" s="111"/>
      <c r="BP190" s="111"/>
      <c r="BQ190" s="111"/>
      <c r="BR190" s="111"/>
      <c r="BS190" s="111"/>
      <c r="BT190" s="111"/>
      <c r="BU190" s="111"/>
      <c r="BV190" s="111"/>
      <c r="BW190" s="111"/>
      <c r="BX190" s="111"/>
      <c r="BY190" s="111"/>
      <c r="BZ190" s="111"/>
      <c r="CA190" s="111"/>
      <c r="CB190" s="111"/>
      <c r="CC190" s="111"/>
      <c r="CD190" s="111"/>
      <c r="CE190" s="111"/>
      <c r="CF190" s="111"/>
      <c r="CG190" s="111"/>
      <c r="CH190" s="111"/>
      <c r="CI190" s="111"/>
      <c r="CJ190" s="111"/>
      <c r="CK190" s="111"/>
      <c r="CL190" s="111"/>
      <c r="CM190" s="111"/>
      <c r="CN190" s="111"/>
      <c r="CO190" s="111"/>
      <c r="CP190" s="111"/>
      <c r="CQ190" s="111"/>
      <c r="CR190" s="111"/>
      <c r="CS190" s="111"/>
      <c r="CT190" s="111"/>
      <c r="CU190" s="111"/>
      <c r="CV190" s="111"/>
      <c r="CW190" s="111"/>
      <c r="CX190" s="111"/>
      <c r="CY190" s="111"/>
      <c r="CZ190" s="111"/>
      <c r="DA190" s="111"/>
      <c r="DB190" s="111"/>
      <c r="DC190" s="111"/>
      <c r="DD190" s="111"/>
      <c r="DE190" s="111"/>
      <c r="DF190" s="111"/>
      <c r="DG190" s="111"/>
      <c r="DH190" s="111"/>
      <c r="DI190" s="111"/>
      <c r="DJ190" s="111"/>
      <c r="DK190" s="111"/>
      <c r="DL190" s="111"/>
      <c r="DM190" s="111"/>
      <c r="DN190" s="111"/>
      <c r="DO190" s="111"/>
      <c r="DP190" s="111"/>
      <c r="DQ190" s="111"/>
      <c r="DR190" s="111"/>
      <c r="DS190" s="111"/>
      <c r="DT190" s="111"/>
      <c r="DU190" s="111"/>
      <c r="DV190" s="111"/>
      <c r="DW190" s="111"/>
      <c r="DX190" s="111"/>
      <c r="DY190" s="111"/>
      <c r="DZ190" s="111"/>
      <c r="EA190" s="111"/>
      <c r="EB190" s="111"/>
      <c r="EC190" s="111"/>
      <c r="ED190" s="111"/>
      <c r="EE190" s="111"/>
      <c r="EF190" s="111"/>
      <c r="EG190" s="111"/>
      <c r="EH190" s="111"/>
      <c r="EI190" s="111"/>
      <c r="EJ190" s="111"/>
      <c r="EK190" s="111"/>
      <c r="EL190" s="111"/>
      <c r="EM190" s="111"/>
      <c r="EN190" s="111"/>
      <c r="EO190" s="111"/>
      <c r="EP190" s="111"/>
      <c r="EQ190" s="111"/>
      <c r="ER190" s="111"/>
      <c r="ES190" s="111"/>
      <c r="ET190" s="111"/>
      <c r="EU190" s="111"/>
      <c r="EV190" s="111"/>
      <c r="EW190" s="111"/>
      <c r="EX190" s="111"/>
      <c r="EY190" s="111"/>
      <c r="EZ190" s="111"/>
      <c r="FA190" s="111"/>
      <c r="FB190" s="111"/>
      <c r="FC190" s="111"/>
      <c r="FD190" s="111"/>
      <c r="FE190" s="111"/>
      <c r="FF190" s="111"/>
      <c r="FG190" s="111"/>
      <c r="FH190" s="111"/>
      <c r="FI190" s="111"/>
      <c r="FJ190" s="111"/>
      <c r="FK190" s="111"/>
      <c r="FL190" s="111"/>
      <c r="FM190" s="111"/>
      <c r="FN190" s="111"/>
    </row>
    <row r="191" spans="1:170" s="214" customFormat="1" ht="63">
      <c r="A191" s="216" t="s">
        <v>1413</v>
      </c>
      <c r="B191" s="220">
        <f t="shared" si="40"/>
        <v>5343</v>
      </c>
      <c r="C191" s="220"/>
      <c r="D191" s="220"/>
      <c r="E191" s="220"/>
      <c r="F191" s="220">
        <v>5343</v>
      </c>
      <c r="G191" s="220"/>
      <c r="H191" s="220"/>
      <c r="I191" s="220"/>
      <c r="J191" s="220"/>
    </row>
    <row r="192" spans="1:170" s="214" customFormat="1" ht="31.5">
      <c r="A192" s="216" t="s">
        <v>1414</v>
      </c>
      <c r="B192" s="220">
        <f t="shared" si="40"/>
        <v>15060</v>
      </c>
      <c r="C192" s="220"/>
      <c r="D192" s="220"/>
      <c r="E192" s="220"/>
      <c r="F192" s="220"/>
      <c r="G192" s="220">
        <v>15060</v>
      </c>
      <c r="H192" s="220"/>
      <c r="I192" s="220"/>
      <c r="J192" s="220"/>
    </row>
    <row r="193" spans="1:170" s="214" customFormat="1" ht="31.5">
      <c r="A193" s="216" t="s">
        <v>760</v>
      </c>
      <c r="B193" s="220">
        <f t="shared" si="40"/>
        <v>10500</v>
      </c>
      <c r="C193" s="220"/>
      <c r="D193" s="220"/>
      <c r="E193" s="220"/>
      <c r="F193" s="220"/>
      <c r="G193" s="220">
        <v>10500</v>
      </c>
      <c r="H193" s="220"/>
      <c r="I193" s="220"/>
      <c r="J193" s="220"/>
    </row>
    <row r="194" spans="1:170" s="214" customFormat="1" ht="31.5">
      <c r="A194" s="212" t="s">
        <v>572</v>
      </c>
      <c r="B194" s="213">
        <f t="shared" si="40"/>
        <v>43392</v>
      </c>
      <c r="C194" s="213">
        <f t="shared" ref="C194:J194" si="51">SUM(C195:C198)</f>
        <v>0</v>
      </c>
      <c r="D194" s="213">
        <f t="shared" si="51"/>
        <v>0</v>
      </c>
      <c r="E194" s="213">
        <f t="shared" si="51"/>
        <v>39600</v>
      </c>
      <c r="F194" s="213">
        <f t="shared" si="51"/>
        <v>3792</v>
      </c>
      <c r="G194" s="213">
        <f t="shared" si="51"/>
        <v>0</v>
      </c>
      <c r="H194" s="213">
        <f t="shared" si="51"/>
        <v>0</v>
      </c>
      <c r="I194" s="213">
        <f t="shared" si="51"/>
        <v>0</v>
      </c>
      <c r="J194" s="213">
        <f t="shared" si="51"/>
        <v>0</v>
      </c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  <c r="Z194" s="111"/>
      <c r="AA194" s="111"/>
      <c r="AB194" s="111"/>
      <c r="AC194" s="111"/>
      <c r="AD194" s="111"/>
      <c r="AE194" s="111"/>
      <c r="AF194" s="111"/>
      <c r="AG194" s="111"/>
      <c r="AH194" s="111"/>
      <c r="AI194" s="111"/>
      <c r="AJ194" s="111"/>
      <c r="AK194" s="111"/>
      <c r="AL194" s="111"/>
      <c r="AM194" s="111"/>
      <c r="AN194" s="111"/>
      <c r="AO194" s="111"/>
      <c r="AP194" s="111"/>
      <c r="AQ194" s="111"/>
      <c r="AR194" s="111"/>
      <c r="AS194" s="111"/>
      <c r="AT194" s="111"/>
      <c r="AU194" s="111"/>
      <c r="AV194" s="111"/>
      <c r="AW194" s="111"/>
      <c r="AX194" s="111"/>
      <c r="AY194" s="111"/>
      <c r="AZ194" s="111"/>
      <c r="BA194" s="111"/>
      <c r="BB194" s="111"/>
      <c r="BC194" s="111"/>
      <c r="BD194" s="111"/>
      <c r="BE194" s="111"/>
      <c r="BF194" s="111"/>
      <c r="BG194" s="111"/>
      <c r="BH194" s="111"/>
      <c r="BI194" s="111"/>
      <c r="BJ194" s="111"/>
      <c r="BK194" s="111"/>
      <c r="BL194" s="111"/>
      <c r="BM194" s="111"/>
      <c r="BN194" s="111"/>
      <c r="BO194" s="111"/>
      <c r="BP194" s="111"/>
      <c r="BQ194" s="111"/>
      <c r="BR194" s="111"/>
      <c r="BS194" s="111"/>
      <c r="BT194" s="111"/>
      <c r="BU194" s="111"/>
      <c r="BV194" s="111"/>
      <c r="BW194" s="111"/>
      <c r="BX194" s="111"/>
      <c r="BY194" s="111"/>
      <c r="BZ194" s="111"/>
      <c r="CA194" s="111"/>
      <c r="CB194" s="111"/>
      <c r="CC194" s="111"/>
      <c r="CD194" s="111"/>
      <c r="CE194" s="111"/>
      <c r="CF194" s="111"/>
      <c r="CG194" s="111"/>
      <c r="CH194" s="111"/>
      <c r="CI194" s="111"/>
      <c r="CJ194" s="111"/>
      <c r="CK194" s="111"/>
      <c r="CL194" s="111"/>
      <c r="CM194" s="111"/>
      <c r="CN194" s="111"/>
      <c r="CO194" s="111"/>
      <c r="CP194" s="111"/>
      <c r="CQ194" s="111"/>
      <c r="CR194" s="111"/>
      <c r="CS194" s="111"/>
      <c r="CT194" s="111"/>
      <c r="CU194" s="111"/>
      <c r="CV194" s="111"/>
      <c r="CW194" s="111"/>
      <c r="CX194" s="111"/>
      <c r="CY194" s="111"/>
      <c r="CZ194" s="111"/>
      <c r="DA194" s="111"/>
      <c r="DB194" s="111"/>
      <c r="DC194" s="111"/>
      <c r="DD194" s="111"/>
      <c r="DE194" s="111"/>
      <c r="DF194" s="111"/>
      <c r="DG194" s="111"/>
      <c r="DH194" s="111"/>
      <c r="DI194" s="111"/>
      <c r="DJ194" s="111"/>
      <c r="DK194" s="111"/>
      <c r="DL194" s="111"/>
      <c r="DM194" s="111"/>
      <c r="DN194" s="111"/>
      <c r="DO194" s="111"/>
      <c r="DP194" s="111"/>
      <c r="DQ194" s="111"/>
      <c r="DR194" s="111"/>
      <c r="DS194" s="111"/>
      <c r="DT194" s="111"/>
      <c r="DU194" s="111"/>
      <c r="DV194" s="111"/>
      <c r="DW194" s="111"/>
      <c r="DX194" s="111"/>
      <c r="DY194" s="111"/>
      <c r="DZ194" s="111"/>
      <c r="EA194" s="111"/>
      <c r="EB194" s="111"/>
      <c r="EC194" s="111"/>
      <c r="ED194" s="111"/>
      <c r="EE194" s="111"/>
      <c r="EF194" s="111"/>
      <c r="EG194" s="111"/>
      <c r="EH194" s="111"/>
      <c r="EI194" s="111"/>
      <c r="EJ194" s="111"/>
      <c r="EK194" s="111"/>
      <c r="EL194" s="111"/>
      <c r="EM194" s="111"/>
      <c r="EN194" s="111"/>
      <c r="EO194" s="111"/>
      <c r="EP194" s="111"/>
      <c r="EQ194" s="111"/>
      <c r="ER194" s="111"/>
      <c r="ES194" s="111"/>
      <c r="ET194" s="111"/>
      <c r="EU194" s="111"/>
      <c r="EV194" s="111"/>
      <c r="EW194" s="111"/>
      <c r="EX194" s="111"/>
      <c r="EY194" s="111"/>
      <c r="EZ194" s="111"/>
      <c r="FA194" s="111"/>
      <c r="FB194" s="111"/>
      <c r="FC194" s="111"/>
      <c r="FD194" s="111"/>
      <c r="FE194" s="111"/>
      <c r="FF194" s="111"/>
      <c r="FG194" s="111"/>
      <c r="FH194" s="111"/>
      <c r="FI194" s="111"/>
      <c r="FJ194" s="111"/>
      <c r="FK194" s="111"/>
      <c r="FL194" s="111"/>
      <c r="FM194" s="111"/>
      <c r="FN194" s="111"/>
    </row>
    <row r="195" spans="1:170" s="214" customFormat="1" ht="63">
      <c r="A195" s="227" t="s">
        <v>1415</v>
      </c>
      <c r="B195" s="220">
        <f t="shared" si="40"/>
        <v>1440</v>
      </c>
      <c r="C195" s="220"/>
      <c r="D195" s="220"/>
      <c r="E195" s="220">
        <v>0</v>
      </c>
      <c r="F195" s="220">
        <v>1440</v>
      </c>
      <c r="G195" s="220"/>
      <c r="H195" s="220"/>
      <c r="I195" s="220"/>
      <c r="J195" s="220"/>
    </row>
    <row r="196" spans="1:170" s="214" customFormat="1" ht="78.75">
      <c r="A196" s="227" t="s">
        <v>1416</v>
      </c>
      <c r="B196" s="220">
        <f t="shared" si="40"/>
        <v>2352</v>
      </c>
      <c r="C196" s="220">
        <v>0</v>
      </c>
      <c r="D196" s="220">
        <v>0</v>
      </c>
      <c r="E196" s="220">
        <v>0</v>
      </c>
      <c r="F196" s="220">
        <v>2352</v>
      </c>
      <c r="G196" s="220"/>
      <c r="H196" s="220"/>
      <c r="I196" s="220"/>
      <c r="J196" s="220"/>
    </row>
    <row r="197" spans="1:170" s="214" customFormat="1" ht="31.5">
      <c r="A197" s="219" t="s">
        <v>1417</v>
      </c>
      <c r="B197" s="220">
        <f t="shared" si="40"/>
        <v>36600</v>
      </c>
      <c r="C197" s="220"/>
      <c r="D197" s="220"/>
      <c r="E197" s="220">
        <v>36600</v>
      </c>
      <c r="F197" s="220">
        <v>0</v>
      </c>
      <c r="G197" s="220"/>
      <c r="H197" s="220"/>
      <c r="I197" s="220"/>
      <c r="J197" s="220"/>
    </row>
    <row r="198" spans="1:170" s="214" customFormat="1">
      <c r="A198" s="219" t="s">
        <v>1151</v>
      </c>
      <c r="B198" s="220">
        <f t="shared" si="40"/>
        <v>3000</v>
      </c>
      <c r="C198" s="220"/>
      <c r="D198" s="220"/>
      <c r="E198" s="220">
        <v>3000</v>
      </c>
      <c r="F198" s="220">
        <v>0</v>
      </c>
      <c r="G198" s="220"/>
      <c r="H198" s="220"/>
      <c r="I198" s="220"/>
      <c r="J198" s="220"/>
    </row>
    <row r="199" spans="1:170" s="214" customFormat="1">
      <c r="A199" s="212" t="s">
        <v>575</v>
      </c>
      <c r="B199" s="213">
        <f t="shared" si="40"/>
        <v>553745</v>
      </c>
      <c r="C199" s="213">
        <f>SUM(C200:C201)</f>
        <v>0</v>
      </c>
      <c r="D199" s="213">
        <f t="shared" ref="D199:J199" si="52">SUM(D200:D201)</f>
        <v>0</v>
      </c>
      <c r="E199" s="213">
        <f t="shared" si="52"/>
        <v>0</v>
      </c>
      <c r="F199" s="213">
        <f t="shared" si="52"/>
        <v>551745</v>
      </c>
      <c r="G199" s="213">
        <f t="shared" si="52"/>
        <v>2000</v>
      </c>
      <c r="H199" s="213">
        <f t="shared" si="52"/>
        <v>0</v>
      </c>
      <c r="I199" s="213">
        <f t="shared" si="52"/>
        <v>0</v>
      </c>
      <c r="J199" s="213">
        <f t="shared" si="52"/>
        <v>0</v>
      </c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  <c r="AB199" s="111"/>
      <c r="AC199" s="111"/>
      <c r="AD199" s="111"/>
      <c r="AE199" s="111"/>
      <c r="AF199" s="111"/>
      <c r="AG199" s="111"/>
      <c r="AH199" s="111"/>
      <c r="AI199" s="111"/>
      <c r="AJ199" s="111"/>
      <c r="AK199" s="111"/>
      <c r="AL199" s="111"/>
      <c r="AM199" s="111"/>
      <c r="AN199" s="111"/>
      <c r="AO199" s="111"/>
      <c r="AP199" s="111"/>
      <c r="AQ199" s="111"/>
      <c r="AR199" s="111"/>
      <c r="AS199" s="111"/>
      <c r="AT199" s="111"/>
      <c r="AU199" s="111"/>
      <c r="AV199" s="111"/>
      <c r="AW199" s="111"/>
      <c r="AX199" s="111"/>
      <c r="AY199" s="111"/>
      <c r="AZ199" s="111"/>
      <c r="BA199" s="111"/>
      <c r="BB199" s="111"/>
      <c r="BC199" s="111"/>
      <c r="BD199" s="111"/>
      <c r="BE199" s="111"/>
      <c r="BF199" s="111"/>
      <c r="BG199" s="111"/>
      <c r="BH199" s="111"/>
      <c r="BI199" s="111"/>
      <c r="BJ199" s="111"/>
      <c r="BK199" s="111"/>
      <c r="BL199" s="111"/>
      <c r="BM199" s="111"/>
      <c r="BN199" s="111"/>
      <c r="BO199" s="111"/>
      <c r="BP199" s="111"/>
      <c r="BQ199" s="111"/>
      <c r="BR199" s="111"/>
      <c r="BS199" s="111"/>
      <c r="BT199" s="111"/>
      <c r="BU199" s="111"/>
      <c r="BV199" s="111"/>
      <c r="BW199" s="111"/>
      <c r="BX199" s="111"/>
      <c r="BY199" s="111"/>
      <c r="BZ199" s="111"/>
      <c r="CA199" s="111"/>
      <c r="CB199" s="111"/>
      <c r="CC199" s="111"/>
      <c r="CD199" s="111"/>
      <c r="CE199" s="111"/>
      <c r="CF199" s="111"/>
      <c r="CG199" s="111"/>
      <c r="CH199" s="111"/>
      <c r="CI199" s="111"/>
      <c r="CJ199" s="111"/>
      <c r="CK199" s="111"/>
      <c r="CL199" s="111"/>
      <c r="CM199" s="111"/>
      <c r="CN199" s="111"/>
      <c r="CO199" s="111"/>
      <c r="CP199" s="111"/>
      <c r="CQ199" s="111"/>
      <c r="CR199" s="111"/>
      <c r="CS199" s="111"/>
      <c r="CT199" s="111"/>
      <c r="CU199" s="111"/>
      <c r="CV199" s="111"/>
      <c r="CW199" s="111"/>
      <c r="CX199" s="111"/>
      <c r="CY199" s="111"/>
      <c r="CZ199" s="111"/>
      <c r="DA199" s="111"/>
      <c r="DB199" s="111"/>
      <c r="DC199" s="111"/>
      <c r="DD199" s="111"/>
      <c r="DE199" s="111"/>
      <c r="DF199" s="111"/>
      <c r="DG199" s="111"/>
      <c r="DH199" s="111"/>
      <c r="DI199" s="111"/>
      <c r="DJ199" s="111"/>
      <c r="DK199" s="111"/>
      <c r="DL199" s="111"/>
      <c r="DM199" s="111"/>
      <c r="DN199" s="111"/>
      <c r="DO199" s="111"/>
      <c r="DP199" s="111"/>
      <c r="DQ199" s="111"/>
      <c r="DR199" s="111"/>
      <c r="DS199" s="111"/>
      <c r="DT199" s="111"/>
      <c r="DU199" s="111"/>
      <c r="DV199" s="111"/>
      <c r="DW199" s="111"/>
      <c r="DX199" s="111"/>
      <c r="DY199" s="111"/>
      <c r="DZ199" s="111"/>
      <c r="EA199" s="111"/>
      <c r="EB199" s="111"/>
      <c r="EC199" s="111"/>
      <c r="ED199" s="111"/>
      <c r="EE199" s="111"/>
      <c r="EF199" s="111"/>
      <c r="EG199" s="111"/>
      <c r="EH199" s="111"/>
      <c r="EI199" s="111"/>
      <c r="EJ199" s="111"/>
      <c r="EK199" s="111"/>
      <c r="EL199" s="111"/>
      <c r="EM199" s="111"/>
      <c r="EN199" s="111"/>
      <c r="EO199" s="111"/>
      <c r="EP199" s="111"/>
      <c r="EQ199" s="111"/>
      <c r="ER199" s="111"/>
      <c r="ES199" s="111"/>
      <c r="ET199" s="111"/>
      <c r="EU199" s="111"/>
      <c r="EV199" s="111"/>
      <c r="EW199" s="111"/>
      <c r="EX199" s="111"/>
      <c r="EY199" s="111"/>
      <c r="EZ199" s="111"/>
      <c r="FA199" s="111"/>
      <c r="FB199" s="111"/>
      <c r="FC199" s="111"/>
      <c r="FD199" s="111"/>
      <c r="FE199" s="111"/>
      <c r="FF199" s="111"/>
      <c r="FG199" s="111"/>
      <c r="FH199" s="111"/>
      <c r="FI199" s="111"/>
      <c r="FJ199" s="111"/>
      <c r="FK199" s="111"/>
      <c r="FL199" s="111"/>
      <c r="FM199" s="111"/>
      <c r="FN199" s="111"/>
    </row>
    <row r="200" spans="1:170" s="214" customFormat="1" ht="78.75">
      <c r="A200" s="219" t="s">
        <v>1273</v>
      </c>
      <c r="B200" s="220">
        <f t="shared" si="40"/>
        <v>551745</v>
      </c>
      <c r="C200" s="220"/>
      <c r="D200" s="220"/>
      <c r="E200" s="220"/>
      <c r="F200" s="220">
        <v>551745</v>
      </c>
      <c r="G200" s="220"/>
      <c r="H200" s="220"/>
      <c r="I200" s="220"/>
      <c r="J200" s="220"/>
    </row>
    <row r="201" spans="1:170" s="214" customFormat="1" ht="31.5">
      <c r="A201" s="227" t="s">
        <v>1418</v>
      </c>
      <c r="B201" s="220">
        <f t="shared" ref="B201:B226" si="53">C201+D201+E201+F201+G201+H201+I201+J201</f>
        <v>2000</v>
      </c>
      <c r="C201" s="220"/>
      <c r="D201" s="220"/>
      <c r="E201" s="220"/>
      <c r="F201" s="220">
        <v>0</v>
      </c>
      <c r="G201" s="220">
        <v>2000</v>
      </c>
      <c r="H201" s="220"/>
      <c r="I201" s="220"/>
      <c r="J201" s="220"/>
    </row>
    <row r="202" spans="1:170" s="214" customFormat="1">
      <c r="A202" s="212" t="s">
        <v>577</v>
      </c>
      <c r="B202" s="213">
        <f t="shared" si="53"/>
        <v>369363</v>
      </c>
      <c r="C202" s="213">
        <f t="shared" ref="C202:J202" si="54">SUM(C203:C204)</f>
        <v>0</v>
      </c>
      <c r="D202" s="213">
        <f t="shared" si="54"/>
        <v>0</v>
      </c>
      <c r="E202" s="213">
        <f t="shared" si="54"/>
        <v>13563</v>
      </c>
      <c r="F202" s="213">
        <f t="shared" si="54"/>
        <v>0</v>
      </c>
      <c r="G202" s="213">
        <f t="shared" si="54"/>
        <v>0</v>
      </c>
      <c r="H202" s="213">
        <f t="shared" si="54"/>
        <v>177000</v>
      </c>
      <c r="I202" s="213">
        <f t="shared" si="54"/>
        <v>0</v>
      </c>
      <c r="J202" s="213">
        <f t="shared" si="54"/>
        <v>178800</v>
      </c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1"/>
      <c r="Y202" s="111"/>
      <c r="Z202" s="111"/>
      <c r="AA202" s="111"/>
      <c r="AB202" s="111"/>
      <c r="AC202" s="111"/>
      <c r="AD202" s="111"/>
      <c r="AE202" s="111"/>
      <c r="AF202" s="111"/>
      <c r="AG202" s="111"/>
      <c r="AH202" s="111"/>
      <c r="AI202" s="111"/>
      <c r="AJ202" s="111"/>
      <c r="AK202" s="111"/>
      <c r="AL202" s="111"/>
      <c r="AM202" s="111"/>
      <c r="AN202" s="111"/>
      <c r="AO202" s="111"/>
      <c r="AP202" s="111"/>
      <c r="AQ202" s="111"/>
      <c r="AR202" s="111"/>
      <c r="AS202" s="111"/>
      <c r="AT202" s="111"/>
      <c r="AU202" s="111"/>
      <c r="AV202" s="111"/>
      <c r="AW202" s="111"/>
      <c r="AX202" s="111"/>
      <c r="AY202" s="111"/>
      <c r="AZ202" s="111"/>
      <c r="BA202" s="111"/>
      <c r="BB202" s="111"/>
      <c r="BC202" s="111"/>
      <c r="BD202" s="111"/>
      <c r="BE202" s="111"/>
      <c r="BF202" s="111"/>
      <c r="BG202" s="111"/>
      <c r="BH202" s="111"/>
      <c r="BI202" s="111"/>
      <c r="BJ202" s="111"/>
      <c r="BK202" s="111"/>
      <c r="BL202" s="111"/>
      <c r="BM202" s="111"/>
      <c r="BN202" s="111"/>
      <c r="BO202" s="111"/>
      <c r="BP202" s="111"/>
      <c r="BQ202" s="111"/>
      <c r="BR202" s="111"/>
      <c r="BS202" s="111"/>
      <c r="BT202" s="111"/>
      <c r="BU202" s="111"/>
      <c r="BV202" s="111"/>
      <c r="BW202" s="111"/>
      <c r="BX202" s="111"/>
      <c r="BY202" s="111"/>
      <c r="BZ202" s="111"/>
      <c r="CA202" s="111"/>
      <c r="CB202" s="111"/>
      <c r="CC202" s="111"/>
      <c r="CD202" s="111"/>
      <c r="CE202" s="111"/>
      <c r="CF202" s="111"/>
      <c r="CG202" s="111"/>
      <c r="CH202" s="111"/>
      <c r="CI202" s="111"/>
      <c r="CJ202" s="111"/>
      <c r="CK202" s="111"/>
      <c r="CL202" s="111"/>
      <c r="CM202" s="111"/>
      <c r="CN202" s="111"/>
      <c r="CO202" s="111"/>
      <c r="CP202" s="111"/>
      <c r="CQ202" s="111"/>
      <c r="CR202" s="111"/>
      <c r="CS202" s="111"/>
      <c r="CT202" s="111"/>
      <c r="CU202" s="111"/>
      <c r="CV202" s="111"/>
      <c r="CW202" s="111"/>
      <c r="CX202" s="111"/>
      <c r="CY202" s="111"/>
      <c r="CZ202" s="111"/>
      <c r="DA202" s="111"/>
      <c r="DB202" s="111"/>
      <c r="DC202" s="111"/>
      <c r="DD202" s="111"/>
      <c r="DE202" s="111"/>
      <c r="DF202" s="111"/>
      <c r="DG202" s="111"/>
      <c r="DH202" s="111"/>
      <c r="DI202" s="111"/>
      <c r="DJ202" s="111"/>
      <c r="DK202" s="111"/>
      <c r="DL202" s="111"/>
      <c r="DM202" s="111"/>
      <c r="DN202" s="111"/>
      <c r="DO202" s="111"/>
      <c r="DP202" s="111"/>
      <c r="DQ202" s="111"/>
      <c r="DR202" s="111"/>
      <c r="DS202" s="111"/>
      <c r="DT202" s="111"/>
      <c r="DU202" s="111"/>
      <c r="DV202" s="111"/>
      <c r="DW202" s="111"/>
      <c r="DX202" s="111"/>
      <c r="DY202" s="111"/>
      <c r="DZ202" s="111"/>
      <c r="EA202" s="111"/>
      <c r="EB202" s="111"/>
      <c r="EC202" s="111"/>
      <c r="ED202" s="111"/>
      <c r="EE202" s="111"/>
      <c r="EF202" s="111"/>
      <c r="EG202" s="111"/>
      <c r="EH202" s="111"/>
      <c r="EI202" s="111"/>
      <c r="EJ202" s="111"/>
      <c r="EK202" s="111"/>
      <c r="EL202" s="111"/>
      <c r="EM202" s="111"/>
      <c r="EN202" s="111"/>
      <c r="EO202" s="111"/>
      <c r="EP202" s="111"/>
      <c r="EQ202" s="111"/>
      <c r="ER202" s="111"/>
      <c r="ES202" s="111"/>
      <c r="ET202" s="111"/>
      <c r="EU202" s="111"/>
      <c r="EV202" s="111"/>
      <c r="EW202" s="111"/>
      <c r="EX202" s="111"/>
      <c r="EY202" s="111"/>
      <c r="EZ202" s="111"/>
      <c r="FA202" s="111"/>
      <c r="FB202" s="111"/>
      <c r="FC202" s="111"/>
      <c r="FD202" s="111"/>
      <c r="FE202" s="111"/>
      <c r="FF202" s="111"/>
      <c r="FG202" s="111"/>
      <c r="FH202" s="111"/>
      <c r="FI202" s="111"/>
      <c r="FJ202" s="111"/>
      <c r="FK202" s="111"/>
      <c r="FL202" s="111"/>
      <c r="FM202" s="111"/>
      <c r="FN202" s="111"/>
    </row>
    <row r="203" spans="1:170" s="214" customFormat="1" ht="31.5">
      <c r="A203" s="216" t="s">
        <v>1419</v>
      </c>
      <c r="B203" s="220">
        <f t="shared" si="53"/>
        <v>13563</v>
      </c>
      <c r="C203" s="220"/>
      <c r="D203" s="220"/>
      <c r="E203" s="220">
        <v>13563</v>
      </c>
      <c r="F203" s="220"/>
      <c r="G203" s="220"/>
      <c r="H203" s="220"/>
      <c r="I203" s="220"/>
      <c r="J203" s="220"/>
      <c r="EU203" s="111"/>
      <c r="EV203" s="111"/>
      <c r="EW203" s="111"/>
      <c r="EX203" s="111"/>
      <c r="EY203" s="111"/>
      <c r="EZ203" s="111"/>
      <c r="FA203" s="111"/>
      <c r="FB203" s="111"/>
      <c r="FC203" s="111"/>
      <c r="FD203" s="111"/>
      <c r="FE203" s="111"/>
      <c r="FF203" s="111"/>
      <c r="FG203" s="111"/>
      <c r="FH203" s="111"/>
      <c r="FI203" s="111"/>
      <c r="FJ203" s="111"/>
      <c r="FK203" s="111"/>
      <c r="FL203" s="111"/>
      <c r="FM203" s="111"/>
      <c r="FN203" s="111"/>
    </row>
    <row r="204" spans="1:170" s="214" customFormat="1" ht="31.5">
      <c r="A204" s="219" t="s">
        <v>1420</v>
      </c>
      <c r="B204" s="220">
        <f t="shared" si="53"/>
        <v>355800</v>
      </c>
      <c r="C204" s="220">
        <f>177000-177000</f>
        <v>0</v>
      </c>
      <c r="D204" s="220"/>
      <c r="E204" s="220">
        <v>0</v>
      </c>
      <c r="F204" s="220"/>
      <c r="G204" s="220"/>
      <c r="H204" s="220">
        <f>177000</f>
        <v>177000</v>
      </c>
      <c r="I204" s="220"/>
      <c r="J204" s="220">
        <v>178800</v>
      </c>
      <c r="EU204" s="111"/>
      <c r="EV204" s="111"/>
      <c r="EW204" s="111"/>
      <c r="EX204" s="111"/>
      <c r="EY204" s="111"/>
      <c r="EZ204" s="111"/>
      <c r="FA204" s="111"/>
      <c r="FB204" s="111"/>
      <c r="FC204" s="111"/>
      <c r="FD204" s="111"/>
      <c r="FE204" s="111"/>
      <c r="FF204" s="111"/>
      <c r="FG204" s="111"/>
      <c r="FH204" s="111"/>
      <c r="FI204" s="111"/>
      <c r="FJ204" s="111"/>
      <c r="FK204" s="111"/>
      <c r="FL204" s="111"/>
      <c r="FM204" s="111"/>
      <c r="FN204" s="111"/>
    </row>
    <row r="205" spans="1:170" s="214" customFormat="1">
      <c r="A205" s="212" t="s">
        <v>578</v>
      </c>
      <c r="B205" s="213">
        <f t="shared" si="53"/>
        <v>30000</v>
      </c>
      <c r="C205" s="213">
        <f t="shared" ref="C205:J205" si="55">SUM(C206:C206)</f>
        <v>0</v>
      </c>
      <c r="D205" s="213">
        <f t="shared" si="55"/>
        <v>0</v>
      </c>
      <c r="E205" s="213">
        <f t="shared" si="55"/>
        <v>30000</v>
      </c>
      <c r="F205" s="213">
        <f t="shared" si="55"/>
        <v>0</v>
      </c>
      <c r="G205" s="213">
        <f t="shared" si="55"/>
        <v>0</v>
      </c>
      <c r="H205" s="213">
        <f t="shared" si="55"/>
        <v>0</v>
      </c>
      <c r="I205" s="213">
        <f t="shared" si="55"/>
        <v>0</v>
      </c>
      <c r="J205" s="213">
        <f t="shared" si="55"/>
        <v>0</v>
      </c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  <c r="X205" s="111"/>
      <c r="Y205" s="111"/>
      <c r="Z205" s="111"/>
      <c r="AA205" s="111"/>
      <c r="AB205" s="111"/>
      <c r="AC205" s="111"/>
      <c r="AD205" s="111"/>
      <c r="AE205" s="111"/>
      <c r="AF205" s="111"/>
      <c r="AG205" s="111"/>
      <c r="AH205" s="111"/>
      <c r="AI205" s="111"/>
      <c r="AJ205" s="111"/>
      <c r="AK205" s="111"/>
      <c r="AL205" s="111"/>
      <c r="AM205" s="111"/>
      <c r="AN205" s="111"/>
      <c r="AO205" s="111"/>
      <c r="AP205" s="111"/>
      <c r="AQ205" s="111"/>
      <c r="AR205" s="111"/>
      <c r="AS205" s="111"/>
      <c r="AT205" s="111"/>
      <c r="AU205" s="111"/>
      <c r="AV205" s="111"/>
      <c r="AW205" s="111"/>
      <c r="AX205" s="111"/>
      <c r="AY205" s="111"/>
      <c r="AZ205" s="111"/>
      <c r="BA205" s="111"/>
      <c r="BB205" s="111"/>
      <c r="BC205" s="111"/>
      <c r="BD205" s="111"/>
      <c r="BE205" s="111"/>
      <c r="BF205" s="111"/>
      <c r="BG205" s="111"/>
      <c r="BH205" s="111"/>
      <c r="BI205" s="111"/>
      <c r="BJ205" s="111"/>
      <c r="BK205" s="111"/>
      <c r="BL205" s="111"/>
      <c r="BM205" s="111"/>
      <c r="BN205" s="111"/>
      <c r="BO205" s="111"/>
      <c r="BP205" s="111"/>
      <c r="BQ205" s="111"/>
      <c r="BR205" s="111"/>
      <c r="BS205" s="111"/>
      <c r="BT205" s="111"/>
      <c r="BU205" s="111"/>
      <c r="BV205" s="111"/>
      <c r="BW205" s="111"/>
      <c r="BX205" s="111"/>
      <c r="BY205" s="111"/>
      <c r="BZ205" s="111"/>
      <c r="CA205" s="111"/>
      <c r="CB205" s="111"/>
      <c r="CC205" s="111"/>
      <c r="CD205" s="111"/>
      <c r="CE205" s="111"/>
      <c r="CF205" s="111"/>
      <c r="CG205" s="111"/>
      <c r="CH205" s="111"/>
      <c r="CI205" s="111"/>
      <c r="CJ205" s="111"/>
      <c r="CK205" s="111"/>
      <c r="CL205" s="111"/>
      <c r="CM205" s="111"/>
      <c r="CN205" s="111"/>
      <c r="CO205" s="111"/>
      <c r="CP205" s="111"/>
      <c r="CQ205" s="111"/>
      <c r="CR205" s="111"/>
      <c r="CS205" s="111"/>
      <c r="CT205" s="111"/>
      <c r="CU205" s="111"/>
      <c r="CV205" s="111"/>
      <c r="CW205" s="111"/>
      <c r="CX205" s="111"/>
      <c r="CY205" s="111"/>
      <c r="CZ205" s="111"/>
      <c r="DA205" s="111"/>
      <c r="DB205" s="111"/>
      <c r="DC205" s="111"/>
      <c r="DD205" s="111"/>
      <c r="DE205" s="111"/>
      <c r="DF205" s="111"/>
      <c r="DG205" s="111"/>
      <c r="DH205" s="111"/>
      <c r="DI205" s="111"/>
      <c r="DJ205" s="111"/>
      <c r="DK205" s="111"/>
      <c r="DL205" s="111"/>
      <c r="DM205" s="111"/>
      <c r="DN205" s="111"/>
      <c r="DO205" s="111"/>
      <c r="DP205" s="111"/>
      <c r="DQ205" s="111"/>
      <c r="DR205" s="111"/>
      <c r="DS205" s="111"/>
      <c r="DT205" s="111"/>
      <c r="DU205" s="111"/>
      <c r="DV205" s="111"/>
      <c r="DW205" s="111"/>
      <c r="DX205" s="111"/>
      <c r="DY205" s="111"/>
      <c r="DZ205" s="111"/>
      <c r="EA205" s="111"/>
      <c r="EB205" s="111"/>
      <c r="EC205" s="111"/>
      <c r="ED205" s="111"/>
      <c r="EE205" s="111"/>
      <c r="EF205" s="111"/>
      <c r="EG205" s="111"/>
      <c r="EH205" s="111"/>
      <c r="EI205" s="111"/>
      <c r="EJ205" s="111"/>
      <c r="EK205" s="111"/>
      <c r="EL205" s="111"/>
      <c r="EM205" s="111"/>
      <c r="EN205" s="111"/>
      <c r="EO205" s="111"/>
      <c r="EP205" s="111"/>
      <c r="EQ205" s="111"/>
      <c r="ER205" s="111"/>
      <c r="ES205" s="111"/>
      <c r="ET205" s="111"/>
      <c r="EU205" s="111"/>
      <c r="EV205" s="111"/>
      <c r="EW205" s="111"/>
      <c r="EX205" s="111"/>
      <c r="EY205" s="111"/>
      <c r="EZ205" s="111"/>
      <c r="FA205" s="111"/>
      <c r="FB205" s="111"/>
      <c r="FC205" s="111"/>
      <c r="FD205" s="111"/>
      <c r="FE205" s="111"/>
      <c r="FF205" s="111"/>
      <c r="FG205" s="111"/>
      <c r="FH205" s="111"/>
      <c r="FI205" s="111"/>
      <c r="FJ205" s="111"/>
      <c r="FK205" s="111"/>
      <c r="FL205" s="111"/>
      <c r="FM205" s="111"/>
      <c r="FN205" s="111"/>
    </row>
    <row r="206" spans="1:170" s="214" customFormat="1" ht="63">
      <c r="A206" s="219" t="s">
        <v>1421</v>
      </c>
      <c r="B206" s="220">
        <f t="shared" si="53"/>
        <v>30000</v>
      </c>
      <c r="C206" s="220"/>
      <c r="D206" s="220"/>
      <c r="E206" s="220">
        <v>30000</v>
      </c>
      <c r="F206" s="220"/>
      <c r="G206" s="220"/>
      <c r="H206" s="220"/>
      <c r="I206" s="220"/>
      <c r="J206" s="220"/>
      <c r="EU206" s="111"/>
      <c r="EV206" s="111"/>
      <c r="EW206" s="111"/>
      <c r="EX206" s="111"/>
      <c r="EY206" s="111"/>
      <c r="EZ206" s="111"/>
      <c r="FA206" s="111"/>
      <c r="FB206" s="111"/>
      <c r="FC206" s="111"/>
      <c r="FD206" s="111"/>
      <c r="FE206" s="111"/>
      <c r="FF206" s="111"/>
      <c r="FG206" s="111"/>
      <c r="FH206" s="111"/>
      <c r="FI206" s="111"/>
      <c r="FJ206" s="111"/>
      <c r="FK206" s="111"/>
      <c r="FL206" s="111"/>
      <c r="FM206" s="111"/>
      <c r="FN206" s="111"/>
    </row>
    <row r="207" spans="1:170" s="214" customFormat="1">
      <c r="A207" s="212" t="s">
        <v>568</v>
      </c>
      <c r="B207" s="213">
        <f t="shared" si="53"/>
        <v>3196479</v>
      </c>
      <c r="C207" s="213">
        <f>SUM(C208,C210,C213)</f>
        <v>0</v>
      </c>
      <c r="D207" s="213">
        <f t="shared" ref="D207:J207" si="56">SUM(D208,D210,D213)</f>
        <v>0</v>
      </c>
      <c r="E207" s="213">
        <f t="shared" si="56"/>
        <v>95510</v>
      </c>
      <c r="F207" s="213">
        <f t="shared" si="56"/>
        <v>3100969</v>
      </c>
      <c r="G207" s="213">
        <f t="shared" si="56"/>
        <v>0</v>
      </c>
      <c r="H207" s="213">
        <f t="shared" si="56"/>
        <v>0</v>
      </c>
      <c r="I207" s="213">
        <f t="shared" si="56"/>
        <v>0</v>
      </c>
      <c r="J207" s="213">
        <f t="shared" si="56"/>
        <v>0</v>
      </c>
      <c r="EU207" s="111"/>
      <c r="EV207" s="111"/>
      <c r="EW207" s="111"/>
      <c r="EX207" s="111"/>
      <c r="EY207" s="111"/>
      <c r="EZ207" s="111"/>
      <c r="FA207" s="111"/>
      <c r="FB207" s="111"/>
      <c r="FC207" s="111"/>
      <c r="FD207" s="111"/>
      <c r="FE207" s="111"/>
      <c r="FF207" s="111"/>
      <c r="FG207" s="111"/>
      <c r="FH207" s="111"/>
      <c r="FI207" s="111"/>
      <c r="FJ207" s="111"/>
      <c r="FK207" s="111"/>
      <c r="FL207" s="111"/>
      <c r="FM207" s="111"/>
      <c r="FN207" s="111"/>
    </row>
    <row r="208" spans="1:170" s="214" customFormat="1" ht="31.5">
      <c r="A208" s="212" t="s">
        <v>572</v>
      </c>
      <c r="B208" s="213">
        <f t="shared" si="53"/>
        <v>1231273</v>
      </c>
      <c r="C208" s="213">
        <f t="shared" ref="C208:J208" si="57">SUM(C209:C209)</f>
        <v>0</v>
      </c>
      <c r="D208" s="213">
        <f t="shared" si="57"/>
        <v>0</v>
      </c>
      <c r="E208" s="213">
        <f t="shared" si="57"/>
        <v>0</v>
      </c>
      <c r="F208" s="213">
        <f t="shared" si="57"/>
        <v>1231273</v>
      </c>
      <c r="G208" s="213">
        <f t="shared" si="57"/>
        <v>0</v>
      </c>
      <c r="H208" s="213">
        <f t="shared" si="57"/>
        <v>0</v>
      </c>
      <c r="I208" s="213">
        <f t="shared" si="57"/>
        <v>0</v>
      </c>
      <c r="J208" s="213">
        <f t="shared" si="57"/>
        <v>0</v>
      </c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11"/>
      <c r="AG208" s="111"/>
      <c r="AH208" s="111"/>
      <c r="AI208" s="111"/>
      <c r="AJ208" s="111"/>
      <c r="AK208" s="111"/>
      <c r="AL208" s="111"/>
      <c r="AM208" s="111"/>
      <c r="AN208" s="111"/>
      <c r="AO208" s="111"/>
      <c r="AP208" s="111"/>
      <c r="AQ208" s="111"/>
      <c r="AR208" s="111"/>
      <c r="AS208" s="111"/>
      <c r="AT208" s="111"/>
      <c r="AU208" s="111"/>
      <c r="AV208" s="111"/>
      <c r="AW208" s="111"/>
      <c r="AX208" s="111"/>
      <c r="AY208" s="111"/>
      <c r="AZ208" s="111"/>
      <c r="BA208" s="111"/>
      <c r="BB208" s="111"/>
      <c r="BC208" s="111"/>
      <c r="BD208" s="111"/>
      <c r="BE208" s="111"/>
      <c r="BF208" s="111"/>
      <c r="BG208" s="111"/>
      <c r="BH208" s="111"/>
      <c r="BI208" s="111"/>
      <c r="BJ208" s="111"/>
      <c r="BK208" s="111"/>
      <c r="BL208" s="111"/>
      <c r="BM208" s="111"/>
      <c r="BN208" s="111"/>
      <c r="BO208" s="111"/>
      <c r="BP208" s="111"/>
      <c r="BQ208" s="111"/>
      <c r="BR208" s="111"/>
      <c r="BS208" s="111"/>
      <c r="BT208" s="111"/>
      <c r="BU208" s="111"/>
      <c r="BV208" s="111"/>
      <c r="BW208" s="111"/>
      <c r="BX208" s="111"/>
      <c r="BY208" s="111"/>
      <c r="BZ208" s="111"/>
      <c r="CA208" s="111"/>
      <c r="CB208" s="111"/>
      <c r="CC208" s="111"/>
      <c r="CD208" s="111"/>
      <c r="CE208" s="111"/>
      <c r="CF208" s="111"/>
      <c r="CG208" s="111"/>
      <c r="CH208" s="111"/>
      <c r="CI208" s="111"/>
      <c r="CJ208" s="111"/>
      <c r="CK208" s="111"/>
      <c r="CL208" s="111"/>
      <c r="CM208" s="111"/>
      <c r="CN208" s="111"/>
      <c r="CO208" s="111"/>
      <c r="CP208" s="111"/>
      <c r="CQ208" s="111"/>
      <c r="CR208" s="111"/>
      <c r="CS208" s="111"/>
      <c r="CT208" s="111"/>
      <c r="CU208" s="111"/>
      <c r="CV208" s="111"/>
      <c r="CW208" s="111"/>
      <c r="CX208" s="111"/>
      <c r="CY208" s="111"/>
      <c r="CZ208" s="111"/>
      <c r="DA208" s="111"/>
      <c r="DB208" s="111"/>
      <c r="DC208" s="111"/>
      <c r="DD208" s="111"/>
      <c r="DE208" s="111"/>
      <c r="DF208" s="111"/>
      <c r="DG208" s="111"/>
      <c r="DH208" s="111"/>
      <c r="DI208" s="111"/>
      <c r="DJ208" s="111"/>
      <c r="DK208" s="111"/>
      <c r="DL208" s="111"/>
      <c r="DM208" s="111"/>
      <c r="DN208" s="111"/>
      <c r="DO208" s="111"/>
      <c r="DP208" s="111"/>
      <c r="DQ208" s="111"/>
      <c r="DR208" s="111"/>
      <c r="DS208" s="111"/>
      <c r="DT208" s="111"/>
      <c r="DU208" s="111"/>
      <c r="DV208" s="111"/>
      <c r="DW208" s="111"/>
      <c r="DX208" s="111"/>
      <c r="DY208" s="111"/>
      <c r="DZ208" s="111"/>
      <c r="EA208" s="111"/>
      <c r="EB208" s="111"/>
      <c r="EC208" s="111"/>
      <c r="ED208" s="111"/>
      <c r="EE208" s="111"/>
      <c r="EF208" s="111"/>
      <c r="EG208" s="111"/>
      <c r="EH208" s="111"/>
      <c r="EI208" s="111"/>
      <c r="EJ208" s="111"/>
      <c r="EK208" s="111"/>
      <c r="EL208" s="111"/>
      <c r="EM208" s="111"/>
      <c r="EN208" s="111"/>
      <c r="EO208" s="111"/>
      <c r="EP208" s="111"/>
      <c r="EQ208" s="111"/>
      <c r="ER208" s="111"/>
      <c r="ES208" s="111"/>
      <c r="ET208" s="111"/>
    </row>
    <row r="209" spans="1:170" s="214" customFormat="1" ht="78.75">
      <c r="A209" s="219" t="s">
        <v>1422</v>
      </c>
      <c r="B209" s="220">
        <f t="shared" si="53"/>
        <v>1231273</v>
      </c>
      <c r="C209" s="220"/>
      <c r="D209" s="220"/>
      <c r="E209" s="220"/>
      <c r="F209" s="220">
        <v>1231273</v>
      </c>
      <c r="G209" s="220"/>
      <c r="H209" s="220"/>
      <c r="I209" s="220"/>
      <c r="J209" s="220"/>
      <c r="EU209" s="111"/>
      <c r="EV209" s="111"/>
      <c r="EW209" s="111"/>
      <c r="EX209" s="111"/>
      <c r="EY209" s="111"/>
      <c r="EZ209" s="111"/>
      <c r="FA209" s="111"/>
      <c r="FB209" s="111"/>
      <c r="FC209" s="111"/>
      <c r="FD209" s="111"/>
      <c r="FE209" s="111"/>
      <c r="FF209" s="111"/>
      <c r="FG209" s="111"/>
      <c r="FH209" s="111"/>
      <c r="FI209" s="111"/>
      <c r="FJ209" s="111"/>
      <c r="FK209" s="111"/>
      <c r="FL209" s="111"/>
      <c r="FM209" s="111"/>
      <c r="FN209" s="111"/>
    </row>
    <row r="210" spans="1:170" s="214" customFormat="1">
      <c r="A210" s="212" t="s">
        <v>577</v>
      </c>
      <c r="B210" s="213">
        <f t="shared" si="53"/>
        <v>940214</v>
      </c>
      <c r="C210" s="213">
        <f>SUM(C211:C212)</f>
        <v>0</v>
      </c>
      <c r="D210" s="213">
        <f t="shared" ref="D210:J210" si="58">SUM(D211:D212)</f>
        <v>0</v>
      </c>
      <c r="E210" s="213">
        <f t="shared" si="58"/>
        <v>80000</v>
      </c>
      <c r="F210" s="213">
        <f t="shared" si="58"/>
        <v>860214</v>
      </c>
      <c r="G210" s="213">
        <f t="shared" si="58"/>
        <v>0</v>
      </c>
      <c r="H210" s="213">
        <f t="shared" si="58"/>
        <v>0</v>
      </c>
      <c r="I210" s="213">
        <f t="shared" si="58"/>
        <v>0</v>
      </c>
      <c r="J210" s="213">
        <f t="shared" si="58"/>
        <v>0</v>
      </c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  <c r="X210" s="111"/>
      <c r="Y210" s="111"/>
      <c r="Z210" s="111"/>
      <c r="AA210" s="111"/>
      <c r="AB210" s="111"/>
      <c r="AC210" s="111"/>
      <c r="AD210" s="111"/>
      <c r="AE210" s="111"/>
      <c r="AF210" s="111"/>
      <c r="AG210" s="111"/>
      <c r="AH210" s="111"/>
      <c r="AI210" s="111"/>
      <c r="AJ210" s="111"/>
      <c r="AK210" s="111"/>
      <c r="AL210" s="111"/>
      <c r="AM210" s="111"/>
      <c r="AN210" s="111"/>
      <c r="AO210" s="111"/>
      <c r="AP210" s="111"/>
      <c r="AQ210" s="111"/>
      <c r="AR210" s="111"/>
      <c r="AS210" s="111"/>
      <c r="AT210" s="111"/>
      <c r="AU210" s="111"/>
      <c r="AV210" s="111"/>
      <c r="AW210" s="111"/>
      <c r="AX210" s="111"/>
      <c r="AY210" s="111"/>
      <c r="AZ210" s="111"/>
      <c r="BA210" s="111"/>
      <c r="BB210" s="111"/>
      <c r="BC210" s="111"/>
      <c r="BD210" s="111"/>
      <c r="BE210" s="111"/>
      <c r="BF210" s="111"/>
      <c r="BG210" s="111"/>
      <c r="BH210" s="111"/>
      <c r="BI210" s="111"/>
      <c r="BJ210" s="111"/>
      <c r="BK210" s="111"/>
      <c r="BL210" s="111"/>
      <c r="BM210" s="111"/>
      <c r="BN210" s="111"/>
      <c r="BO210" s="111"/>
      <c r="BP210" s="111"/>
      <c r="BQ210" s="111"/>
      <c r="BR210" s="111"/>
      <c r="BS210" s="111"/>
      <c r="BT210" s="111"/>
      <c r="BU210" s="111"/>
      <c r="BV210" s="111"/>
      <c r="BW210" s="111"/>
      <c r="BX210" s="111"/>
      <c r="BY210" s="111"/>
      <c r="BZ210" s="111"/>
      <c r="CA210" s="111"/>
      <c r="CB210" s="111"/>
      <c r="CC210" s="111"/>
      <c r="CD210" s="111"/>
      <c r="CE210" s="111"/>
      <c r="CF210" s="111"/>
      <c r="CG210" s="111"/>
      <c r="CH210" s="111"/>
      <c r="CI210" s="111"/>
      <c r="CJ210" s="111"/>
      <c r="CK210" s="111"/>
      <c r="CL210" s="111"/>
      <c r="CM210" s="111"/>
      <c r="CN210" s="111"/>
      <c r="CO210" s="111"/>
      <c r="CP210" s="111"/>
      <c r="CQ210" s="111"/>
      <c r="CR210" s="111"/>
      <c r="CS210" s="111"/>
      <c r="CT210" s="111"/>
      <c r="CU210" s="111"/>
      <c r="CV210" s="111"/>
      <c r="CW210" s="111"/>
      <c r="CX210" s="111"/>
      <c r="CY210" s="111"/>
      <c r="CZ210" s="111"/>
      <c r="DA210" s="111"/>
      <c r="DB210" s="111"/>
      <c r="DC210" s="111"/>
      <c r="DD210" s="111"/>
      <c r="DE210" s="111"/>
      <c r="DF210" s="111"/>
      <c r="DG210" s="111"/>
      <c r="DH210" s="111"/>
      <c r="DI210" s="111"/>
      <c r="DJ210" s="111"/>
      <c r="DK210" s="111"/>
      <c r="DL210" s="111"/>
      <c r="DM210" s="111"/>
      <c r="DN210" s="111"/>
      <c r="DO210" s="111"/>
      <c r="DP210" s="111"/>
      <c r="DQ210" s="111"/>
      <c r="DR210" s="111"/>
      <c r="DS210" s="111"/>
      <c r="DT210" s="111"/>
      <c r="DU210" s="111"/>
      <c r="DV210" s="111"/>
      <c r="DW210" s="111"/>
      <c r="DX210" s="111"/>
      <c r="DY210" s="111"/>
      <c r="DZ210" s="111"/>
      <c r="EA210" s="111"/>
      <c r="EB210" s="111"/>
      <c r="EC210" s="111"/>
      <c r="ED210" s="111"/>
      <c r="EE210" s="111"/>
      <c r="EF210" s="111"/>
      <c r="EG210" s="111"/>
      <c r="EH210" s="111"/>
      <c r="EI210" s="111"/>
      <c r="EJ210" s="111"/>
      <c r="EK210" s="111"/>
      <c r="EL210" s="111"/>
      <c r="EM210" s="111"/>
      <c r="EN210" s="111"/>
      <c r="EO210" s="111"/>
      <c r="EP210" s="111"/>
      <c r="EQ210" s="111"/>
      <c r="ER210" s="111"/>
      <c r="ES210" s="111"/>
      <c r="ET210" s="111"/>
      <c r="EU210" s="111"/>
      <c r="EV210" s="111"/>
      <c r="EW210" s="111"/>
      <c r="EX210" s="111"/>
      <c r="EY210" s="111"/>
      <c r="EZ210" s="111"/>
      <c r="FA210" s="111"/>
      <c r="FB210" s="111"/>
      <c r="FC210" s="111"/>
      <c r="FD210" s="111"/>
      <c r="FE210" s="111"/>
      <c r="FF210" s="111"/>
      <c r="FG210" s="111"/>
      <c r="FH210" s="111"/>
      <c r="FI210" s="111"/>
      <c r="FJ210" s="111"/>
      <c r="FK210" s="111"/>
      <c r="FL210" s="111"/>
      <c r="FM210" s="111"/>
      <c r="FN210" s="111"/>
    </row>
    <row r="211" spans="1:170" s="214" customFormat="1" ht="94.5">
      <c r="A211" s="219" t="s">
        <v>1274</v>
      </c>
      <c r="B211" s="220">
        <f t="shared" si="53"/>
        <v>860214</v>
      </c>
      <c r="C211" s="220"/>
      <c r="D211" s="220"/>
      <c r="E211" s="220"/>
      <c r="F211" s="220">
        <v>860214</v>
      </c>
      <c r="G211" s="220"/>
      <c r="H211" s="220"/>
      <c r="I211" s="220"/>
      <c r="J211" s="220"/>
      <c r="EU211" s="111"/>
      <c r="EV211" s="111"/>
      <c r="EW211" s="111"/>
      <c r="EX211" s="111"/>
      <c r="EY211" s="111"/>
      <c r="EZ211" s="111"/>
      <c r="FA211" s="111"/>
      <c r="FB211" s="111"/>
      <c r="FC211" s="111"/>
      <c r="FD211" s="111"/>
      <c r="FE211" s="111"/>
      <c r="FF211" s="111"/>
      <c r="FG211" s="111"/>
      <c r="FH211" s="111"/>
      <c r="FI211" s="111"/>
      <c r="FJ211" s="111"/>
      <c r="FK211" s="111"/>
      <c r="FL211" s="111"/>
      <c r="FM211" s="111"/>
      <c r="FN211" s="111"/>
    </row>
    <row r="212" spans="1:170" s="214" customFormat="1" ht="31.5">
      <c r="A212" s="219" t="s">
        <v>1423</v>
      </c>
      <c r="B212" s="220">
        <f>C212+D212+E212+F212+G212+H212+I212+J212</f>
        <v>80000</v>
      </c>
      <c r="C212" s="220"/>
      <c r="D212" s="220"/>
      <c r="E212" s="220">
        <v>80000</v>
      </c>
      <c r="F212" s="220"/>
      <c r="G212" s="220"/>
      <c r="H212" s="220"/>
      <c r="I212" s="220"/>
      <c r="J212" s="220"/>
      <c r="EU212" s="111"/>
      <c r="EV212" s="111"/>
      <c r="EW212" s="111"/>
      <c r="EX212" s="111"/>
      <c r="EY212" s="111"/>
      <c r="EZ212" s="111"/>
      <c r="FA212" s="111"/>
      <c r="FB212" s="111"/>
      <c r="FC212" s="111"/>
      <c r="FD212" s="111"/>
      <c r="FE212" s="111"/>
      <c r="FF212" s="111"/>
      <c r="FG212" s="111"/>
      <c r="FH212" s="111"/>
      <c r="FI212" s="111"/>
      <c r="FJ212" s="111"/>
      <c r="FK212" s="111"/>
      <c r="FL212" s="111"/>
      <c r="FM212" s="111"/>
      <c r="FN212" s="111"/>
    </row>
    <row r="213" spans="1:170" s="214" customFormat="1">
      <c r="A213" s="212" t="s">
        <v>578</v>
      </c>
      <c r="B213" s="213">
        <f t="shared" si="53"/>
        <v>1024992</v>
      </c>
      <c r="C213" s="213">
        <f>SUM(C214:C215)</f>
        <v>0</v>
      </c>
      <c r="D213" s="213">
        <f t="shared" ref="D213:J213" si="59">SUM(D214:D215)</f>
        <v>0</v>
      </c>
      <c r="E213" s="213">
        <f t="shared" si="59"/>
        <v>15510</v>
      </c>
      <c r="F213" s="213">
        <f t="shared" si="59"/>
        <v>1009482</v>
      </c>
      <c r="G213" s="213">
        <f t="shared" si="59"/>
        <v>0</v>
      </c>
      <c r="H213" s="213">
        <f t="shared" si="59"/>
        <v>0</v>
      </c>
      <c r="I213" s="213">
        <f t="shared" si="59"/>
        <v>0</v>
      </c>
      <c r="J213" s="213">
        <f t="shared" si="59"/>
        <v>0</v>
      </c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  <c r="U213" s="111"/>
      <c r="V213" s="111"/>
      <c r="W213" s="111"/>
      <c r="X213" s="111"/>
      <c r="Y213" s="111"/>
      <c r="Z213" s="111"/>
      <c r="AA213" s="111"/>
      <c r="AB213" s="111"/>
      <c r="AC213" s="111"/>
      <c r="AD213" s="111"/>
      <c r="AE213" s="111"/>
      <c r="AF213" s="111"/>
      <c r="AG213" s="111"/>
      <c r="AH213" s="111"/>
      <c r="AI213" s="111"/>
      <c r="AJ213" s="111"/>
      <c r="AK213" s="111"/>
      <c r="AL213" s="111"/>
      <c r="AM213" s="111"/>
      <c r="AN213" s="111"/>
      <c r="AO213" s="111"/>
      <c r="AP213" s="111"/>
      <c r="AQ213" s="111"/>
      <c r="AR213" s="111"/>
      <c r="AS213" s="111"/>
      <c r="AT213" s="111"/>
      <c r="AU213" s="111"/>
      <c r="AV213" s="111"/>
      <c r="AW213" s="111"/>
      <c r="AX213" s="111"/>
      <c r="AY213" s="111"/>
      <c r="AZ213" s="111"/>
      <c r="BA213" s="111"/>
      <c r="BB213" s="111"/>
      <c r="BC213" s="111"/>
      <c r="BD213" s="111"/>
      <c r="BE213" s="111"/>
      <c r="BF213" s="111"/>
      <c r="BG213" s="111"/>
      <c r="BH213" s="111"/>
      <c r="BI213" s="111"/>
      <c r="BJ213" s="111"/>
      <c r="BK213" s="111"/>
      <c r="BL213" s="111"/>
      <c r="BM213" s="111"/>
      <c r="BN213" s="111"/>
      <c r="BO213" s="111"/>
      <c r="BP213" s="111"/>
      <c r="BQ213" s="111"/>
      <c r="BR213" s="111"/>
      <c r="BS213" s="111"/>
      <c r="BT213" s="111"/>
      <c r="BU213" s="111"/>
      <c r="BV213" s="111"/>
      <c r="BW213" s="111"/>
      <c r="BX213" s="111"/>
      <c r="BY213" s="111"/>
      <c r="BZ213" s="111"/>
      <c r="CA213" s="111"/>
      <c r="CB213" s="111"/>
      <c r="CC213" s="111"/>
      <c r="CD213" s="111"/>
      <c r="CE213" s="111"/>
      <c r="CF213" s="111"/>
      <c r="CG213" s="111"/>
      <c r="CH213" s="111"/>
      <c r="CI213" s="111"/>
      <c r="CJ213" s="111"/>
      <c r="CK213" s="111"/>
      <c r="CL213" s="111"/>
      <c r="CM213" s="111"/>
      <c r="CN213" s="111"/>
      <c r="CO213" s="111"/>
      <c r="CP213" s="111"/>
      <c r="CQ213" s="111"/>
      <c r="CR213" s="111"/>
      <c r="CS213" s="111"/>
      <c r="CT213" s="111"/>
      <c r="CU213" s="111"/>
      <c r="CV213" s="111"/>
      <c r="CW213" s="111"/>
      <c r="CX213" s="111"/>
      <c r="CY213" s="111"/>
      <c r="CZ213" s="111"/>
      <c r="DA213" s="111"/>
      <c r="DB213" s="111"/>
      <c r="DC213" s="111"/>
      <c r="DD213" s="111"/>
      <c r="DE213" s="111"/>
      <c r="DF213" s="111"/>
      <c r="DG213" s="111"/>
      <c r="DH213" s="111"/>
      <c r="DI213" s="111"/>
      <c r="DJ213" s="111"/>
      <c r="DK213" s="111"/>
      <c r="DL213" s="111"/>
      <c r="DM213" s="111"/>
      <c r="DN213" s="111"/>
      <c r="DO213" s="111"/>
      <c r="DP213" s="111"/>
      <c r="DQ213" s="111"/>
      <c r="DR213" s="111"/>
      <c r="DS213" s="111"/>
      <c r="DT213" s="111"/>
      <c r="DU213" s="111"/>
      <c r="DV213" s="111"/>
      <c r="DW213" s="111"/>
      <c r="DX213" s="111"/>
      <c r="DY213" s="111"/>
      <c r="DZ213" s="111"/>
      <c r="EA213" s="111"/>
      <c r="EB213" s="111"/>
      <c r="EC213" s="111"/>
      <c r="ED213" s="111"/>
      <c r="EE213" s="111"/>
      <c r="EF213" s="111"/>
      <c r="EG213" s="111"/>
      <c r="EH213" s="111"/>
      <c r="EI213" s="111"/>
      <c r="EJ213" s="111"/>
      <c r="EK213" s="111"/>
      <c r="EL213" s="111"/>
      <c r="EM213" s="111"/>
      <c r="EN213" s="111"/>
      <c r="EO213" s="111"/>
      <c r="EP213" s="111"/>
      <c r="EQ213" s="111"/>
      <c r="ER213" s="111"/>
      <c r="ES213" s="111"/>
      <c r="ET213" s="111"/>
      <c r="EU213" s="111"/>
      <c r="EV213" s="111"/>
      <c r="EW213" s="111"/>
      <c r="EX213" s="111"/>
      <c r="EY213" s="111"/>
      <c r="EZ213" s="111"/>
      <c r="FA213" s="111"/>
      <c r="FB213" s="111"/>
      <c r="FC213" s="111"/>
      <c r="FD213" s="111"/>
      <c r="FE213" s="111"/>
      <c r="FF213" s="111"/>
      <c r="FG213" s="111"/>
      <c r="FH213" s="111"/>
      <c r="FI213" s="111"/>
      <c r="FJ213" s="111"/>
      <c r="FK213" s="111"/>
      <c r="FL213" s="111"/>
      <c r="FM213" s="111"/>
      <c r="FN213" s="111"/>
    </row>
    <row r="214" spans="1:170" s="214" customFormat="1" ht="31.5">
      <c r="A214" s="219" t="s">
        <v>1424</v>
      </c>
      <c r="B214" s="220">
        <f t="shared" si="53"/>
        <v>15510</v>
      </c>
      <c r="C214" s="220">
        <v>0</v>
      </c>
      <c r="D214" s="220">
        <v>0</v>
      </c>
      <c r="E214" s="220">
        <v>15510</v>
      </c>
      <c r="F214" s="220"/>
      <c r="G214" s="220"/>
      <c r="H214" s="220"/>
      <c r="I214" s="220"/>
      <c r="J214" s="220"/>
    </row>
    <row r="215" spans="1:170" s="214" customFormat="1" ht="78.75">
      <c r="A215" s="219" t="s">
        <v>1275</v>
      </c>
      <c r="B215" s="220">
        <f t="shared" si="53"/>
        <v>1009482</v>
      </c>
      <c r="C215" s="220"/>
      <c r="D215" s="220"/>
      <c r="E215" s="220"/>
      <c r="F215" s="220">
        <v>1009482</v>
      </c>
      <c r="G215" s="220"/>
      <c r="H215" s="220"/>
      <c r="I215" s="220"/>
      <c r="J215" s="220"/>
      <c r="EU215" s="111"/>
      <c r="EV215" s="111"/>
      <c r="EW215" s="111"/>
      <c r="EX215" s="111"/>
      <c r="EY215" s="111"/>
      <c r="EZ215" s="111"/>
      <c r="FA215" s="111"/>
      <c r="FB215" s="111"/>
      <c r="FC215" s="111"/>
      <c r="FD215" s="111"/>
      <c r="FE215" s="111"/>
      <c r="FF215" s="111"/>
      <c r="FG215" s="111"/>
      <c r="FH215" s="111"/>
      <c r="FI215" s="111"/>
      <c r="FJ215" s="111"/>
      <c r="FK215" s="111"/>
      <c r="FL215" s="111"/>
      <c r="FM215" s="111"/>
      <c r="FN215" s="111"/>
    </row>
    <row r="216" spans="1:170" s="111" customFormat="1">
      <c r="A216" s="212" t="s">
        <v>580</v>
      </c>
      <c r="B216" s="213">
        <f t="shared" si="53"/>
        <v>21490</v>
      </c>
      <c r="C216" s="213">
        <f>SUM(C217,C220)</f>
        <v>0</v>
      </c>
      <c r="D216" s="213">
        <f t="shared" ref="D216:J216" si="60">SUM(D217,D220)</f>
        <v>0</v>
      </c>
      <c r="E216" s="213">
        <f t="shared" si="60"/>
        <v>19020</v>
      </c>
      <c r="F216" s="213">
        <f t="shared" si="60"/>
        <v>0</v>
      </c>
      <c r="G216" s="213">
        <f t="shared" si="60"/>
        <v>2470</v>
      </c>
      <c r="H216" s="213">
        <f t="shared" si="60"/>
        <v>0</v>
      </c>
      <c r="I216" s="213">
        <f t="shared" si="60"/>
        <v>0</v>
      </c>
      <c r="J216" s="213">
        <f t="shared" si="60"/>
        <v>0</v>
      </c>
      <c r="EU216" s="214"/>
      <c r="EV216" s="214"/>
      <c r="EW216" s="214"/>
      <c r="EX216" s="214"/>
      <c r="EY216" s="214"/>
      <c r="EZ216" s="214"/>
      <c r="FA216" s="214"/>
      <c r="FB216" s="214"/>
      <c r="FC216" s="214"/>
      <c r="FD216" s="214"/>
      <c r="FE216" s="214"/>
      <c r="FF216" s="214"/>
      <c r="FG216" s="214"/>
      <c r="FH216" s="214"/>
      <c r="FI216" s="214"/>
      <c r="FJ216" s="214"/>
      <c r="FK216" s="214"/>
      <c r="FL216" s="214"/>
      <c r="FM216" s="214"/>
      <c r="FN216" s="214"/>
    </row>
    <row r="217" spans="1:170" s="214" customFormat="1">
      <c r="A217" s="212" t="s">
        <v>555</v>
      </c>
      <c r="B217" s="213">
        <f t="shared" si="53"/>
        <v>19020</v>
      </c>
      <c r="C217" s="213">
        <f t="shared" ref="C217:J217" si="61">SUM(C218)</f>
        <v>0</v>
      </c>
      <c r="D217" s="213">
        <f t="shared" si="61"/>
        <v>0</v>
      </c>
      <c r="E217" s="213">
        <f t="shared" si="61"/>
        <v>19020</v>
      </c>
      <c r="F217" s="213">
        <f t="shared" si="61"/>
        <v>0</v>
      </c>
      <c r="G217" s="213">
        <f t="shared" si="61"/>
        <v>0</v>
      </c>
      <c r="H217" s="213">
        <f t="shared" si="61"/>
        <v>0</v>
      </c>
      <c r="I217" s="213">
        <f t="shared" si="61"/>
        <v>0</v>
      </c>
      <c r="J217" s="213">
        <f t="shared" si="61"/>
        <v>0</v>
      </c>
    </row>
    <row r="218" spans="1:170" s="214" customFormat="1" ht="31.5">
      <c r="A218" s="212" t="s">
        <v>581</v>
      </c>
      <c r="B218" s="213">
        <f t="shared" si="53"/>
        <v>19020</v>
      </c>
      <c r="C218" s="213">
        <f t="shared" ref="C218:J218" si="62">SUM(C219:C219)</f>
        <v>0</v>
      </c>
      <c r="D218" s="213">
        <f t="shared" si="62"/>
        <v>0</v>
      </c>
      <c r="E218" s="213">
        <f t="shared" si="62"/>
        <v>19020</v>
      </c>
      <c r="F218" s="213">
        <f t="shared" si="62"/>
        <v>0</v>
      </c>
      <c r="G218" s="213">
        <f t="shared" si="62"/>
        <v>0</v>
      </c>
      <c r="H218" s="213">
        <f t="shared" si="62"/>
        <v>0</v>
      </c>
      <c r="I218" s="213">
        <f t="shared" si="62"/>
        <v>0</v>
      </c>
      <c r="J218" s="213">
        <f t="shared" si="62"/>
        <v>0</v>
      </c>
    </row>
    <row r="219" spans="1:170" s="214" customFormat="1" ht="31.5">
      <c r="A219" s="226" t="s">
        <v>1425</v>
      </c>
      <c r="B219" s="217">
        <f t="shared" si="53"/>
        <v>19020</v>
      </c>
      <c r="C219" s="217"/>
      <c r="D219" s="217"/>
      <c r="E219" s="217">
        <v>19020</v>
      </c>
      <c r="F219" s="217"/>
      <c r="G219" s="217"/>
      <c r="H219" s="217"/>
      <c r="I219" s="217"/>
      <c r="J219" s="217">
        <v>0</v>
      </c>
    </row>
    <row r="220" spans="1:170" s="214" customFormat="1" ht="31.5">
      <c r="A220" s="212" t="s">
        <v>566</v>
      </c>
      <c r="B220" s="213">
        <f t="shared" si="53"/>
        <v>2470</v>
      </c>
      <c r="C220" s="213">
        <f t="shared" ref="C220" si="63">SUM(C221)</f>
        <v>0</v>
      </c>
      <c r="D220" s="213">
        <f t="shared" ref="D220" si="64">SUM(D221)</f>
        <v>0</v>
      </c>
      <c r="E220" s="213">
        <v>0</v>
      </c>
      <c r="F220" s="213">
        <f t="shared" ref="F220:J220" si="65">SUM(F221)</f>
        <v>0</v>
      </c>
      <c r="G220" s="213">
        <f t="shared" si="65"/>
        <v>2470</v>
      </c>
      <c r="H220" s="213">
        <f t="shared" si="65"/>
        <v>0</v>
      </c>
      <c r="I220" s="213">
        <f t="shared" si="65"/>
        <v>0</v>
      </c>
      <c r="J220" s="213">
        <f t="shared" si="65"/>
        <v>0</v>
      </c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11"/>
      <c r="AG220" s="111"/>
      <c r="AH220" s="111"/>
      <c r="AI220" s="111"/>
      <c r="AJ220" s="111"/>
      <c r="AK220" s="111"/>
      <c r="AL220" s="111"/>
      <c r="AM220" s="111"/>
      <c r="AN220" s="111"/>
      <c r="AO220" s="111"/>
      <c r="AP220" s="111"/>
      <c r="AQ220" s="111"/>
      <c r="AR220" s="111"/>
      <c r="AS220" s="111"/>
      <c r="AT220" s="111"/>
      <c r="AU220" s="111"/>
      <c r="AV220" s="111"/>
      <c r="AW220" s="111"/>
      <c r="AX220" s="111"/>
      <c r="AY220" s="111"/>
      <c r="AZ220" s="111"/>
      <c r="BA220" s="111"/>
      <c r="BB220" s="111"/>
      <c r="BC220" s="111"/>
      <c r="BD220" s="111"/>
      <c r="BE220" s="111"/>
      <c r="BF220" s="111"/>
      <c r="BG220" s="111"/>
      <c r="BH220" s="111"/>
      <c r="BI220" s="111"/>
      <c r="BJ220" s="111"/>
      <c r="BK220" s="111"/>
      <c r="BL220" s="111"/>
      <c r="BM220" s="111"/>
      <c r="BN220" s="111"/>
      <c r="BO220" s="111"/>
      <c r="BP220" s="111"/>
      <c r="BQ220" s="111"/>
      <c r="BR220" s="111"/>
      <c r="BS220" s="111"/>
      <c r="BT220" s="111"/>
      <c r="BU220" s="111"/>
      <c r="BV220" s="111"/>
      <c r="BW220" s="111"/>
      <c r="BX220" s="111"/>
      <c r="BY220" s="111"/>
      <c r="BZ220" s="111"/>
      <c r="CA220" s="111"/>
      <c r="CB220" s="111"/>
      <c r="CC220" s="111"/>
      <c r="CD220" s="111"/>
      <c r="CE220" s="111"/>
      <c r="CF220" s="111"/>
      <c r="CG220" s="111"/>
      <c r="CH220" s="111"/>
      <c r="CI220" s="111"/>
      <c r="CJ220" s="111"/>
      <c r="CK220" s="111"/>
      <c r="CL220" s="111"/>
      <c r="CM220" s="111"/>
      <c r="CN220" s="111"/>
      <c r="CO220" s="111"/>
      <c r="CP220" s="111"/>
      <c r="CQ220" s="111"/>
      <c r="CR220" s="111"/>
      <c r="CS220" s="111"/>
      <c r="CT220" s="111"/>
      <c r="CU220" s="111"/>
      <c r="CV220" s="111"/>
      <c r="CW220" s="111"/>
      <c r="CX220" s="111"/>
      <c r="CY220" s="111"/>
      <c r="CZ220" s="111"/>
      <c r="DA220" s="111"/>
      <c r="DB220" s="111"/>
      <c r="DC220" s="111"/>
      <c r="DD220" s="111"/>
      <c r="DE220" s="111"/>
      <c r="DF220" s="111"/>
      <c r="DG220" s="111"/>
      <c r="DH220" s="111"/>
      <c r="DI220" s="111"/>
      <c r="DJ220" s="111"/>
      <c r="DK220" s="111"/>
      <c r="DL220" s="111"/>
      <c r="DM220" s="111"/>
      <c r="DN220" s="111"/>
      <c r="DO220" s="111"/>
      <c r="DP220" s="111"/>
      <c r="DQ220" s="111"/>
      <c r="DR220" s="111"/>
      <c r="DS220" s="111"/>
      <c r="DT220" s="111"/>
      <c r="DU220" s="111"/>
      <c r="DV220" s="111"/>
      <c r="DW220" s="111"/>
      <c r="DX220" s="111"/>
      <c r="DY220" s="111"/>
      <c r="DZ220" s="111"/>
      <c r="EA220" s="111"/>
      <c r="EB220" s="111"/>
      <c r="EC220" s="111"/>
      <c r="ED220" s="111"/>
      <c r="EE220" s="111"/>
      <c r="EF220" s="111"/>
      <c r="EG220" s="111"/>
      <c r="EH220" s="111"/>
      <c r="EI220" s="111"/>
      <c r="EJ220" s="111"/>
      <c r="EK220" s="111"/>
      <c r="EL220" s="111"/>
      <c r="EM220" s="111"/>
      <c r="EN220" s="111"/>
      <c r="EO220" s="111"/>
      <c r="EP220" s="111"/>
      <c r="EQ220" s="111"/>
      <c r="ER220" s="111"/>
      <c r="ES220" s="111"/>
      <c r="ET220" s="111"/>
      <c r="EU220" s="111"/>
      <c r="EV220" s="111"/>
      <c r="EW220" s="111"/>
      <c r="EX220" s="111"/>
      <c r="EY220" s="111"/>
      <c r="EZ220" s="111"/>
      <c r="FA220" s="111"/>
      <c r="FB220" s="111"/>
      <c r="FC220" s="111"/>
      <c r="FD220" s="111"/>
      <c r="FE220" s="111"/>
      <c r="FF220" s="111"/>
      <c r="FG220" s="111"/>
      <c r="FH220" s="111"/>
      <c r="FI220" s="111"/>
      <c r="FJ220" s="111"/>
      <c r="FK220" s="111"/>
      <c r="FL220" s="111"/>
      <c r="FM220" s="111"/>
      <c r="FN220" s="111"/>
    </row>
    <row r="221" spans="1:170" s="214" customFormat="1" ht="31.5">
      <c r="A221" s="212" t="s">
        <v>581</v>
      </c>
      <c r="B221" s="213">
        <f t="shared" si="53"/>
        <v>2470</v>
      </c>
      <c r="C221" s="213">
        <f>SUM(C222:C222)</f>
        <v>0</v>
      </c>
      <c r="D221" s="213">
        <f t="shared" ref="D221:J221" si="66">SUM(D222:D222)</f>
        <v>0</v>
      </c>
      <c r="E221" s="213">
        <f t="shared" si="66"/>
        <v>0</v>
      </c>
      <c r="F221" s="213">
        <f t="shared" si="66"/>
        <v>0</v>
      </c>
      <c r="G221" s="213">
        <f t="shared" si="66"/>
        <v>2470</v>
      </c>
      <c r="H221" s="213">
        <f t="shared" si="66"/>
        <v>0</v>
      </c>
      <c r="I221" s="213">
        <f t="shared" si="66"/>
        <v>0</v>
      </c>
      <c r="J221" s="213">
        <f t="shared" si="66"/>
        <v>0</v>
      </c>
    </row>
    <row r="222" spans="1:170" s="214" customFormat="1" ht="31.5">
      <c r="A222" s="216" t="s">
        <v>1426</v>
      </c>
      <c r="B222" s="220">
        <f t="shared" si="53"/>
        <v>2470</v>
      </c>
      <c r="C222" s="220"/>
      <c r="D222" s="220"/>
      <c r="E222" s="220"/>
      <c r="F222" s="220"/>
      <c r="G222" s="220">
        <v>2470</v>
      </c>
      <c r="H222" s="220"/>
      <c r="I222" s="220"/>
      <c r="J222" s="220"/>
    </row>
    <row r="223" spans="1:170" s="214" customFormat="1">
      <c r="A223" s="223" t="s">
        <v>582</v>
      </c>
      <c r="B223" s="213">
        <f t="shared" si="53"/>
        <v>104500</v>
      </c>
      <c r="C223" s="213">
        <f t="shared" ref="C223:J223" si="67">SUM(C224)</f>
        <v>0</v>
      </c>
      <c r="D223" s="213">
        <f t="shared" si="67"/>
        <v>0</v>
      </c>
      <c r="E223" s="213">
        <f t="shared" si="67"/>
        <v>104500</v>
      </c>
      <c r="F223" s="213">
        <f t="shared" si="67"/>
        <v>0</v>
      </c>
      <c r="G223" s="213">
        <f t="shared" si="67"/>
        <v>0</v>
      </c>
      <c r="H223" s="213">
        <f t="shared" si="67"/>
        <v>0</v>
      </c>
      <c r="I223" s="213">
        <f t="shared" si="67"/>
        <v>0</v>
      </c>
      <c r="J223" s="213">
        <f t="shared" si="67"/>
        <v>0</v>
      </c>
    </row>
    <row r="224" spans="1:170" s="214" customFormat="1" ht="31.5">
      <c r="A224" s="212" t="s">
        <v>565</v>
      </c>
      <c r="B224" s="213">
        <f t="shared" si="53"/>
        <v>104500</v>
      </c>
      <c r="C224" s="213">
        <f t="shared" ref="C224:J224" si="68">SUM(C225:C226)</f>
        <v>0</v>
      </c>
      <c r="D224" s="213">
        <f t="shared" si="68"/>
        <v>0</v>
      </c>
      <c r="E224" s="213">
        <f t="shared" si="68"/>
        <v>104500</v>
      </c>
      <c r="F224" s="213">
        <f t="shared" si="68"/>
        <v>0</v>
      </c>
      <c r="G224" s="213">
        <f t="shared" si="68"/>
        <v>0</v>
      </c>
      <c r="H224" s="213">
        <f t="shared" si="68"/>
        <v>0</v>
      </c>
      <c r="I224" s="213">
        <f t="shared" si="68"/>
        <v>0</v>
      </c>
      <c r="J224" s="213">
        <f t="shared" si="68"/>
        <v>0</v>
      </c>
    </row>
    <row r="225" spans="1:171" s="214" customFormat="1" ht="47.25">
      <c r="A225" s="225" t="s">
        <v>1152</v>
      </c>
      <c r="B225" s="220">
        <f t="shared" si="53"/>
        <v>100000</v>
      </c>
      <c r="C225" s="220"/>
      <c r="D225" s="220"/>
      <c r="E225" s="220">
        <v>100000</v>
      </c>
      <c r="F225" s="220"/>
      <c r="G225" s="220"/>
      <c r="H225" s="220"/>
      <c r="I225" s="220"/>
      <c r="J225" s="228"/>
      <c r="EU225" s="111"/>
      <c r="EV225" s="111"/>
      <c r="EW225" s="111"/>
      <c r="EX225" s="111"/>
      <c r="EY225" s="111"/>
      <c r="EZ225" s="111"/>
      <c r="FA225" s="111"/>
      <c r="FB225" s="111"/>
      <c r="FC225" s="111"/>
      <c r="FD225" s="111"/>
      <c r="FE225" s="111"/>
      <c r="FF225" s="111"/>
      <c r="FG225" s="111"/>
      <c r="FH225" s="111"/>
      <c r="FI225" s="111"/>
      <c r="FJ225" s="111"/>
      <c r="FK225" s="111"/>
      <c r="FL225" s="111"/>
      <c r="FM225" s="111"/>
      <c r="FN225" s="111"/>
    </row>
    <row r="226" spans="1:171" s="214" customFormat="1" ht="31.5">
      <c r="A226" s="225" t="s">
        <v>1427</v>
      </c>
      <c r="B226" s="220">
        <f t="shared" si="53"/>
        <v>4500</v>
      </c>
      <c r="C226" s="220"/>
      <c r="D226" s="220"/>
      <c r="E226" s="220">
        <v>4500</v>
      </c>
      <c r="F226" s="220"/>
      <c r="G226" s="220"/>
      <c r="H226" s="220"/>
      <c r="I226" s="220"/>
      <c r="J226" s="228"/>
      <c r="EU226" s="111"/>
      <c r="EV226" s="111"/>
      <c r="EW226" s="111"/>
      <c r="EX226" s="111"/>
      <c r="EY226" s="111"/>
      <c r="EZ226" s="111"/>
      <c r="FA226" s="111"/>
      <c r="FB226" s="111"/>
      <c r="FC226" s="111"/>
      <c r="FD226" s="111"/>
      <c r="FE226" s="111"/>
      <c r="FF226" s="111"/>
      <c r="FG226" s="111"/>
      <c r="FH226" s="111"/>
      <c r="FI226" s="111"/>
      <c r="FJ226" s="111"/>
      <c r="FK226" s="111"/>
      <c r="FL226" s="111"/>
      <c r="FM226" s="111"/>
      <c r="FN226" s="111"/>
    </row>
    <row r="227" spans="1:171" s="214" customFormat="1" ht="31.5">
      <c r="A227" s="223" t="s">
        <v>1276</v>
      </c>
      <c r="B227" s="213">
        <f>C227+D227+E227+F227+G227+H227+I227+J227</f>
        <v>639749</v>
      </c>
      <c r="C227" s="213">
        <f>SUM(C228)</f>
        <v>639749</v>
      </c>
      <c r="D227" s="213">
        <f t="shared" ref="D227:I228" si="69">SUM(D228)</f>
        <v>0</v>
      </c>
      <c r="E227" s="213">
        <f t="shared" si="69"/>
        <v>0</v>
      </c>
      <c r="F227" s="213">
        <f t="shared" si="69"/>
        <v>0</v>
      </c>
      <c r="G227" s="213">
        <f t="shared" si="69"/>
        <v>0</v>
      </c>
      <c r="H227" s="213">
        <f t="shared" si="69"/>
        <v>0</v>
      </c>
      <c r="I227" s="213">
        <f t="shared" si="69"/>
        <v>0</v>
      </c>
      <c r="J227" s="213">
        <f>SUM(J228)</f>
        <v>0</v>
      </c>
    </row>
    <row r="228" spans="1:171" s="214" customFormat="1" ht="31.5">
      <c r="A228" s="212" t="s">
        <v>565</v>
      </c>
      <c r="B228" s="213">
        <f t="shared" ref="B228:B229" si="70">C228+D228+E228+F228+G228+H228+I228+J228</f>
        <v>639749</v>
      </c>
      <c r="C228" s="213">
        <f>SUM(C229)</f>
        <v>639749</v>
      </c>
      <c r="D228" s="213">
        <f t="shared" si="69"/>
        <v>0</v>
      </c>
      <c r="E228" s="213">
        <f t="shared" si="69"/>
        <v>0</v>
      </c>
      <c r="F228" s="213">
        <f t="shared" si="69"/>
        <v>0</v>
      </c>
      <c r="G228" s="213">
        <f t="shared" si="69"/>
        <v>0</v>
      </c>
      <c r="H228" s="213">
        <f t="shared" si="69"/>
        <v>0</v>
      </c>
      <c r="I228" s="213">
        <f t="shared" si="69"/>
        <v>0</v>
      </c>
      <c r="J228" s="213">
        <f>SUM(J229)</f>
        <v>0</v>
      </c>
    </row>
    <row r="229" spans="1:171" s="214" customFormat="1" ht="31.5">
      <c r="A229" s="225" t="s">
        <v>1428</v>
      </c>
      <c r="B229" s="220">
        <f t="shared" si="70"/>
        <v>639749</v>
      </c>
      <c r="C229" s="220">
        <v>639749</v>
      </c>
      <c r="D229" s="220"/>
      <c r="E229" s="220"/>
      <c r="F229" s="220"/>
      <c r="G229" s="220"/>
      <c r="H229" s="220"/>
      <c r="I229" s="228">
        <v>0</v>
      </c>
      <c r="J229" s="228">
        <v>0</v>
      </c>
      <c r="EV229" s="111"/>
      <c r="EW229" s="111"/>
      <c r="EX229" s="111"/>
      <c r="EY229" s="111"/>
      <c r="EZ229" s="111"/>
      <c r="FA229" s="111"/>
      <c r="FB229" s="111"/>
      <c r="FC229" s="111"/>
      <c r="FD229" s="111"/>
      <c r="FE229" s="111"/>
      <c r="FF229" s="111"/>
      <c r="FG229" s="111"/>
      <c r="FH229" s="111"/>
      <c r="FI229" s="111"/>
      <c r="FJ229" s="111"/>
      <c r="FK229" s="111"/>
      <c r="FL229" s="111"/>
      <c r="FM229" s="111"/>
      <c r="FN229" s="111"/>
      <c r="FO229" s="111"/>
    </row>
    <row r="230" spans="1:171" s="214" customFormat="1" ht="31.5">
      <c r="A230" s="223" t="s">
        <v>1429</v>
      </c>
      <c r="B230" s="213">
        <f>C230+D230+E230+F230+G230+H230+I230+J230</f>
        <v>1077036</v>
      </c>
      <c r="C230" s="213">
        <f>SUM(C231)</f>
        <v>1077036</v>
      </c>
      <c r="D230" s="213">
        <f t="shared" ref="D230:I231" si="71">SUM(D231)</f>
        <v>0</v>
      </c>
      <c r="E230" s="213">
        <f t="shared" si="71"/>
        <v>0</v>
      </c>
      <c r="F230" s="213">
        <f t="shared" si="71"/>
        <v>0</v>
      </c>
      <c r="G230" s="213">
        <f t="shared" si="71"/>
        <v>0</v>
      </c>
      <c r="H230" s="213">
        <f t="shared" si="71"/>
        <v>0</v>
      </c>
      <c r="I230" s="213">
        <f t="shared" si="71"/>
        <v>0</v>
      </c>
      <c r="J230" s="213">
        <f>SUM(J231)</f>
        <v>0</v>
      </c>
    </row>
    <row r="231" spans="1:171" s="214" customFormat="1">
      <c r="A231" s="212" t="s">
        <v>568</v>
      </c>
      <c r="B231" s="213">
        <f t="shared" ref="B231:B232" si="72">C231+D231+E231+F231+G231+H231+I231+J231</f>
        <v>1077036</v>
      </c>
      <c r="C231" s="213">
        <f>SUM(C232)</f>
        <v>1077036</v>
      </c>
      <c r="D231" s="213">
        <f t="shared" si="71"/>
        <v>0</v>
      </c>
      <c r="E231" s="213">
        <f t="shared" si="71"/>
        <v>0</v>
      </c>
      <c r="F231" s="213">
        <f t="shared" si="71"/>
        <v>0</v>
      </c>
      <c r="G231" s="213">
        <f t="shared" si="71"/>
        <v>0</v>
      </c>
      <c r="H231" s="213">
        <f t="shared" si="71"/>
        <v>0</v>
      </c>
      <c r="I231" s="213">
        <f t="shared" si="71"/>
        <v>0</v>
      </c>
      <c r="J231" s="213">
        <f>SUM(J232)</f>
        <v>0</v>
      </c>
    </row>
    <row r="232" spans="1:171" s="214" customFormat="1" ht="47.25">
      <c r="A232" s="225" t="s">
        <v>1430</v>
      </c>
      <c r="B232" s="220">
        <f t="shared" si="72"/>
        <v>1077036</v>
      </c>
      <c r="C232" s="220">
        <v>1077036</v>
      </c>
      <c r="D232" s="220"/>
      <c r="E232" s="220"/>
      <c r="F232" s="220"/>
      <c r="G232" s="220"/>
      <c r="H232" s="220"/>
      <c r="I232" s="228">
        <v>0</v>
      </c>
      <c r="J232" s="228">
        <v>0</v>
      </c>
      <c r="EV232" s="111"/>
      <c r="EW232" s="111"/>
      <c r="EX232" s="111"/>
      <c r="EY232" s="111"/>
      <c r="EZ232" s="111"/>
      <c r="FA232" s="111"/>
      <c r="FB232" s="111"/>
      <c r="FC232" s="111"/>
      <c r="FD232" s="111"/>
      <c r="FE232" s="111"/>
      <c r="FF232" s="111"/>
      <c r="FG232" s="111"/>
      <c r="FH232" s="111"/>
      <c r="FI232" s="111"/>
      <c r="FJ232" s="111"/>
      <c r="FK232" s="111"/>
      <c r="FL232" s="111"/>
      <c r="FM232" s="111"/>
      <c r="FN232" s="111"/>
      <c r="FO232" s="111"/>
    </row>
    <row r="234" spans="1:171" s="11" customFormat="1">
      <c r="A234" s="338"/>
      <c r="B234" s="203"/>
      <c r="C234" s="203"/>
      <c r="D234" s="203"/>
      <c r="E234" s="203"/>
      <c r="F234" s="203"/>
      <c r="G234" s="203"/>
      <c r="H234" s="203"/>
      <c r="I234" s="203"/>
      <c r="J234" s="203"/>
      <c r="K234" s="203"/>
      <c r="L234" s="203"/>
      <c r="M234" s="203"/>
      <c r="N234" s="203"/>
      <c r="O234" s="203"/>
      <c r="P234" s="203"/>
      <c r="Q234" s="203"/>
      <c r="R234" s="203"/>
      <c r="S234" s="203"/>
      <c r="T234" s="203"/>
      <c r="U234" s="203"/>
      <c r="V234" s="203"/>
      <c r="W234" s="203"/>
      <c r="X234" s="203"/>
      <c r="Y234" s="203"/>
      <c r="Z234" s="203"/>
      <c r="AA234" s="203"/>
      <c r="AB234" s="203"/>
      <c r="AC234" s="203"/>
      <c r="AD234" s="203"/>
      <c r="AE234" s="203"/>
      <c r="AF234" s="203"/>
      <c r="AG234" s="203"/>
      <c r="AH234" s="203"/>
      <c r="AI234" s="203"/>
      <c r="AJ234" s="203"/>
      <c r="AK234" s="203"/>
      <c r="AL234" s="203"/>
      <c r="AM234" s="203"/>
      <c r="AN234" s="203"/>
      <c r="AO234" s="203"/>
      <c r="AP234" s="203"/>
      <c r="AQ234" s="203"/>
      <c r="AR234" s="203"/>
      <c r="AS234" s="203"/>
      <c r="AT234" s="203"/>
      <c r="AU234" s="203"/>
      <c r="AV234" s="203"/>
      <c r="AW234" s="203"/>
      <c r="AX234" s="203"/>
      <c r="AY234" s="203"/>
      <c r="AZ234" s="203"/>
      <c r="BA234" s="203"/>
      <c r="BB234" s="203"/>
      <c r="BC234" s="203"/>
      <c r="BD234" s="203"/>
      <c r="BE234" s="203"/>
      <c r="BF234" s="203"/>
      <c r="BG234" s="203"/>
      <c r="BH234" s="203"/>
      <c r="BI234" s="203"/>
      <c r="BJ234" s="203"/>
      <c r="BK234" s="203"/>
      <c r="BL234" s="203"/>
      <c r="BM234" s="203"/>
      <c r="BN234" s="203"/>
      <c r="BO234" s="203"/>
      <c r="BP234" s="203"/>
      <c r="BQ234" s="203"/>
      <c r="BR234" s="203"/>
      <c r="BS234" s="203"/>
      <c r="BT234" s="203"/>
      <c r="BU234" s="203"/>
      <c r="BV234" s="203"/>
      <c r="BW234" s="203"/>
      <c r="BX234" s="203"/>
      <c r="BY234" s="203"/>
      <c r="BZ234" s="203"/>
      <c r="CA234" s="203"/>
      <c r="CB234" s="203"/>
      <c r="CC234" s="203"/>
      <c r="CD234" s="203"/>
      <c r="CE234" s="203"/>
      <c r="CF234" s="203"/>
      <c r="CG234" s="203"/>
      <c r="CH234" s="203"/>
      <c r="CI234" s="203"/>
      <c r="CJ234" s="203"/>
      <c r="CK234" s="203"/>
      <c r="CL234" s="203"/>
      <c r="CM234" s="203"/>
      <c r="CN234" s="203"/>
      <c r="CO234" s="203"/>
      <c r="CP234" s="203"/>
      <c r="CQ234" s="203"/>
      <c r="CR234" s="203"/>
      <c r="CS234" s="203"/>
      <c r="CT234" s="203"/>
      <c r="CU234" s="203"/>
      <c r="CV234" s="203"/>
      <c r="CW234" s="203"/>
      <c r="CX234" s="203"/>
      <c r="CY234" s="203"/>
      <c r="CZ234" s="203"/>
      <c r="DA234" s="203"/>
      <c r="DB234" s="203"/>
      <c r="DC234" s="203"/>
      <c r="DD234" s="203"/>
      <c r="DE234" s="203"/>
      <c r="DF234" s="203"/>
      <c r="DG234" s="203"/>
      <c r="DH234" s="203"/>
      <c r="DI234" s="203"/>
      <c r="DJ234" s="203"/>
      <c r="DK234" s="203"/>
      <c r="DL234" s="203"/>
      <c r="DM234" s="203"/>
      <c r="DN234" s="203"/>
      <c r="DO234" s="203"/>
      <c r="DP234" s="203"/>
      <c r="DQ234" s="203"/>
      <c r="DR234" s="203"/>
      <c r="DS234" s="203"/>
      <c r="DT234" s="203"/>
      <c r="DU234" s="203"/>
      <c r="DV234" s="203"/>
      <c r="DW234" s="203"/>
      <c r="DX234" s="203"/>
      <c r="DY234" s="203"/>
      <c r="DZ234" s="203"/>
      <c r="EA234" s="203"/>
      <c r="EB234" s="203"/>
      <c r="EC234" s="203"/>
      <c r="ED234" s="203"/>
      <c r="EE234" s="203"/>
      <c r="EF234" s="203"/>
      <c r="EG234" s="203"/>
      <c r="EH234" s="203"/>
      <c r="EI234" s="203"/>
      <c r="EJ234" s="203"/>
      <c r="EK234" s="203"/>
      <c r="EL234" s="203"/>
      <c r="EM234" s="203"/>
      <c r="EN234" s="203"/>
      <c r="EO234" s="203"/>
      <c r="EP234" s="203"/>
      <c r="EQ234" s="203"/>
      <c r="ER234" s="203"/>
      <c r="ES234" s="203"/>
      <c r="ET234" s="203"/>
      <c r="EU234" s="203"/>
      <c r="EV234" s="203"/>
      <c r="EW234" s="203"/>
      <c r="EX234" s="203"/>
      <c r="EY234" s="203"/>
      <c r="EZ234" s="203"/>
      <c r="FA234" s="203"/>
      <c r="FB234" s="203"/>
      <c r="FC234" s="203"/>
      <c r="FD234" s="203"/>
      <c r="FE234" s="203"/>
      <c r="FF234" s="203"/>
      <c r="FG234" s="203"/>
      <c r="FH234" s="203"/>
      <c r="FI234" s="203"/>
      <c r="FJ234" s="203"/>
      <c r="FK234" s="203"/>
      <c r="FL234" s="203"/>
      <c r="FM234" s="203"/>
      <c r="FN234" s="203"/>
    </row>
    <row r="235" spans="1:171" s="11" customFormat="1">
      <c r="A235" s="339"/>
      <c r="B235" s="203"/>
      <c r="C235" s="203"/>
      <c r="D235" s="203"/>
      <c r="E235" s="203"/>
      <c r="F235" s="203"/>
      <c r="G235" s="203"/>
      <c r="H235" s="203"/>
      <c r="I235" s="203"/>
      <c r="J235" s="203"/>
      <c r="K235" s="203"/>
      <c r="L235" s="203"/>
      <c r="M235" s="203"/>
      <c r="N235" s="203"/>
      <c r="O235" s="203"/>
      <c r="P235" s="203"/>
      <c r="Q235" s="203"/>
      <c r="R235" s="203"/>
      <c r="S235" s="203"/>
      <c r="T235" s="203"/>
      <c r="U235" s="203"/>
      <c r="V235" s="203"/>
      <c r="W235" s="203"/>
      <c r="X235" s="203"/>
      <c r="Y235" s="203"/>
      <c r="Z235" s="203"/>
      <c r="AA235" s="203"/>
      <c r="AB235" s="203"/>
      <c r="AC235" s="203"/>
      <c r="AD235" s="203"/>
      <c r="AE235" s="203"/>
      <c r="AF235" s="203"/>
      <c r="AG235" s="203"/>
      <c r="AH235" s="203"/>
      <c r="AI235" s="203"/>
      <c r="AJ235" s="203"/>
      <c r="AK235" s="203"/>
      <c r="AL235" s="203"/>
      <c r="AM235" s="203"/>
      <c r="AN235" s="203"/>
      <c r="AO235" s="203"/>
      <c r="AP235" s="203"/>
      <c r="AQ235" s="203"/>
      <c r="AR235" s="203"/>
      <c r="AS235" s="203"/>
      <c r="AT235" s="203"/>
      <c r="AU235" s="203"/>
      <c r="AV235" s="203"/>
      <c r="AW235" s="203"/>
      <c r="AX235" s="203"/>
      <c r="AY235" s="203"/>
      <c r="AZ235" s="203"/>
      <c r="BA235" s="203"/>
      <c r="BB235" s="203"/>
      <c r="BC235" s="203"/>
      <c r="BD235" s="203"/>
      <c r="BE235" s="203"/>
      <c r="BF235" s="203"/>
      <c r="BG235" s="203"/>
      <c r="BH235" s="203"/>
      <c r="BI235" s="203"/>
      <c r="BJ235" s="203"/>
      <c r="BK235" s="203"/>
      <c r="BL235" s="203"/>
      <c r="BM235" s="203"/>
      <c r="BN235" s="203"/>
      <c r="BO235" s="203"/>
      <c r="BP235" s="203"/>
      <c r="BQ235" s="203"/>
      <c r="BR235" s="203"/>
      <c r="BS235" s="203"/>
      <c r="BT235" s="203"/>
      <c r="BU235" s="203"/>
      <c r="BV235" s="203"/>
      <c r="BW235" s="203"/>
      <c r="BX235" s="203"/>
      <c r="BY235" s="203"/>
      <c r="BZ235" s="203"/>
      <c r="CA235" s="203"/>
      <c r="CB235" s="203"/>
      <c r="CC235" s="203"/>
      <c r="CD235" s="203"/>
      <c r="CE235" s="203"/>
      <c r="CF235" s="203"/>
      <c r="CG235" s="203"/>
      <c r="CH235" s="203"/>
      <c r="CI235" s="203"/>
      <c r="CJ235" s="203"/>
      <c r="CK235" s="203"/>
      <c r="CL235" s="203"/>
      <c r="CM235" s="203"/>
      <c r="CN235" s="203"/>
      <c r="CO235" s="203"/>
      <c r="CP235" s="203"/>
      <c r="CQ235" s="203"/>
      <c r="CR235" s="203"/>
      <c r="CS235" s="203"/>
      <c r="CT235" s="203"/>
      <c r="CU235" s="203"/>
      <c r="CV235" s="203"/>
      <c r="CW235" s="203"/>
      <c r="CX235" s="203"/>
      <c r="CY235" s="203"/>
      <c r="CZ235" s="203"/>
      <c r="DA235" s="203"/>
      <c r="DB235" s="203"/>
      <c r="DC235" s="203"/>
      <c r="DD235" s="203"/>
      <c r="DE235" s="203"/>
      <c r="DF235" s="203"/>
      <c r="DG235" s="203"/>
      <c r="DH235" s="203"/>
      <c r="DI235" s="203"/>
      <c r="DJ235" s="203"/>
      <c r="DK235" s="203"/>
      <c r="DL235" s="203"/>
      <c r="DM235" s="203"/>
      <c r="DN235" s="203"/>
      <c r="DO235" s="203"/>
      <c r="DP235" s="203"/>
      <c r="DQ235" s="203"/>
      <c r="DR235" s="203"/>
      <c r="DS235" s="203"/>
      <c r="DT235" s="203"/>
      <c r="DU235" s="203"/>
      <c r="DV235" s="203"/>
      <c r="DW235" s="203"/>
      <c r="DX235" s="203"/>
      <c r="DY235" s="203"/>
      <c r="DZ235" s="203"/>
      <c r="EA235" s="203"/>
      <c r="EB235" s="203"/>
      <c r="EC235" s="203"/>
      <c r="ED235" s="203"/>
      <c r="EE235" s="203"/>
      <c r="EF235" s="203"/>
      <c r="EG235" s="203"/>
      <c r="EH235" s="203"/>
      <c r="EI235" s="203"/>
      <c r="EJ235" s="203"/>
      <c r="EK235" s="203"/>
      <c r="EL235" s="203"/>
      <c r="EM235" s="203"/>
      <c r="EN235" s="203"/>
      <c r="EO235" s="203"/>
      <c r="EP235" s="203"/>
      <c r="EQ235" s="203"/>
      <c r="ER235" s="203"/>
      <c r="ES235" s="203"/>
      <c r="ET235" s="203"/>
      <c r="EU235" s="203"/>
      <c r="EV235" s="203"/>
      <c r="EW235" s="203"/>
      <c r="EX235" s="203"/>
      <c r="EY235" s="203"/>
      <c r="EZ235" s="203"/>
      <c r="FA235" s="203"/>
      <c r="FB235" s="203"/>
      <c r="FC235" s="203"/>
      <c r="FD235" s="203"/>
      <c r="FE235" s="203"/>
      <c r="FF235" s="203"/>
      <c r="FG235" s="203"/>
      <c r="FH235" s="203"/>
      <c r="FI235" s="203"/>
      <c r="FJ235" s="203"/>
      <c r="FK235" s="203"/>
      <c r="FL235" s="203"/>
      <c r="FM235" s="203"/>
      <c r="FN235" s="203"/>
    </row>
    <row r="236" spans="1:171" s="230" customFormat="1" ht="11.25" customHeight="1">
      <c r="A236" s="229"/>
      <c r="B236" s="203"/>
      <c r="C236" s="203"/>
      <c r="D236" s="203"/>
      <c r="E236" s="203"/>
      <c r="F236" s="203"/>
      <c r="G236" s="203"/>
      <c r="H236" s="203"/>
      <c r="I236" s="203"/>
      <c r="J236" s="203"/>
      <c r="K236" s="203"/>
      <c r="L236" s="203"/>
      <c r="M236" s="203"/>
      <c r="N236" s="203"/>
      <c r="O236" s="203"/>
      <c r="P236" s="203"/>
      <c r="Q236" s="203"/>
      <c r="R236" s="203"/>
      <c r="S236" s="203"/>
      <c r="T236" s="203"/>
      <c r="U236" s="203"/>
      <c r="V236" s="203"/>
      <c r="W236" s="203"/>
      <c r="X236" s="203"/>
      <c r="Y236" s="203"/>
      <c r="Z236" s="203"/>
      <c r="AA236" s="203"/>
      <c r="AB236" s="203"/>
      <c r="AC236" s="203"/>
      <c r="AD236" s="203"/>
      <c r="AE236" s="203"/>
      <c r="AF236" s="203"/>
      <c r="AG236" s="203"/>
      <c r="AH236" s="203"/>
      <c r="AI236" s="203"/>
      <c r="AJ236" s="203"/>
      <c r="AK236" s="203"/>
      <c r="AL236" s="203"/>
      <c r="AM236" s="203"/>
      <c r="AN236" s="203"/>
      <c r="AO236" s="203"/>
      <c r="AP236" s="203"/>
      <c r="AQ236" s="203"/>
      <c r="AR236" s="203"/>
      <c r="AS236" s="203"/>
      <c r="AT236" s="203"/>
      <c r="AU236" s="203"/>
      <c r="AV236" s="203"/>
      <c r="AW236" s="203"/>
      <c r="AX236" s="203"/>
      <c r="AY236" s="203"/>
      <c r="AZ236" s="203"/>
      <c r="BA236" s="203"/>
      <c r="BB236" s="203"/>
      <c r="BC236" s="203"/>
      <c r="BD236" s="203"/>
      <c r="BE236" s="203"/>
      <c r="BF236" s="203"/>
      <c r="BG236" s="203"/>
      <c r="BH236" s="203"/>
      <c r="BI236" s="203"/>
      <c r="BJ236" s="203"/>
      <c r="BK236" s="203"/>
      <c r="BL236" s="203"/>
      <c r="BM236" s="203"/>
      <c r="BN236" s="203"/>
      <c r="BO236" s="203"/>
      <c r="BP236" s="203"/>
      <c r="BQ236" s="203"/>
      <c r="BR236" s="203"/>
      <c r="BS236" s="203"/>
      <c r="BT236" s="203"/>
      <c r="BU236" s="203"/>
      <c r="BV236" s="203"/>
      <c r="BW236" s="203"/>
      <c r="BX236" s="203"/>
      <c r="BY236" s="203"/>
      <c r="BZ236" s="203"/>
      <c r="CA236" s="203"/>
      <c r="CB236" s="203"/>
      <c r="CC236" s="203"/>
      <c r="CD236" s="203"/>
      <c r="CE236" s="203"/>
      <c r="CF236" s="203"/>
      <c r="CG236" s="203"/>
      <c r="CH236" s="203"/>
      <c r="CI236" s="203"/>
      <c r="CJ236" s="203"/>
      <c r="CK236" s="203"/>
      <c r="CL236" s="203"/>
      <c r="CM236" s="203"/>
      <c r="CN236" s="203"/>
      <c r="CO236" s="203"/>
      <c r="CP236" s="203"/>
      <c r="CQ236" s="203"/>
      <c r="CR236" s="203"/>
      <c r="CS236" s="203"/>
      <c r="CT236" s="203"/>
      <c r="CU236" s="203"/>
      <c r="CV236" s="203"/>
      <c r="CW236" s="203"/>
      <c r="CX236" s="203"/>
      <c r="CY236" s="203"/>
      <c r="CZ236" s="203"/>
      <c r="DA236" s="203"/>
      <c r="DB236" s="203"/>
      <c r="DC236" s="203"/>
      <c r="DD236" s="203"/>
      <c r="DE236" s="203"/>
      <c r="DF236" s="203"/>
      <c r="DG236" s="203"/>
      <c r="DH236" s="203"/>
      <c r="DI236" s="203"/>
      <c r="DJ236" s="203"/>
      <c r="DK236" s="203"/>
      <c r="DL236" s="203"/>
      <c r="DM236" s="203"/>
      <c r="DN236" s="203"/>
      <c r="DO236" s="203"/>
      <c r="DP236" s="203"/>
      <c r="DQ236" s="203"/>
      <c r="DR236" s="203"/>
      <c r="DS236" s="203"/>
      <c r="DT236" s="203"/>
      <c r="DU236" s="203"/>
      <c r="DV236" s="203"/>
      <c r="DW236" s="203"/>
      <c r="DX236" s="203"/>
      <c r="DY236" s="203"/>
      <c r="DZ236" s="203"/>
      <c r="EA236" s="203"/>
      <c r="EB236" s="203"/>
      <c r="EC236" s="203"/>
      <c r="ED236" s="203"/>
      <c r="EE236" s="203"/>
      <c r="EF236" s="203"/>
      <c r="EG236" s="203"/>
      <c r="EH236" s="203"/>
      <c r="EI236" s="203"/>
      <c r="EJ236" s="203"/>
      <c r="EK236" s="203"/>
      <c r="EL236" s="203"/>
      <c r="EM236" s="203"/>
      <c r="EN236" s="203"/>
      <c r="EO236" s="203"/>
      <c r="EP236" s="203"/>
      <c r="EQ236" s="203"/>
      <c r="ER236" s="203"/>
      <c r="ES236" s="203"/>
      <c r="ET236" s="203"/>
      <c r="EU236" s="203"/>
      <c r="EV236" s="203"/>
      <c r="EW236" s="203"/>
      <c r="EX236" s="203"/>
      <c r="EY236" s="203"/>
      <c r="EZ236" s="203"/>
      <c r="FA236" s="203"/>
      <c r="FB236" s="203"/>
      <c r="FC236" s="203"/>
      <c r="FD236" s="203"/>
      <c r="FE236" s="203"/>
      <c r="FF236" s="203"/>
      <c r="FG236" s="203"/>
      <c r="FH236" s="203"/>
      <c r="FI236" s="203"/>
      <c r="FJ236" s="203"/>
      <c r="FK236" s="203"/>
      <c r="FL236" s="203"/>
      <c r="FM236" s="203"/>
      <c r="FN236" s="203"/>
    </row>
    <row r="237" spans="1:171">
      <c r="A237" s="230"/>
    </row>
    <row r="238" spans="1:171">
      <c r="A238" s="230" t="s">
        <v>1589</v>
      </c>
    </row>
    <row r="239" spans="1:171">
      <c r="A239" s="230" t="s">
        <v>1590</v>
      </c>
    </row>
    <row r="240" spans="1:171" s="202" customFormat="1" ht="11.25" customHeight="1">
      <c r="A240" s="230" t="s">
        <v>1591</v>
      </c>
      <c r="B240" s="203"/>
      <c r="C240" s="203"/>
      <c r="D240" s="203"/>
      <c r="E240" s="203"/>
      <c r="F240" s="203"/>
      <c r="G240" s="203"/>
      <c r="H240" s="203"/>
      <c r="I240" s="203"/>
      <c r="J240" s="203"/>
      <c r="K240" s="203"/>
      <c r="L240" s="203"/>
      <c r="M240" s="203"/>
      <c r="N240" s="203"/>
      <c r="O240" s="203"/>
      <c r="P240" s="203"/>
      <c r="Q240" s="203"/>
      <c r="R240" s="203"/>
      <c r="S240" s="203"/>
      <c r="T240" s="203"/>
      <c r="U240" s="203"/>
      <c r="V240" s="203"/>
      <c r="W240" s="203"/>
      <c r="X240" s="203"/>
      <c r="Y240" s="203"/>
      <c r="Z240" s="203"/>
      <c r="AA240" s="203"/>
      <c r="AB240" s="203"/>
      <c r="AC240" s="203"/>
      <c r="AD240" s="203"/>
      <c r="AE240" s="203"/>
      <c r="AF240" s="203"/>
      <c r="AG240" s="203"/>
      <c r="AH240" s="203"/>
      <c r="AI240" s="203"/>
      <c r="AJ240" s="203"/>
      <c r="AK240" s="203"/>
      <c r="AL240" s="203"/>
      <c r="AM240" s="203"/>
      <c r="AN240" s="203"/>
      <c r="AO240" s="203"/>
      <c r="AP240" s="203"/>
      <c r="AQ240" s="203"/>
      <c r="AR240" s="203"/>
      <c r="AS240" s="203"/>
      <c r="AT240" s="203"/>
      <c r="AU240" s="203"/>
      <c r="AV240" s="203"/>
      <c r="AW240" s="203"/>
      <c r="AX240" s="203"/>
      <c r="AY240" s="203"/>
      <c r="AZ240" s="203"/>
      <c r="BA240" s="203"/>
      <c r="BB240" s="203"/>
      <c r="BC240" s="203"/>
      <c r="BD240" s="203"/>
      <c r="BE240" s="203"/>
      <c r="BF240" s="203"/>
      <c r="BG240" s="203"/>
      <c r="BH240" s="203"/>
      <c r="BI240" s="203"/>
      <c r="BJ240" s="203"/>
      <c r="BK240" s="203"/>
      <c r="BL240" s="203"/>
      <c r="BM240" s="203"/>
      <c r="BN240" s="203"/>
      <c r="BO240" s="203"/>
      <c r="BP240" s="203"/>
      <c r="BQ240" s="203"/>
      <c r="BR240" s="203"/>
      <c r="BS240" s="203"/>
      <c r="BT240" s="203"/>
      <c r="BU240" s="203"/>
      <c r="BV240" s="203"/>
      <c r="BW240" s="203"/>
      <c r="BX240" s="203"/>
      <c r="BY240" s="203"/>
      <c r="BZ240" s="203"/>
      <c r="CA240" s="203"/>
      <c r="CB240" s="203"/>
      <c r="CC240" s="203"/>
      <c r="CD240" s="203"/>
      <c r="CE240" s="203"/>
      <c r="CF240" s="203"/>
      <c r="CG240" s="203"/>
      <c r="CH240" s="203"/>
      <c r="CI240" s="203"/>
      <c r="CJ240" s="203"/>
      <c r="CK240" s="203"/>
      <c r="CL240" s="203"/>
      <c r="CM240" s="203"/>
      <c r="CN240" s="203"/>
      <c r="CO240" s="203"/>
      <c r="CP240" s="203"/>
      <c r="CQ240" s="203"/>
      <c r="CR240" s="203"/>
      <c r="CS240" s="203"/>
      <c r="CT240" s="203"/>
      <c r="CU240" s="203"/>
      <c r="CV240" s="203"/>
      <c r="CW240" s="203"/>
      <c r="CX240" s="203"/>
      <c r="CY240" s="203"/>
      <c r="CZ240" s="203"/>
      <c r="DA240" s="203"/>
      <c r="DB240" s="203"/>
      <c r="DC240" s="203"/>
      <c r="DD240" s="203"/>
      <c r="DE240" s="203"/>
      <c r="DF240" s="203"/>
      <c r="DG240" s="203"/>
      <c r="DH240" s="203"/>
      <c r="DI240" s="203"/>
      <c r="DJ240" s="203"/>
      <c r="DK240" s="203"/>
      <c r="DL240" s="203"/>
      <c r="DM240" s="203"/>
      <c r="DN240" s="203"/>
      <c r="DO240" s="203"/>
      <c r="DP240" s="203"/>
      <c r="DQ240" s="203"/>
      <c r="DR240" s="203"/>
      <c r="DS240" s="203"/>
      <c r="DT240" s="203"/>
      <c r="DU240" s="203"/>
      <c r="DV240" s="203"/>
      <c r="DW240" s="203"/>
      <c r="DX240" s="203"/>
      <c r="DY240" s="203"/>
      <c r="DZ240" s="203"/>
      <c r="EA240" s="203"/>
      <c r="EB240" s="203"/>
      <c r="EC240" s="203"/>
      <c r="ED240" s="203"/>
      <c r="EE240" s="203"/>
      <c r="EF240" s="203"/>
      <c r="EG240" s="203"/>
      <c r="EH240" s="203"/>
      <c r="EI240" s="203"/>
      <c r="EJ240" s="203"/>
      <c r="EK240" s="203"/>
      <c r="EL240" s="203"/>
      <c r="EM240" s="203"/>
      <c r="EN240" s="203"/>
      <c r="EO240" s="203"/>
      <c r="EP240" s="203"/>
      <c r="EQ240" s="203"/>
      <c r="ER240" s="203"/>
      <c r="ES240" s="203"/>
      <c r="ET240" s="203"/>
      <c r="EU240" s="203"/>
      <c r="EV240" s="203"/>
      <c r="EW240" s="203"/>
      <c r="EX240" s="203"/>
      <c r="EY240" s="203"/>
      <c r="EZ240" s="203"/>
      <c r="FA240" s="203"/>
      <c r="FB240" s="203"/>
      <c r="FC240" s="203"/>
      <c r="FD240" s="203"/>
      <c r="FE240" s="203"/>
      <c r="FF240" s="203"/>
      <c r="FG240" s="203"/>
      <c r="FH240" s="203"/>
      <c r="FI240" s="203"/>
      <c r="FJ240" s="203"/>
      <c r="FK240" s="203"/>
      <c r="FL240" s="203"/>
      <c r="FM240" s="203"/>
      <c r="FN240" s="203"/>
    </row>
    <row r="241" spans="1:170" s="202" customFormat="1">
      <c r="A241" s="231"/>
      <c r="B241" s="203"/>
      <c r="C241" s="203"/>
      <c r="D241" s="203"/>
      <c r="E241" s="203"/>
      <c r="F241" s="203"/>
      <c r="G241" s="203"/>
      <c r="H241" s="203"/>
      <c r="I241" s="203"/>
      <c r="J241" s="203"/>
      <c r="K241" s="203"/>
      <c r="L241" s="203"/>
      <c r="M241" s="203"/>
      <c r="N241" s="203"/>
      <c r="O241" s="203"/>
      <c r="P241" s="203"/>
      <c r="Q241" s="203"/>
      <c r="R241" s="203"/>
      <c r="S241" s="203"/>
      <c r="T241" s="203"/>
      <c r="U241" s="203"/>
      <c r="V241" s="203"/>
      <c r="W241" s="203"/>
      <c r="X241" s="203"/>
      <c r="Y241" s="203"/>
      <c r="Z241" s="203"/>
      <c r="AA241" s="203"/>
      <c r="AB241" s="203"/>
      <c r="AC241" s="203"/>
      <c r="AD241" s="203"/>
      <c r="AE241" s="203"/>
      <c r="AF241" s="203"/>
      <c r="AG241" s="203"/>
      <c r="AH241" s="203"/>
      <c r="AI241" s="203"/>
      <c r="AJ241" s="203"/>
      <c r="AK241" s="203"/>
      <c r="AL241" s="203"/>
      <c r="AM241" s="203"/>
      <c r="AN241" s="203"/>
      <c r="AO241" s="203"/>
      <c r="AP241" s="203"/>
      <c r="AQ241" s="203"/>
      <c r="AR241" s="203"/>
      <c r="AS241" s="203"/>
      <c r="AT241" s="203"/>
      <c r="AU241" s="203"/>
      <c r="AV241" s="203"/>
      <c r="AW241" s="203"/>
      <c r="AX241" s="203"/>
      <c r="AY241" s="203"/>
      <c r="AZ241" s="203"/>
      <c r="BA241" s="203"/>
      <c r="BB241" s="203"/>
      <c r="BC241" s="203"/>
      <c r="BD241" s="203"/>
      <c r="BE241" s="203"/>
      <c r="BF241" s="203"/>
      <c r="BG241" s="203"/>
      <c r="BH241" s="203"/>
      <c r="BI241" s="203"/>
      <c r="BJ241" s="203"/>
      <c r="BK241" s="203"/>
      <c r="BL241" s="203"/>
      <c r="BM241" s="203"/>
      <c r="BN241" s="203"/>
      <c r="BO241" s="203"/>
      <c r="BP241" s="203"/>
      <c r="BQ241" s="203"/>
      <c r="BR241" s="203"/>
      <c r="BS241" s="203"/>
      <c r="BT241" s="203"/>
      <c r="BU241" s="203"/>
      <c r="BV241" s="203"/>
      <c r="BW241" s="203"/>
      <c r="BX241" s="203"/>
      <c r="BY241" s="203"/>
      <c r="BZ241" s="203"/>
      <c r="CA241" s="203"/>
      <c r="CB241" s="203"/>
      <c r="CC241" s="203"/>
      <c r="CD241" s="203"/>
      <c r="CE241" s="203"/>
      <c r="CF241" s="203"/>
      <c r="CG241" s="203"/>
      <c r="CH241" s="203"/>
      <c r="CI241" s="203"/>
      <c r="CJ241" s="203"/>
      <c r="CK241" s="203"/>
      <c r="CL241" s="203"/>
      <c r="CM241" s="203"/>
      <c r="CN241" s="203"/>
      <c r="CO241" s="203"/>
      <c r="CP241" s="203"/>
      <c r="CQ241" s="203"/>
      <c r="CR241" s="203"/>
      <c r="CS241" s="203"/>
      <c r="CT241" s="203"/>
      <c r="CU241" s="203"/>
      <c r="CV241" s="203"/>
      <c r="CW241" s="203"/>
      <c r="CX241" s="203"/>
      <c r="CY241" s="203"/>
      <c r="CZ241" s="203"/>
      <c r="DA241" s="203"/>
      <c r="DB241" s="203"/>
      <c r="DC241" s="203"/>
      <c r="DD241" s="203"/>
      <c r="DE241" s="203"/>
      <c r="DF241" s="203"/>
      <c r="DG241" s="203"/>
      <c r="DH241" s="203"/>
      <c r="DI241" s="203"/>
      <c r="DJ241" s="203"/>
      <c r="DK241" s="203"/>
      <c r="DL241" s="203"/>
      <c r="DM241" s="203"/>
      <c r="DN241" s="203"/>
      <c r="DO241" s="203"/>
      <c r="DP241" s="203"/>
      <c r="DQ241" s="203"/>
      <c r="DR241" s="203"/>
      <c r="DS241" s="203"/>
      <c r="DT241" s="203"/>
      <c r="DU241" s="203"/>
      <c r="DV241" s="203"/>
      <c r="DW241" s="203"/>
      <c r="DX241" s="203"/>
      <c r="DY241" s="203"/>
      <c r="DZ241" s="203"/>
      <c r="EA241" s="203"/>
      <c r="EB241" s="203"/>
      <c r="EC241" s="203"/>
      <c r="ED241" s="203"/>
      <c r="EE241" s="203"/>
      <c r="EF241" s="203"/>
      <c r="EG241" s="203"/>
      <c r="EH241" s="203"/>
      <c r="EI241" s="203"/>
      <c r="EJ241" s="203"/>
      <c r="EK241" s="203"/>
      <c r="EL241" s="203"/>
      <c r="EM241" s="203"/>
      <c r="EN241" s="203"/>
      <c r="EO241" s="203"/>
      <c r="EP241" s="203"/>
      <c r="EQ241" s="203"/>
      <c r="ER241" s="203"/>
      <c r="ES241" s="203"/>
      <c r="ET241" s="203"/>
      <c r="EU241" s="203"/>
      <c r="EV241" s="203"/>
      <c r="EW241" s="203"/>
      <c r="EX241" s="203"/>
      <c r="EY241" s="203"/>
      <c r="EZ241" s="203"/>
      <c r="FA241" s="203"/>
      <c r="FB241" s="203"/>
      <c r="FC241" s="203"/>
      <c r="FD241" s="203"/>
      <c r="FE241" s="203"/>
      <c r="FF241" s="203"/>
      <c r="FG241" s="203"/>
      <c r="FH241" s="203"/>
      <c r="FI241" s="203"/>
      <c r="FJ241" s="203"/>
      <c r="FK241" s="203"/>
      <c r="FL241" s="203"/>
      <c r="FM241" s="203"/>
      <c r="FN241" s="203"/>
    </row>
    <row r="242" spans="1:170" s="202" customFormat="1">
      <c r="A242" s="153"/>
      <c r="B242" s="203"/>
      <c r="C242" s="203"/>
      <c r="D242" s="203"/>
      <c r="E242" s="203"/>
      <c r="F242" s="203"/>
      <c r="G242" s="203"/>
      <c r="H242" s="203"/>
      <c r="I242" s="203"/>
      <c r="J242" s="203"/>
      <c r="K242" s="203"/>
      <c r="L242" s="203"/>
      <c r="M242" s="203"/>
      <c r="N242" s="203"/>
      <c r="O242" s="203"/>
      <c r="P242" s="203"/>
      <c r="Q242" s="203"/>
      <c r="R242" s="203"/>
      <c r="S242" s="203"/>
      <c r="T242" s="203"/>
      <c r="U242" s="203"/>
      <c r="V242" s="203"/>
      <c r="W242" s="203"/>
      <c r="X242" s="203"/>
      <c r="Y242" s="203"/>
      <c r="Z242" s="203"/>
      <c r="AA242" s="203"/>
      <c r="AB242" s="203"/>
      <c r="AC242" s="203"/>
      <c r="AD242" s="203"/>
      <c r="AE242" s="203"/>
      <c r="AF242" s="203"/>
      <c r="AG242" s="203"/>
      <c r="AH242" s="203"/>
      <c r="AI242" s="203"/>
      <c r="AJ242" s="203"/>
      <c r="AK242" s="203"/>
      <c r="AL242" s="203"/>
      <c r="AM242" s="203"/>
      <c r="AN242" s="203"/>
      <c r="AO242" s="203"/>
      <c r="AP242" s="203"/>
      <c r="AQ242" s="203"/>
      <c r="AR242" s="203"/>
      <c r="AS242" s="203"/>
      <c r="AT242" s="203"/>
      <c r="AU242" s="203"/>
      <c r="AV242" s="203"/>
      <c r="AW242" s="203"/>
      <c r="AX242" s="203"/>
      <c r="AY242" s="203"/>
      <c r="AZ242" s="203"/>
      <c r="BA242" s="203"/>
      <c r="BB242" s="203"/>
      <c r="BC242" s="203"/>
      <c r="BD242" s="203"/>
      <c r="BE242" s="203"/>
      <c r="BF242" s="203"/>
      <c r="BG242" s="203"/>
      <c r="BH242" s="203"/>
      <c r="BI242" s="203"/>
      <c r="BJ242" s="203"/>
      <c r="BK242" s="203"/>
      <c r="BL242" s="203"/>
      <c r="BM242" s="203"/>
      <c r="BN242" s="203"/>
      <c r="BO242" s="203"/>
      <c r="BP242" s="203"/>
      <c r="BQ242" s="203"/>
      <c r="BR242" s="203"/>
      <c r="BS242" s="203"/>
      <c r="BT242" s="203"/>
      <c r="BU242" s="203"/>
      <c r="BV242" s="203"/>
      <c r="BW242" s="203"/>
      <c r="BX242" s="203"/>
      <c r="BY242" s="203"/>
      <c r="BZ242" s="203"/>
      <c r="CA242" s="203"/>
      <c r="CB242" s="203"/>
      <c r="CC242" s="203"/>
      <c r="CD242" s="203"/>
      <c r="CE242" s="203"/>
      <c r="CF242" s="203"/>
      <c r="CG242" s="203"/>
      <c r="CH242" s="203"/>
      <c r="CI242" s="203"/>
      <c r="CJ242" s="203"/>
      <c r="CK242" s="203"/>
      <c r="CL242" s="203"/>
      <c r="CM242" s="203"/>
      <c r="CN242" s="203"/>
      <c r="CO242" s="203"/>
      <c r="CP242" s="203"/>
      <c r="CQ242" s="203"/>
      <c r="CR242" s="203"/>
      <c r="CS242" s="203"/>
      <c r="CT242" s="203"/>
      <c r="CU242" s="203"/>
      <c r="CV242" s="203"/>
      <c r="CW242" s="203"/>
      <c r="CX242" s="203"/>
      <c r="CY242" s="203"/>
      <c r="CZ242" s="203"/>
      <c r="DA242" s="203"/>
      <c r="DB242" s="203"/>
      <c r="DC242" s="203"/>
      <c r="DD242" s="203"/>
      <c r="DE242" s="203"/>
      <c r="DF242" s="203"/>
      <c r="DG242" s="203"/>
      <c r="DH242" s="203"/>
      <c r="DI242" s="203"/>
      <c r="DJ242" s="203"/>
      <c r="DK242" s="203"/>
      <c r="DL242" s="203"/>
      <c r="DM242" s="203"/>
      <c r="DN242" s="203"/>
      <c r="DO242" s="203"/>
      <c r="DP242" s="203"/>
      <c r="DQ242" s="203"/>
      <c r="DR242" s="203"/>
      <c r="DS242" s="203"/>
      <c r="DT242" s="203"/>
      <c r="DU242" s="203"/>
      <c r="DV242" s="203"/>
      <c r="DW242" s="203"/>
      <c r="DX242" s="203"/>
      <c r="DY242" s="203"/>
      <c r="DZ242" s="203"/>
      <c r="EA242" s="203"/>
      <c r="EB242" s="203"/>
      <c r="EC242" s="203"/>
      <c r="ED242" s="203"/>
      <c r="EE242" s="203"/>
      <c r="EF242" s="203"/>
      <c r="EG242" s="203"/>
      <c r="EH242" s="203"/>
      <c r="EI242" s="203"/>
      <c r="EJ242" s="203"/>
      <c r="EK242" s="203"/>
      <c r="EL242" s="203"/>
      <c r="EM242" s="203"/>
      <c r="EN242" s="203"/>
      <c r="EO242" s="203"/>
      <c r="EP242" s="203"/>
      <c r="EQ242" s="203"/>
      <c r="ER242" s="203"/>
      <c r="ES242" s="203"/>
      <c r="ET242" s="203"/>
      <c r="EU242" s="203"/>
      <c r="EV242" s="203"/>
      <c r="EW242" s="203"/>
      <c r="EX242" s="203"/>
      <c r="EY242" s="203"/>
      <c r="EZ242" s="203"/>
      <c r="FA242" s="203"/>
      <c r="FB242" s="203"/>
      <c r="FC242" s="203"/>
      <c r="FD242" s="203"/>
      <c r="FE242" s="203"/>
      <c r="FF242" s="203"/>
      <c r="FG242" s="203"/>
      <c r="FH242" s="203"/>
      <c r="FI242" s="203"/>
      <c r="FJ242" s="203"/>
      <c r="FK242" s="203"/>
      <c r="FL242" s="203"/>
      <c r="FM242" s="203"/>
      <c r="FN242" s="203"/>
    </row>
    <row r="243" spans="1:170" s="202" customFormat="1" ht="9.75" customHeight="1">
      <c r="A243" s="232"/>
      <c r="B243" s="203"/>
      <c r="C243" s="203"/>
      <c r="D243" s="203"/>
      <c r="E243" s="203"/>
      <c r="F243" s="203"/>
      <c r="G243" s="203"/>
      <c r="H243" s="203"/>
      <c r="I243" s="203"/>
      <c r="J243" s="203"/>
      <c r="K243" s="203"/>
      <c r="L243" s="203"/>
      <c r="M243" s="203"/>
      <c r="N243" s="203"/>
      <c r="O243" s="203"/>
      <c r="P243" s="203"/>
      <c r="Q243" s="203"/>
      <c r="R243" s="203"/>
      <c r="S243" s="203"/>
      <c r="T243" s="203"/>
      <c r="U243" s="203"/>
      <c r="V243" s="203"/>
      <c r="W243" s="203"/>
      <c r="X243" s="203"/>
      <c r="Y243" s="203"/>
      <c r="Z243" s="203"/>
      <c r="AA243" s="203"/>
      <c r="AB243" s="203"/>
      <c r="AC243" s="203"/>
      <c r="AD243" s="203"/>
      <c r="AE243" s="203"/>
      <c r="AF243" s="203"/>
      <c r="AG243" s="203"/>
      <c r="AH243" s="203"/>
      <c r="AI243" s="203"/>
      <c r="AJ243" s="203"/>
      <c r="AK243" s="203"/>
      <c r="AL243" s="203"/>
      <c r="AM243" s="203"/>
      <c r="AN243" s="203"/>
      <c r="AO243" s="203"/>
      <c r="AP243" s="203"/>
      <c r="AQ243" s="203"/>
      <c r="AR243" s="203"/>
      <c r="AS243" s="203"/>
      <c r="AT243" s="203"/>
      <c r="AU243" s="203"/>
      <c r="AV243" s="203"/>
      <c r="AW243" s="203"/>
      <c r="AX243" s="203"/>
      <c r="AY243" s="203"/>
      <c r="AZ243" s="203"/>
      <c r="BA243" s="203"/>
      <c r="BB243" s="203"/>
      <c r="BC243" s="203"/>
      <c r="BD243" s="203"/>
      <c r="BE243" s="203"/>
      <c r="BF243" s="203"/>
      <c r="BG243" s="203"/>
      <c r="BH243" s="203"/>
      <c r="BI243" s="203"/>
      <c r="BJ243" s="203"/>
      <c r="BK243" s="203"/>
      <c r="BL243" s="203"/>
      <c r="BM243" s="203"/>
      <c r="BN243" s="203"/>
      <c r="BO243" s="203"/>
      <c r="BP243" s="203"/>
      <c r="BQ243" s="203"/>
      <c r="BR243" s="203"/>
      <c r="BS243" s="203"/>
      <c r="BT243" s="203"/>
      <c r="BU243" s="203"/>
      <c r="BV243" s="203"/>
      <c r="BW243" s="203"/>
      <c r="BX243" s="203"/>
      <c r="BY243" s="203"/>
      <c r="BZ243" s="203"/>
      <c r="CA243" s="203"/>
      <c r="CB243" s="203"/>
      <c r="CC243" s="203"/>
      <c r="CD243" s="203"/>
      <c r="CE243" s="203"/>
      <c r="CF243" s="203"/>
      <c r="CG243" s="203"/>
      <c r="CH243" s="203"/>
      <c r="CI243" s="203"/>
      <c r="CJ243" s="203"/>
      <c r="CK243" s="203"/>
      <c r="CL243" s="203"/>
      <c r="CM243" s="203"/>
      <c r="CN243" s="203"/>
      <c r="CO243" s="203"/>
      <c r="CP243" s="203"/>
      <c r="CQ243" s="203"/>
      <c r="CR243" s="203"/>
      <c r="CS243" s="203"/>
      <c r="CT243" s="203"/>
      <c r="CU243" s="203"/>
      <c r="CV243" s="203"/>
      <c r="CW243" s="203"/>
      <c r="CX243" s="203"/>
      <c r="CY243" s="203"/>
      <c r="CZ243" s="203"/>
      <c r="DA243" s="203"/>
      <c r="DB243" s="203"/>
      <c r="DC243" s="203"/>
      <c r="DD243" s="203"/>
      <c r="DE243" s="203"/>
      <c r="DF243" s="203"/>
      <c r="DG243" s="203"/>
      <c r="DH243" s="203"/>
      <c r="DI243" s="203"/>
      <c r="DJ243" s="203"/>
      <c r="DK243" s="203"/>
      <c r="DL243" s="203"/>
      <c r="DM243" s="203"/>
      <c r="DN243" s="203"/>
      <c r="DO243" s="203"/>
      <c r="DP243" s="203"/>
      <c r="DQ243" s="203"/>
      <c r="DR243" s="203"/>
      <c r="DS243" s="203"/>
      <c r="DT243" s="203"/>
      <c r="DU243" s="203"/>
      <c r="DV243" s="203"/>
      <c r="DW243" s="203"/>
      <c r="DX243" s="203"/>
      <c r="DY243" s="203"/>
      <c r="DZ243" s="203"/>
      <c r="EA243" s="203"/>
      <c r="EB243" s="203"/>
      <c r="EC243" s="203"/>
      <c r="ED243" s="203"/>
      <c r="EE243" s="203"/>
      <c r="EF243" s="203"/>
      <c r="EG243" s="203"/>
      <c r="EH243" s="203"/>
      <c r="EI243" s="203"/>
      <c r="EJ243" s="203"/>
      <c r="EK243" s="203"/>
      <c r="EL243" s="203"/>
      <c r="EM243" s="203"/>
      <c r="EN243" s="203"/>
      <c r="EO243" s="203"/>
      <c r="EP243" s="203"/>
      <c r="EQ243" s="203"/>
      <c r="ER243" s="203"/>
      <c r="ES243" s="203"/>
      <c r="ET243" s="203"/>
      <c r="EU243" s="203"/>
      <c r="EV243" s="203"/>
      <c r="EW243" s="203"/>
      <c r="EX243" s="203"/>
      <c r="EY243" s="203"/>
      <c r="EZ243" s="203"/>
      <c r="FA243" s="203"/>
      <c r="FB243" s="203"/>
      <c r="FC243" s="203"/>
      <c r="FD243" s="203"/>
      <c r="FE243" s="203"/>
      <c r="FF243" s="203"/>
      <c r="FG243" s="203"/>
      <c r="FH243" s="203"/>
      <c r="FI243" s="203"/>
      <c r="FJ243" s="203"/>
      <c r="FK243" s="203"/>
      <c r="FL243" s="203"/>
      <c r="FM243" s="203"/>
      <c r="FN243" s="203"/>
    </row>
    <row r="244" spans="1:170" s="202" customFormat="1">
      <c r="A244" s="230"/>
      <c r="B244" s="203"/>
      <c r="C244" s="203"/>
      <c r="D244" s="203"/>
      <c r="E244" s="203"/>
      <c r="F244" s="203"/>
      <c r="G244" s="203"/>
      <c r="H244" s="203"/>
      <c r="I244" s="203"/>
      <c r="J244" s="203"/>
      <c r="K244" s="203"/>
      <c r="L244" s="203"/>
      <c r="M244" s="203"/>
      <c r="N244" s="203"/>
      <c r="O244" s="203"/>
      <c r="P244" s="203"/>
      <c r="Q244" s="203"/>
      <c r="R244" s="203"/>
      <c r="S244" s="203"/>
      <c r="T244" s="203"/>
      <c r="U244" s="203"/>
      <c r="V244" s="203"/>
      <c r="W244" s="203"/>
      <c r="X244" s="203"/>
      <c r="Y244" s="203"/>
      <c r="Z244" s="203"/>
      <c r="AA244" s="203"/>
      <c r="AB244" s="203"/>
      <c r="AC244" s="203"/>
      <c r="AD244" s="203"/>
      <c r="AE244" s="203"/>
      <c r="AF244" s="203"/>
      <c r="AG244" s="203"/>
      <c r="AH244" s="203"/>
      <c r="AI244" s="203"/>
      <c r="AJ244" s="203"/>
      <c r="AK244" s="203"/>
      <c r="AL244" s="203"/>
      <c r="AM244" s="203"/>
      <c r="AN244" s="203"/>
      <c r="AO244" s="203"/>
      <c r="AP244" s="203"/>
      <c r="AQ244" s="203"/>
      <c r="AR244" s="203"/>
      <c r="AS244" s="203"/>
      <c r="AT244" s="203"/>
      <c r="AU244" s="203"/>
      <c r="AV244" s="203"/>
      <c r="AW244" s="203"/>
      <c r="AX244" s="203"/>
      <c r="AY244" s="203"/>
      <c r="AZ244" s="203"/>
      <c r="BA244" s="203"/>
      <c r="BB244" s="203"/>
      <c r="BC244" s="203"/>
      <c r="BD244" s="203"/>
      <c r="BE244" s="203"/>
      <c r="BF244" s="203"/>
      <c r="BG244" s="203"/>
      <c r="BH244" s="203"/>
      <c r="BI244" s="203"/>
      <c r="BJ244" s="203"/>
      <c r="BK244" s="203"/>
      <c r="BL244" s="203"/>
      <c r="BM244" s="203"/>
      <c r="BN244" s="203"/>
      <c r="BO244" s="203"/>
      <c r="BP244" s="203"/>
      <c r="BQ244" s="203"/>
      <c r="BR244" s="203"/>
      <c r="BS244" s="203"/>
      <c r="BT244" s="203"/>
      <c r="BU244" s="203"/>
      <c r="BV244" s="203"/>
      <c r="BW244" s="203"/>
      <c r="BX244" s="203"/>
      <c r="BY244" s="203"/>
      <c r="BZ244" s="203"/>
      <c r="CA244" s="203"/>
      <c r="CB244" s="203"/>
      <c r="CC244" s="203"/>
      <c r="CD244" s="203"/>
      <c r="CE244" s="203"/>
      <c r="CF244" s="203"/>
      <c r="CG244" s="203"/>
      <c r="CH244" s="203"/>
      <c r="CI244" s="203"/>
      <c r="CJ244" s="203"/>
      <c r="CK244" s="203"/>
      <c r="CL244" s="203"/>
      <c r="CM244" s="203"/>
      <c r="CN244" s="203"/>
      <c r="CO244" s="203"/>
      <c r="CP244" s="203"/>
      <c r="CQ244" s="203"/>
      <c r="CR244" s="203"/>
      <c r="CS244" s="203"/>
      <c r="CT244" s="203"/>
      <c r="CU244" s="203"/>
      <c r="CV244" s="203"/>
      <c r="CW244" s="203"/>
      <c r="CX244" s="203"/>
      <c r="CY244" s="203"/>
      <c r="CZ244" s="203"/>
      <c r="DA244" s="203"/>
      <c r="DB244" s="203"/>
      <c r="DC244" s="203"/>
      <c r="DD244" s="203"/>
      <c r="DE244" s="203"/>
      <c r="DF244" s="203"/>
      <c r="DG244" s="203"/>
      <c r="DH244" s="203"/>
      <c r="DI244" s="203"/>
      <c r="DJ244" s="203"/>
      <c r="DK244" s="203"/>
      <c r="DL244" s="203"/>
      <c r="DM244" s="203"/>
      <c r="DN244" s="203"/>
      <c r="DO244" s="203"/>
      <c r="DP244" s="203"/>
      <c r="DQ244" s="203"/>
      <c r="DR244" s="203"/>
      <c r="DS244" s="203"/>
      <c r="DT244" s="203"/>
      <c r="DU244" s="203"/>
      <c r="DV244" s="203"/>
      <c r="DW244" s="203"/>
      <c r="DX244" s="203"/>
      <c r="DY244" s="203"/>
      <c r="DZ244" s="203"/>
      <c r="EA244" s="203"/>
      <c r="EB244" s="203"/>
      <c r="EC244" s="203"/>
      <c r="ED244" s="203"/>
      <c r="EE244" s="203"/>
      <c r="EF244" s="203"/>
      <c r="EG244" s="203"/>
      <c r="EH244" s="203"/>
      <c r="EI244" s="203"/>
      <c r="EJ244" s="203"/>
      <c r="EK244" s="203"/>
      <c r="EL244" s="203"/>
      <c r="EM244" s="203"/>
      <c r="EN244" s="203"/>
      <c r="EO244" s="203"/>
      <c r="EP244" s="203"/>
      <c r="EQ244" s="203"/>
      <c r="ER244" s="203"/>
      <c r="ES244" s="203"/>
      <c r="ET244" s="203"/>
      <c r="EU244" s="203"/>
      <c r="EV244" s="203"/>
      <c r="EW244" s="203"/>
      <c r="EX244" s="203"/>
      <c r="EY244" s="203"/>
      <c r="EZ244" s="203"/>
      <c r="FA244" s="203"/>
      <c r="FB244" s="203"/>
      <c r="FC244" s="203"/>
      <c r="FD244" s="203"/>
      <c r="FE244" s="203"/>
      <c r="FF244" s="203"/>
      <c r="FG244" s="203"/>
      <c r="FH244" s="203"/>
      <c r="FI244" s="203"/>
      <c r="FJ244" s="203"/>
      <c r="FK244" s="203"/>
      <c r="FL244" s="203"/>
      <c r="FM244" s="203"/>
      <c r="FN244" s="203"/>
    </row>
    <row r="245" spans="1:170" s="202" customFormat="1">
      <c r="A245" s="230"/>
      <c r="B245" s="203"/>
      <c r="C245" s="203"/>
      <c r="D245" s="203"/>
      <c r="E245" s="203"/>
      <c r="F245" s="203"/>
      <c r="G245" s="203"/>
      <c r="H245" s="203"/>
      <c r="I245" s="203"/>
      <c r="J245" s="203"/>
      <c r="K245" s="203"/>
      <c r="L245" s="203"/>
      <c r="M245" s="203"/>
      <c r="N245" s="203"/>
      <c r="O245" s="203"/>
      <c r="P245" s="203"/>
      <c r="Q245" s="203"/>
      <c r="R245" s="203"/>
      <c r="S245" s="203"/>
      <c r="T245" s="203"/>
      <c r="U245" s="203"/>
      <c r="V245" s="203"/>
      <c r="W245" s="203"/>
      <c r="X245" s="203"/>
      <c r="Y245" s="203"/>
      <c r="Z245" s="203"/>
      <c r="AA245" s="203"/>
      <c r="AB245" s="203"/>
      <c r="AC245" s="203"/>
      <c r="AD245" s="203"/>
      <c r="AE245" s="203"/>
      <c r="AF245" s="203"/>
      <c r="AG245" s="203"/>
      <c r="AH245" s="203"/>
      <c r="AI245" s="203"/>
      <c r="AJ245" s="203"/>
      <c r="AK245" s="203"/>
      <c r="AL245" s="203"/>
      <c r="AM245" s="203"/>
      <c r="AN245" s="203"/>
      <c r="AO245" s="203"/>
      <c r="AP245" s="203"/>
      <c r="AQ245" s="203"/>
      <c r="AR245" s="203"/>
      <c r="AS245" s="203"/>
      <c r="AT245" s="203"/>
      <c r="AU245" s="203"/>
      <c r="AV245" s="203"/>
      <c r="AW245" s="203"/>
      <c r="AX245" s="203"/>
      <c r="AY245" s="203"/>
      <c r="AZ245" s="203"/>
      <c r="BA245" s="203"/>
      <c r="BB245" s="203"/>
      <c r="BC245" s="203"/>
      <c r="BD245" s="203"/>
      <c r="BE245" s="203"/>
      <c r="BF245" s="203"/>
      <c r="BG245" s="203"/>
      <c r="BH245" s="203"/>
      <c r="BI245" s="203"/>
      <c r="BJ245" s="203"/>
      <c r="BK245" s="203"/>
      <c r="BL245" s="203"/>
      <c r="BM245" s="203"/>
      <c r="BN245" s="203"/>
      <c r="BO245" s="203"/>
      <c r="BP245" s="203"/>
      <c r="BQ245" s="203"/>
      <c r="BR245" s="203"/>
      <c r="BS245" s="203"/>
      <c r="BT245" s="203"/>
      <c r="BU245" s="203"/>
      <c r="BV245" s="203"/>
      <c r="BW245" s="203"/>
      <c r="BX245" s="203"/>
      <c r="BY245" s="203"/>
      <c r="BZ245" s="203"/>
      <c r="CA245" s="203"/>
      <c r="CB245" s="203"/>
      <c r="CC245" s="203"/>
      <c r="CD245" s="203"/>
      <c r="CE245" s="203"/>
      <c r="CF245" s="203"/>
      <c r="CG245" s="203"/>
      <c r="CH245" s="203"/>
      <c r="CI245" s="203"/>
      <c r="CJ245" s="203"/>
      <c r="CK245" s="203"/>
      <c r="CL245" s="203"/>
      <c r="CM245" s="203"/>
      <c r="CN245" s="203"/>
      <c r="CO245" s="203"/>
      <c r="CP245" s="203"/>
      <c r="CQ245" s="203"/>
      <c r="CR245" s="203"/>
      <c r="CS245" s="203"/>
      <c r="CT245" s="203"/>
      <c r="CU245" s="203"/>
      <c r="CV245" s="203"/>
      <c r="CW245" s="203"/>
      <c r="CX245" s="203"/>
      <c r="CY245" s="203"/>
      <c r="CZ245" s="203"/>
      <c r="DA245" s="203"/>
      <c r="DB245" s="203"/>
      <c r="DC245" s="203"/>
      <c r="DD245" s="203"/>
      <c r="DE245" s="203"/>
      <c r="DF245" s="203"/>
      <c r="DG245" s="203"/>
      <c r="DH245" s="203"/>
      <c r="DI245" s="203"/>
      <c r="DJ245" s="203"/>
      <c r="DK245" s="203"/>
      <c r="DL245" s="203"/>
      <c r="DM245" s="203"/>
      <c r="DN245" s="203"/>
      <c r="DO245" s="203"/>
      <c r="DP245" s="203"/>
      <c r="DQ245" s="203"/>
      <c r="DR245" s="203"/>
      <c r="DS245" s="203"/>
      <c r="DT245" s="203"/>
      <c r="DU245" s="203"/>
      <c r="DV245" s="203"/>
      <c r="DW245" s="203"/>
      <c r="DX245" s="203"/>
      <c r="DY245" s="203"/>
      <c r="DZ245" s="203"/>
      <c r="EA245" s="203"/>
      <c r="EB245" s="203"/>
      <c r="EC245" s="203"/>
      <c r="ED245" s="203"/>
      <c r="EE245" s="203"/>
      <c r="EF245" s="203"/>
      <c r="EG245" s="203"/>
      <c r="EH245" s="203"/>
      <c r="EI245" s="203"/>
      <c r="EJ245" s="203"/>
      <c r="EK245" s="203"/>
      <c r="EL245" s="203"/>
      <c r="EM245" s="203"/>
      <c r="EN245" s="203"/>
      <c r="EO245" s="203"/>
      <c r="EP245" s="203"/>
      <c r="EQ245" s="203"/>
      <c r="ER245" s="203"/>
      <c r="ES245" s="203"/>
      <c r="ET245" s="203"/>
      <c r="EU245" s="203"/>
      <c r="EV245" s="203"/>
      <c r="EW245" s="203"/>
      <c r="EX245" s="203"/>
      <c r="EY245" s="203"/>
      <c r="EZ245" s="203"/>
      <c r="FA245" s="203"/>
      <c r="FB245" s="203"/>
      <c r="FC245" s="203"/>
      <c r="FD245" s="203"/>
      <c r="FE245" s="203"/>
      <c r="FF245" s="203"/>
      <c r="FG245" s="203"/>
      <c r="FH245" s="203"/>
      <c r="FI245" s="203"/>
      <c r="FJ245" s="203"/>
      <c r="FK245" s="203"/>
      <c r="FL245" s="203"/>
      <c r="FM245" s="203"/>
      <c r="FN245" s="203"/>
    </row>
    <row r="246" spans="1:170" s="202" customFormat="1">
      <c r="A246" s="230"/>
      <c r="B246" s="203"/>
      <c r="C246" s="203"/>
      <c r="D246" s="203"/>
      <c r="E246" s="203"/>
      <c r="F246" s="203"/>
      <c r="G246" s="203"/>
      <c r="H246" s="203"/>
      <c r="I246" s="203"/>
      <c r="J246" s="203"/>
      <c r="K246" s="203"/>
      <c r="L246" s="203"/>
      <c r="M246" s="203"/>
      <c r="N246" s="203"/>
      <c r="O246" s="203"/>
      <c r="P246" s="203"/>
      <c r="Q246" s="203"/>
      <c r="R246" s="203"/>
      <c r="S246" s="203"/>
      <c r="T246" s="203"/>
      <c r="U246" s="203"/>
      <c r="V246" s="203"/>
      <c r="W246" s="203"/>
      <c r="X246" s="203"/>
      <c r="Y246" s="203"/>
      <c r="Z246" s="203"/>
      <c r="AA246" s="203"/>
      <c r="AB246" s="203"/>
      <c r="AC246" s="203"/>
      <c r="AD246" s="203"/>
      <c r="AE246" s="203"/>
      <c r="AF246" s="203"/>
      <c r="AG246" s="203"/>
      <c r="AH246" s="203"/>
      <c r="AI246" s="203"/>
      <c r="AJ246" s="203"/>
      <c r="AK246" s="203"/>
      <c r="AL246" s="203"/>
      <c r="AM246" s="203"/>
      <c r="AN246" s="203"/>
      <c r="AO246" s="203"/>
      <c r="AP246" s="203"/>
      <c r="AQ246" s="203"/>
      <c r="AR246" s="203"/>
      <c r="AS246" s="203"/>
      <c r="AT246" s="203"/>
      <c r="AU246" s="203"/>
      <c r="AV246" s="203"/>
      <c r="AW246" s="203"/>
      <c r="AX246" s="203"/>
      <c r="AY246" s="203"/>
      <c r="AZ246" s="203"/>
      <c r="BA246" s="203"/>
      <c r="BB246" s="203"/>
      <c r="BC246" s="203"/>
      <c r="BD246" s="203"/>
      <c r="BE246" s="203"/>
      <c r="BF246" s="203"/>
      <c r="BG246" s="203"/>
      <c r="BH246" s="203"/>
      <c r="BI246" s="203"/>
      <c r="BJ246" s="203"/>
      <c r="BK246" s="203"/>
      <c r="BL246" s="203"/>
      <c r="BM246" s="203"/>
      <c r="BN246" s="203"/>
      <c r="BO246" s="203"/>
      <c r="BP246" s="203"/>
      <c r="BQ246" s="203"/>
      <c r="BR246" s="203"/>
      <c r="BS246" s="203"/>
      <c r="BT246" s="203"/>
      <c r="BU246" s="203"/>
      <c r="BV246" s="203"/>
      <c r="BW246" s="203"/>
      <c r="BX246" s="203"/>
      <c r="BY246" s="203"/>
      <c r="BZ246" s="203"/>
      <c r="CA246" s="203"/>
      <c r="CB246" s="203"/>
      <c r="CC246" s="203"/>
      <c r="CD246" s="203"/>
      <c r="CE246" s="203"/>
      <c r="CF246" s="203"/>
      <c r="CG246" s="203"/>
      <c r="CH246" s="203"/>
      <c r="CI246" s="203"/>
      <c r="CJ246" s="203"/>
      <c r="CK246" s="203"/>
      <c r="CL246" s="203"/>
      <c r="CM246" s="203"/>
      <c r="CN246" s="203"/>
      <c r="CO246" s="203"/>
      <c r="CP246" s="203"/>
      <c r="CQ246" s="203"/>
      <c r="CR246" s="203"/>
      <c r="CS246" s="203"/>
      <c r="CT246" s="203"/>
      <c r="CU246" s="203"/>
      <c r="CV246" s="203"/>
      <c r="CW246" s="203"/>
      <c r="CX246" s="203"/>
      <c r="CY246" s="203"/>
      <c r="CZ246" s="203"/>
      <c r="DA246" s="203"/>
      <c r="DB246" s="203"/>
      <c r="DC246" s="203"/>
      <c r="DD246" s="203"/>
      <c r="DE246" s="203"/>
      <c r="DF246" s="203"/>
      <c r="DG246" s="203"/>
      <c r="DH246" s="203"/>
      <c r="DI246" s="203"/>
      <c r="DJ246" s="203"/>
      <c r="DK246" s="203"/>
      <c r="DL246" s="203"/>
      <c r="DM246" s="203"/>
      <c r="DN246" s="203"/>
      <c r="DO246" s="203"/>
      <c r="DP246" s="203"/>
      <c r="DQ246" s="203"/>
      <c r="DR246" s="203"/>
      <c r="DS246" s="203"/>
      <c r="DT246" s="203"/>
      <c r="DU246" s="203"/>
      <c r="DV246" s="203"/>
      <c r="DW246" s="203"/>
      <c r="DX246" s="203"/>
      <c r="DY246" s="203"/>
      <c r="DZ246" s="203"/>
      <c r="EA246" s="203"/>
      <c r="EB246" s="203"/>
      <c r="EC246" s="203"/>
      <c r="ED246" s="203"/>
      <c r="EE246" s="203"/>
      <c r="EF246" s="203"/>
      <c r="EG246" s="203"/>
      <c r="EH246" s="203"/>
      <c r="EI246" s="203"/>
      <c r="EJ246" s="203"/>
      <c r="EK246" s="203"/>
      <c r="EL246" s="203"/>
      <c r="EM246" s="203"/>
      <c r="EN246" s="203"/>
      <c r="EO246" s="203"/>
      <c r="EP246" s="203"/>
      <c r="EQ246" s="203"/>
      <c r="ER246" s="203"/>
      <c r="ES246" s="203"/>
      <c r="ET246" s="203"/>
      <c r="EU246" s="203"/>
      <c r="EV246" s="203"/>
      <c r="EW246" s="203"/>
      <c r="EX246" s="203"/>
      <c r="EY246" s="203"/>
      <c r="EZ246" s="203"/>
      <c r="FA246" s="203"/>
      <c r="FB246" s="203"/>
      <c r="FC246" s="203"/>
      <c r="FD246" s="203"/>
      <c r="FE246" s="203"/>
      <c r="FF246" s="203"/>
      <c r="FG246" s="203"/>
      <c r="FH246" s="203"/>
      <c r="FI246" s="203"/>
      <c r="FJ246" s="203"/>
      <c r="FK246" s="203"/>
      <c r="FL246" s="203"/>
      <c r="FM246" s="203"/>
      <c r="FN246" s="203"/>
    </row>
  </sheetData>
  <autoFilter ref="A1:XBC253"/>
  <mergeCells count="1">
    <mergeCell ref="A2:J2"/>
  </mergeCells>
  <printOptions horizontalCentered="1"/>
  <pageMargins left="0" right="0" top="0.39370078740157483" bottom="0.39370078740157483" header="0" footer="0"/>
  <pageSetup paperSize="9" scale="70" fitToHeight="0" orientation="landscape" r:id="rId1"/>
  <headerFooter alignWithMargins="0">
    <oddFooter>Стр.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FI42"/>
  <sheetViews>
    <sheetView topLeftCell="A25" workbookViewId="0">
      <selection activeCell="A42" sqref="A42"/>
    </sheetView>
  </sheetViews>
  <sheetFormatPr defaultColWidth="80.42578125" defaultRowHeight="15.75"/>
  <cols>
    <col min="1" max="1" width="80.42578125" style="106"/>
    <col min="2" max="2" width="17.7109375" style="106" customWidth="1"/>
    <col min="3" max="16384" width="80.42578125" style="106"/>
  </cols>
  <sheetData>
    <row r="1" spans="1:2">
      <c r="A1" s="390"/>
      <c r="B1" s="391" t="s">
        <v>1431</v>
      </c>
    </row>
    <row r="3" spans="1:2">
      <c r="A3" s="784" t="s">
        <v>1277</v>
      </c>
      <c r="B3" s="784"/>
    </row>
    <row r="4" spans="1:2">
      <c r="A4" s="784" t="s">
        <v>1278</v>
      </c>
      <c r="B4" s="784"/>
    </row>
    <row r="6" spans="1:2">
      <c r="A6" s="206" t="s">
        <v>755</v>
      </c>
      <c r="B6" s="206" t="s">
        <v>1279</v>
      </c>
    </row>
    <row r="7" spans="1:2" s="214" customFormat="1">
      <c r="A7" s="219" t="s">
        <v>1134</v>
      </c>
      <c r="B7" s="220">
        <v>90000</v>
      </c>
    </row>
    <row r="8" spans="1:2" s="214" customFormat="1" ht="31.5">
      <c r="A8" s="219" t="s">
        <v>1133</v>
      </c>
      <c r="B8" s="220">
        <v>100000</v>
      </c>
    </row>
    <row r="9" spans="1:2" s="214" customFormat="1">
      <c r="A9" s="219" t="s">
        <v>1314</v>
      </c>
      <c r="B9" s="220">
        <f>370000-185000</f>
        <v>185000</v>
      </c>
    </row>
    <row r="10" spans="1:2" s="214" customFormat="1" ht="31.5">
      <c r="A10" s="216" t="s">
        <v>1136</v>
      </c>
      <c r="B10" s="220">
        <v>1557717</v>
      </c>
    </row>
    <row r="11" spans="1:2" s="214" customFormat="1">
      <c r="A11" s="216" t="s">
        <v>1533</v>
      </c>
      <c r="B11" s="220">
        <v>72849</v>
      </c>
    </row>
    <row r="12" spans="1:2" s="214" customFormat="1">
      <c r="A12" s="225" t="s">
        <v>1137</v>
      </c>
      <c r="B12" s="220">
        <v>450000</v>
      </c>
    </row>
    <row r="13" spans="1:2" s="214" customFormat="1">
      <c r="A13" s="219" t="s">
        <v>756</v>
      </c>
      <c r="B13" s="220">
        <v>20000</v>
      </c>
    </row>
    <row r="14" spans="1:2" s="214" customFormat="1">
      <c r="A14" s="225" t="s">
        <v>567</v>
      </c>
      <c r="B14" s="220">
        <v>500000</v>
      </c>
    </row>
    <row r="15" spans="1:2" s="214" customFormat="1" ht="31.5">
      <c r="A15" s="227" t="s">
        <v>1143</v>
      </c>
      <c r="B15" s="220">
        <v>66000</v>
      </c>
    </row>
    <row r="16" spans="1:2" s="214" customFormat="1" ht="31.5">
      <c r="A16" s="227" t="s">
        <v>1315</v>
      </c>
      <c r="B16" s="220">
        <v>492000</v>
      </c>
    </row>
    <row r="17" spans="1:165" s="214" customFormat="1" ht="31.5">
      <c r="A17" s="219" t="s">
        <v>1144</v>
      </c>
      <c r="B17" s="220">
        <v>1028823</v>
      </c>
      <c r="EP17" s="111"/>
      <c r="EQ17" s="111"/>
      <c r="ER17" s="111"/>
      <c r="ES17" s="111"/>
      <c r="ET17" s="111"/>
      <c r="EU17" s="111"/>
      <c r="EV17" s="111"/>
      <c r="EW17" s="111"/>
      <c r="EX17" s="111"/>
      <c r="EY17" s="111"/>
      <c r="EZ17" s="111"/>
      <c r="FA17" s="111"/>
      <c r="FB17" s="111"/>
      <c r="FC17" s="111"/>
      <c r="FD17" s="111"/>
      <c r="FE17" s="111"/>
      <c r="FF17" s="111"/>
      <c r="FG17" s="111"/>
      <c r="FH17" s="111"/>
      <c r="FI17" s="111"/>
    </row>
    <row r="18" spans="1:165" s="214" customFormat="1" ht="31.5">
      <c r="A18" s="226" t="s">
        <v>1313</v>
      </c>
      <c r="B18" s="220">
        <v>305000</v>
      </c>
      <c r="EP18" s="111"/>
      <c r="EQ18" s="111"/>
      <c r="ER18" s="111"/>
      <c r="ES18" s="111"/>
      <c r="ET18" s="111"/>
      <c r="EU18" s="111"/>
      <c r="EV18" s="111"/>
      <c r="EW18" s="111"/>
      <c r="EX18" s="111"/>
      <c r="EY18" s="111"/>
      <c r="EZ18" s="111"/>
      <c r="FA18" s="111"/>
      <c r="FB18" s="111"/>
      <c r="FC18" s="111"/>
      <c r="FD18" s="111"/>
      <c r="FE18" s="111"/>
      <c r="FF18" s="111"/>
      <c r="FG18" s="111"/>
      <c r="FH18" s="111"/>
      <c r="FI18" s="111"/>
    </row>
    <row r="19" spans="1:165" s="214" customFormat="1" ht="47.25">
      <c r="A19" s="226" t="s">
        <v>576</v>
      </c>
      <c r="B19" s="220">
        <v>55000</v>
      </c>
    </row>
    <row r="20" spans="1:165" s="214" customFormat="1">
      <c r="A20" s="226" t="s">
        <v>1312</v>
      </c>
      <c r="B20" s="220">
        <v>140000</v>
      </c>
    </row>
    <row r="21" spans="1:165" s="214" customFormat="1">
      <c r="A21" s="226" t="s">
        <v>1147</v>
      </c>
      <c r="B21" s="220">
        <v>5000</v>
      </c>
    </row>
    <row r="22" spans="1:165" s="214" customFormat="1" ht="31.5">
      <c r="A22" s="219" t="s">
        <v>1148</v>
      </c>
      <c r="B22" s="220">
        <v>80000</v>
      </c>
    </row>
    <row r="23" spans="1:165" s="214" customFormat="1">
      <c r="A23" s="219" t="s">
        <v>759</v>
      </c>
      <c r="B23" s="220">
        <v>20000</v>
      </c>
    </row>
    <row r="24" spans="1:165" s="214" customFormat="1">
      <c r="A24" s="216" t="s">
        <v>579</v>
      </c>
      <c r="B24" s="220">
        <v>38466</v>
      </c>
    </row>
    <row r="25" spans="1:165" s="214" customFormat="1" ht="31.5">
      <c r="A25" s="225" t="s">
        <v>1152</v>
      </c>
      <c r="B25" s="228">
        <v>1550000</v>
      </c>
      <c r="EP25" s="111"/>
      <c r="EQ25" s="111"/>
      <c r="ER25" s="111"/>
      <c r="ES25" s="111"/>
      <c r="ET25" s="111"/>
      <c r="EU25" s="111"/>
      <c r="EV25" s="111"/>
      <c r="EW25" s="111"/>
      <c r="EX25" s="111"/>
      <c r="EY25" s="111"/>
      <c r="EZ25" s="111"/>
      <c r="FA25" s="111"/>
      <c r="FB25" s="111"/>
      <c r="FC25" s="111"/>
      <c r="FD25" s="111"/>
      <c r="FE25" s="111"/>
      <c r="FF25" s="111"/>
      <c r="FG25" s="111"/>
      <c r="FH25" s="111"/>
      <c r="FI25" s="111"/>
    </row>
    <row r="26" spans="1:165" s="214" customFormat="1" ht="31.5">
      <c r="A26" s="225" t="s">
        <v>1153</v>
      </c>
      <c r="B26" s="220">
        <v>100000</v>
      </c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</row>
    <row r="27" spans="1:165" s="344" customFormat="1">
      <c r="A27" s="342" t="s">
        <v>1280</v>
      </c>
      <c r="B27" s="343">
        <f>SUM(B7:B26)</f>
        <v>6855855</v>
      </c>
    </row>
    <row r="30" spans="1:165">
      <c r="A30" s="338"/>
    </row>
    <row r="31" spans="1:165">
      <c r="A31" s="339"/>
    </row>
    <row r="32" spans="1:165">
      <c r="A32" s="229"/>
    </row>
    <row r="33" spans="1:1">
      <c r="A33" s="230" t="s">
        <v>1589</v>
      </c>
    </row>
    <row r="34" spans="1:1">
      <c r="A34" s="230" t="s">
        <v>1590</v>
      </c>
    </row>
    <row r="35" spans="1:1">
      <c r="A35" s="230" t="s">
        <v>1591</v>
      </c>
    </row>
    <row r="36" spans="1:1">
      <c r="A36" s="230"/>
    </row>
    <row r="37" spans="1:1">
      <c r="A37" s="231"/>
    </row>
    <row r="38" spans="1:1">
      <c r="A38" s="153"/>
    </row>
    <row r="39" spans="1:1">
      <c r="A39" s="232"/>
    </row>
    <row r="40" spans="1:1">
      <c r="A40" s="230"/>
    </row>
    <row r="41" spans="1:1">
      <c r="A41" s="230"/>
    </row>
    <row r="42" spans="1:1">
      <c r="A42" s="230"/>
    </row>
  </sheetData>
  <mergeCells count="2">
    <mergeCell ref="A3:B3"/>
    <mergeCell ref="A4:B4"/>
  </mergeCells>
  <pageMargins left="0.70866141732283472" right="0.70866141732283472" top="0.74803149606299213" bottom="0.74803149606299213" header="0.31496062992125984" footer="0.31496062992125984"/>
  <pageSetup paperSize="9" scale="88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A5"/>
  <sheetViews>
    <sheetView zoomScaleNormal="100" workbookViewId="0">
      <selection activeCell="B9" sqref="B9"/>
    </sheetView>
  </sheetViews>
  <sheetFormatPr defaultRowHeight="15"/>
  <sheetData>
    <row r="2" spans="1:1">
      <c r="A2" t="s">
        <v>1281</v>
      </c>
    </row>
    <row r="5" spans="1:1">
      <c r="A5" t="s">
        <v>1524</v>
      </c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I50"/>
  <sheetViews>
    <sheetView topLeftCell="A16" workbookViewId="0">
      <selection activeCell="A30" sqref="A30"/>
    </sheetView>
  </sheetViews>
  <sheetFormatPr defaultColWidth="32" defaultRowHeight="15.75"/>
  <cols>
    <col min="1" max="1" width="32" style="106"/>
    <col min="2" max="2" width="24.28515625" style="106" customWidth="1"/>
    <col min="3" max="3" width="28" style="106" customWidth="1"/>
    <col min="4" max="4" width="25.5703125" style="106" customWidth="1"/>
    <col min="5" max="16384" width="32" style="106"/>
  </cols>
  <sheetData>
    <row r="1" spans="1:9">
      <c r="D1" s="130" t="s">
        <v>1319</v>
      </c>
    </row>
    <row r="2" spans="1:9" s="300" customFormat="1"/>
    <row r="3" spans="1:9" s="300" customFormat="1"/>
    <row r="4" spans="1:9" s="300" customFormat="1">
      <c r="A4" s="787" t="s">
        <v>659</v>
      </c>
      <c r="B4" s="787"/>
      <c r="C4" s="787"/>
      <c r="D4" s="787"/>
    </row>
    <row r="5" spans="1:9" s="300" customFormat="1">
      <c r="A5" s="787" t="s">
        <v>99</v>
      </c>
      <c r="B5" s="787"/>
      <c r="C5" s="787"/>
      <c r="D5" s="787"/>
    </row>
    <row r="6" spans="1:9" s="300" customFormat="1">
      <c r="A6" s="392"/>
      <c r="B6" s="392"/>
      <c r="C6" s="392"/>
      <c r="D6" s="392"/>
    </row>
    <row r="7" spans="1:9" s="300" customFormat="1">
      <c r="A7" s="392"/>
      <c r="B7" s="392"/>
      <c r="C7" s="392"/>
      <c r="D7" s="392"/>
    </row>
    <row r="8" spans="1:9" s="300" customFormat="1" ht="16.5" thickBot="1"/>
    <row r="9" spans="1:9" s="77" customFormat="1" ht="16.5" thickBot="1">
      <c r="A9" s="788" t="s">
        <v>100</v>
      </c>
      <c r="B9" s="790" t="s">
        <v>1297</v>
      </c>
      <c r="C9" s="791"/>
      <c r="D9" s="147"/>
    </row>
    <row r="10" spans="1:9" s="77" customFormat="1" ht="30" customHeight="1" thickBot="1">
      <c r="A10" s="789"/>
      <c r="B10" s="131" t="s">
        <v>1298</v>
      </c>
      <c r="C10" s="132" t="s">
        <v>1299</v>
      </c>
      <c r="D10" s="148" t="s">
        <v>101</v>
      </c>
    </row>
    <row r="11" spans="1:9" s="298" customFormat="1" ht="43.5" customHeight="1" thickBot="1">
      <c r="A11" s="133" t="s">
        <v>102</v>
      </c>
      <c r="B11" s="393">
        <v>2444</v>
      </c>
      <c r="C11" s="394">
        <v>2462</v>
      </c>
      <c r="D11" s="395">
        <v>18</v>
      </c>
      <c r="F11" s="396"/>
      <c r="G11" s="397"/>
      <c r="H11" s="397"/>
      <c r="I11" s="398"/>
    </row>
    <row r="12" spans="1:9" s="298" customFormat="1" ht="43.5" customHeight="1" thickBot="1">
      <c r="A12" s="133" t="s">
        <v>660</v>
      </c>
      <c r="B12" s="399">
        <v>2235</v>
      </c>
      <c r="C12" s="400">
        <v>2237</v>
      </c>
      <c r="D12" s="401">
        <v>2</v>
      </c>
      <c r="F12" s="396"/>
      <c r="G12" s="397"/>
      <c r="H12" s="397"/>
      <c r="I12" s="398"/>
    </row>
    <row r="13" spans="1:9" s="298" customFormat="1" ht="43.5" customHeight="1" thickBot="1">
      <c r="A13" s="133" t="s">
        <v>103</v>
      </c>
      <c r="B13" s="402">
        <v>340</v>
      </c>
      <c r="C13" s="403">
        <v>346</v>
      </c>
      <c r="D13" s="401">
        <v>6</v>
      </c>
      <c r="F13" s="396"/>
      <c r="G13" s="404"/>
      <c r="H13" s="404"/>
      <c r="I13" s="398"/>
    </row>
    <row r="14" spans="1:9" s="298" customFormat="1" ht="43.5" customHeight="1" thickBot="1">
      <c r="A14" s="133" t="s">
        <v>104</v>
      </c>
      <c r="B14" s="405">
        <v>15246</v>
      </c>
      <c r="C14" s="402" t="s">
        <v>1300</v>
      </c>
      <c r="D14" s="401">
        <v>3</v>
      </c>
      <c r="F14" s="396"/>
      <c r="G14" s="397"/>
      <c r="H14" s="404"/>
      <c r="I14" s="398"/>
    </row>
    <row r="15" spans="1:9" s="298" customFormat="1" ht="43.5" customHeight="1" thickBot="1">
      <c r="A15" s="133" t="s">
        <v>105</v>
      </c>
      <c r="B15" s="406">
        <v>620</v>
      </c>
      <c r="C15" s="407">
        <v>660</v>
      </c>
      <c r="D15" s="401">
        <v>40</v>
      </c>
      <c r="F15" s="396"/>
      <c r="G15" s="408"/>
      <c r="H15" s="408"/>
      <c r="I15" s="398"/>
    </row>
    <row r="16" spans="1:9" s="298" customFormat="1" ht="43.5" customHeight="1" thickBot="1">
      <c r="A16" s="133" t="s">
        <v>106</v>
      </c>
      <c r="B16" s="399">
        <v>1123</v>
      </c>
      <c r="C16" s="400">
        <v>1148</v>
      </c>
      <c r="D16" s="401">
        <v>25</v>
      </c>
      <c r="F16" s="396"/>
      <c r="G16" s="397"/>
      <c r="H16" s="397"/>
      <c r="I16" s="398"/>
    </row>
    <row r="17" spans="1:9" s="298" customFormat="1" ht="43.5" customHeight="1" thickBot="1">
      <c r="A17" s="133" t="s">
        <v>107</v>
      </c>
      <c r="B17" s="402">
        <v>600</v>
      </c>
      <c r="C17" s="403">
        <v>615</v>
      </c>
      <c r="D17" s="401">
        <v>15</v>
      </c>
      <c r="F17" s="396"/>
      <c r="G17" s="404"/>
      <c r="H17" s="404"/>
      <c r="I17" s="398"/>
    </row>
    <row r="18" spans="1:9" s="11" customFormat="1" ht="43.5" customHeight="1" thickBot="1">
      <c r="A18" s="134" t="s">
        <v>108</v>
      </c>
      <c r="B18" s="406">
        <v>433</v>
      </c>
      <c r="C18" s="407">
        <v>434</v>
      </c>
      <c r="D18" s="409">
        <v>1</v>
      </c>
      <c r="F18" s="396"/>
      <c r="G18" s="408"/>
      <c r="H18" s="408"/>
      <c r="I18" s="410"/>
    </row>
    <row r="19" spans="1:9" s="11" customFormat="1" ht="43.5" customHeight="1" thickBot="1">
      <c r="A19" s="135" t="s">
        <v>109</v>
      </c>
      <c r="B19" s="402">
        <v>448</v>
      </c>
      <c r="C19" s="407">
        <v>451</v>
      </c>
      <c r="D19" s="401">
        <v>3</v>
      </c>
      <c r="F19" s="396"/>
      <c r="G19" s="404"/>
      <c r="H19" s="408"/>
      <c r="I19" s="398"/>
    </row>
    <row r="20" spans="1:9" s="11" customFormat="1" ht="43.5" customHeight="1" thickBot="1">
      <c r="A20" s="136" t="s">
        <v>110</v>
      </c>
      <c r="B20" s="411">
        <v>23489</v>
      </c>
      <c r="C20" s="412">
        <v>23602</v>
      </c>
      <c r="D20" s="409">
        <v>113</v>
      </c>
      <c r="F20" s="413"/>
      <c r="G20" s="785"/>
      <c r="H20" s="785"/>
      <c r="I20" s="786"/>
    </row>
    <row r="21" spans="1:9" s="5" customFormat="1">
      <c r="A21" s="137"/>
      <c r="B21" s="138"/>
      <c r="C21" s="138"/>
      <c r="D21" s="139"/>
      <c r="F21" s="414"/>
      <c r="G21" s="785"/>
      <c r="H21" s="785"/>
      <c r="I21" s="786"/>
    </row>
    <row r="22" spans="1:9" s="300" customFormat="1">
      <c r="F22" s="340"/>
      <c r="G22" s="340"/>
      <c r="H22" s="340"/>
      <c r="I22" s="340"/>
    </row>
    <row r="23" spans="1:9" s="5" customFormat="1">
      <c r="A23" s="137"/>
      <c r="B23" s="138"/>
      <c r="C23" s="138"/>
      <c r="D23" s="139"/>
    </row>
    <row r="24" spans="1:9" s="11" customFormat="1">
      <c r="A24" s="101"/>
      <c r="B24" s="17"/>
      <c r="C24" s="17"/>
      <c r="D24" s="17"/>
      <c r="E24" s="53"/>
      <c r="F24" s="53"/>
      <c r="G24" s="53"/>
    </row>
    <row r="25" spans="1:9" s="11" customFormat="1">
      <c r="A25" s="140"/>
      <c r="B25" s="17"/>
      <c r="C25" s="17"/>
      <c r="D25" s="17"/>
      <c r="E25" s="53"/>
      <c r="F25" s="53"/>
      <c r="G25" s="53"/>
    </row>
    <row r="26" spans="1:9" s="5" customFormat="1">
      <c r="A26" s="137"/>
      <c r="B26" s="141"/>
      <c r="C26" s="141"/>
    </row>
    <row r="27" spans="1:9" s="5" customFormat="1">
      <c r="A27" s="84"/>
      <c r="B27" s="2"/>
      <c r="C27" s="2"/>
    </row>
    <row r="28" spans="1:9" s="300" customFormat="1">
      <c r="A28" s="84" t="s">
        <v>1589</v>
      </c>
    </row>
    <row r="29" spans="1:9" s="86" customFormat="1">
      <c r="A29" s="300" t="s">
        <v>1590</v>
      </c>
    </row>
    <row r="30" spans="1:9" s="9" customFormat="1">
      <c r="A30" s="84" t="s">
        <v>1591</v>
      </c>
      <c r="B30" s="8"/>
      <c r="C30" s="8"/>
    </row>
    <row r="31" spans="1:9" s="11" customFormat="1">
      <c r="A31" s="82"/>
      <c r="B31" s="10"/>
      <c r="C31" s="10"/>
    </row>
    <row r="32" spans="1:9" s="13" customFormat="1">
      <c r="A32" s="83"/>
      <c r="B32" s="12"/>
      <c r="C32" s="12"/>
    </row>
    <row r="33" spans="1:3" s="15" customFormat="1">
      <c r="A33" s="82"/>
      <c r="B33" s="14"/>
      <c r="C33" s="14"/>
    </row>
    <row r="34" spans="1:3" s="11" customFormat="1">
      <c r="A34" s="82"/>
      <c r="B34" s="10"/>
      <c r="C34" s="10"/>
    </row>
    <row r="35" spans="1:3" s="13" customFormat="1">
      <c r="A35" s="142"/>
      <c r="B35" s="12"/>
      <c r="C35" s="12"/>
    </row>
    <row r="36" spans="1:3" s="13" customFormat="1">
      <c r="A36" s="143"/>
      <c r="B36" s="12"/>
      <c r="C36" s="12"/>
    </row>
    <row r="37" spans="1:3" s="13" customFormat="1">
      <c r="A37" s="144"/>
      <c r="B37" s="16"/>
      <c r="C37" s="16"/>
    </row>
    <row r="38" spans="1:3" s="11" customFormat="1">
      <c r="A38" s="144"/>
      <c r="B38" s="102"/>
      <c r="C38" s="102"/>
    </row>
    <row r="39" spans="1:3" s="59" customFormat="1">
      <c r="A39" s="145"/>
    </row>
    <row r="40" spans="1:3" s="13" customFormat="1">
      <c r="A40" s="146"/>
      <c r="B40" s="16"/>
      <c r="C40" s="16"/>
    </row>
    <row r="41" spans="1:3" s="11" customFormat="1">
      <c r="A41" s="146"/>
      <c r="B41" s="102"/>
      <c r="C41" s="102"/>
    </row>
    <row r="42" spans="1:3" s="99" customFormat="1">
      <c r="A42" s="146"/>
    </row>
    <row r="43" spans="1:3" s="99" customFormat="1">
      <c r="A43" s="84"/>
    </row>
    <row r="44" spans="1:3" s="300" customFormat="1"/>
    <row r="45" spans="1:3" s="300" customFormat="1"/>
    <row r="46" spans="1:3" s="300" customFormat="1"/>
    <row r="47" spans="1:3" s="300" customFormat="1"/>
    <row r="48" spans="1:3" s="300" customFormat="1"/>
    <row r="49" s="300" customFormat="1"/>
    <row r="50" s="300" customFormat="1"/>
  </sheetData>
  <mergeCells count="7">
    <mergeCell ref="H20:H21"/>
    <mergeCell ref="I20:I21"/>
    <mergeCell ref="A4:D4"/>
    <mergeCell ref="A5:D5"/>
    <mergeCell ref="A9:A10"/>
    <mergeCell ref="B9:C9"/>
    <mergeCell ref="G20:G21"/>
  </mergeCells>
  <pageMargins left="0.7" right="0.7" top="0.75" bottom="0.75" header="0.3" footer="0.3"/>
  <pageSetup paperSize="9" scale="7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I56"/>
  <sheetViews>
    <sheetView topLeftCell="A34" workbookViewId="0">
      <selection activeCell="C47" sqref="C47"/>
    </sheetView>
  </sheetViews>
  <sheetFormatPr defaultRowHeight="16.5" customHeight="1"/>
  <cols>
    <col min="1" max="1" width="12.7109375" style="80" customWidth="1"/>
    <col min="2" max="2" width="5.5703125" style="80" customWidth="1"/>
    <col min="3" max="3" width="38.5703125" style="80" customWidth="1"/>
    <col min="4" max="4" width="27.85546875" style="80" customWidth="1"/>
    <col min="5" max="248" width="9.140625" style="80"/>
    <col min="249" max="249" width="5.5703125" style="80" customWidth="1"/>
    <col min="250" max="250" width="38.5703125" style="80" customWidth="1"/>
    <col min="251" max="251" width="27.85546875" style="80" customWidth="1"/>
    <col min="252" max="504" width="9.140625" style="80"/>
    <col min="505" max="505" width="5.5703125" style="80" customWidth="1"/>
    <col min="506" max="506" width="38.5703125" style="80" customWidth="1"/>
    <col min="507" max="507" width="27.85546875" style="80" customWidth="1"/>
    <col min="508" max="760" width="9.140625" style="80"/>
    <col min="761" max="761" width="5.5703125" style="80" customWidth="1"/>
    <col min="762" max="762" width="38.5703125" style="80" customWidth="1"/>
    <col min="763" max="763" width="27.85546875" style="80" customWidth="1"/>
    <col min="764" max="1016" width="9.140625" style="80"/>
    <col min="1017" max="1017" width="5.5703125" style="80" customWidth="1"/>
    <col min="1018" max="1018" width="38.5703125" style="80" customWidth="1"/>
    <col min="1019" max="1019" width="27.85546875" style="80" customWidth="1"/>
    <col min="1020" max="1272" width="9.140625" style="80"/>
    <col min="1273" max="1273" width="5.5703125" style="80" customWidth="1"/>
    <col min="1274" max="1274" width="38.5703125" style="80" customWidth="1"/>
    <col min="1275" max="1275" width="27.85546875" style="80" customWidth="1"/>
    <col min="1276" max="1528" width="9.140625" style="80"/>
    <col min="1529" max="1529" width="5.5703125" style="80" customWidth="1"/>
    <col min="1530" max="1530" width="38.5703125" style="80" customWidth="1"/>
    <col min="1531" max="1531" width="27.85546875" style="80" customWidth="1"/>
    <col min="1532" max="1784" width="9.140625" style="80"/>
    <col min="1785" max="1785" width="5.5703125" style="80" customWidth="1"/>
    <col min="1786" max="1786" width="38.5703125" style="80" customWidth="1"/>
    <col min="1787" max="1787" width="27.85546875" style="80" customWidth="1"/>
    <col min="1788" max="2040" width="9.140625" style="80"/>
    <col min="2041" max="2041" width="5.5703125" style="80" customWidth="1"/>
    <col min="2042" max="2042" width="38.5703125" style="80" customWidth="1"/>
    <col min="2043" max="2043" width="27.85546875" style="80" customWidth="1"/>
    <col min="2044" max="2296" width="9.140625" style="80"/>
    <col min="2297" max="2297" width="5.5703125" style="80" customWidth="1"/>
    <col min="2298" max="2298" width="38.5703125" style="80" customWidth="1"/>
    <col min="2299" max="2299" width="27.85546875" style="80" customWidth="1"/>
    <col min="2300" max="2552" width="9.140625" style="80"/>
    <col min="2553" max="2553" width="5.5703125" style="80" customWidth="1"/>
    <col min="2554" max="2554" width="38.5703125" style="80" customWidth="1"/>
    <col min="2555" max="2555" width="27.85546875" style="80" customWidth="1"/>
    <col min="2556" max="2808" width="9.140625" style="80"/>
    <col min="2809" max="2809" width="5.5703125" style="80" customWidth="1"/>
    <col min="2810" max="2810" width="38.5703125" style="80" customWidth="1"/>
    <col min="2811" max="2811" width="27.85546875" style="80" customWidth="1"/>
    <col min="2812" max="3064" width="9.140625" style="80"/>
    <col min="3065" max="3065" width="5.5703125" style="80" customWidth="1"/>
    <col min="3066" max="3066" width="38.5703125" style="80" customWidth="1"/>
    <col min="3067" max="3067" width="27.85546875" style="80" customWidth="1"/>
    <col min="3068" max="3320" width="9.140625" style="80"/>
    <col min="3321" max="3321" width="5.5703125" style="80" customWidth="1"/>
    <col min="3322" max="3322" width="38.5703125" style="80" customWidth="1"/>
    <col min="3323" max="3323" width="27.85546875" style="80" customWidth="1"/>
    <col min="3324" max="3576" width="9.140625" style="80"/>
    <col min="3577" max="3577" width="5.5703125" style="80" customWidth="1"/>
    <col min="3578" max="3578" width="38.5703125" style="80" customWidth="1"/>
    <col min="3579" max="3579" width="27.85546875" style="80" customWidth="1"/>
    <col min="3580" max="3832" width="9.140625" style="80"/>
    <col min="3833" max="3833" width="5.5703125" style="80" customWidth="1"/>
    <col min="3834" max="3834" width="38.5703125" style="80" customWidth="1"/>
    <col min="3835" max="3835" width="27.85546875" style="80" customWidth="1"/>
    <col min="3836" max="4088" width="9.140625" style="80"/>
    <col min="4089" max="4089" width="5.5703125" style="80" customWidth="1"/>
    <col min="4090" max="4090" width="38.5703125" style="80" customWidth="1"/>
    <col min="4091" max="4091" width="27.85546875" style="80" customWidth="1"/>
    <col min="4092" max="4344" width="9.140625" style="80"/>
    <col min="4345" max="4345" width="5.5703125" style="80" customWidth="1"/>
    <col min="4346" max="4346" width="38.5703125" style="80" customWidth="1"/>
    <col min="4347" max="4347" width="27.85546875" style="80" customWidth="1"/>
    <col min="4348" max="4600" width="9.140625" style="80"/>
    <col min="4601" max="4601" width="5.5703125" style="80" customWidth="1"/>
    <col min="4602" max="4602" width="38.5703125" style="80" customWidth="1"/>
    <col min="4603" max="4603" width="27.85546875" style="80" customWidth="1"/>
    <col min="4604" max="4856" width="9.140625" style="80"/>
    <col min="4857" max="4857" width="5.5703125" style="80" customWidth="1"/>
    <col min="4858" max="4858" width="38.5703125" style="80" customWidth="1"/>
    <col min="4859" max="4859" width="27.85546875" style="80" customWidth="1"/>
    <col min="4860" max="5112" width="9.140625" style="80"/>
    <col min="5113" max="5113" width="5.5703125" style="80" customWidth="1"/>
    <col min="5114" max="5114" width="38.5703125" style="80" customWidth="1"/>
    <col min="5115" max="5115" width="27.85546875" style="80" customWidth="1"/>
    <col min="5116" max="5368" width="9.140625" style="80"/>
    <col min="5369" max="5369" width="5.5703125" style="80" customWidth="1"/>
    <col min="5370" max="5370" width="38.5703125" style="80" customWidth="1"/>
    <col min="5371" max="5371" width="27.85546875" style="80" customWidth="1"/>
    <col min="5372" max="5624" width="9.140625" style="80"/>
    <col min="5625" max="5625" width="5.5703125" style="80" customWidth="1"/>
    <col min="5626" max="5626" width="38.5703125" style="80" customWidth="1"/>
    <col min="5627" max="5627" width="27.85546875" style="80" customWidth="1"/>
    <col min="5628" max="5880" width="9.140625" style="80"/>
    <col min="5881" max="5881" width="5.5703125" style="80" customWidth="1"/>
    <col min="5882" max="5882" width="38.5703125" style="80" customWidth="1"/>
    <col min="5883" max="5883" width="27.85546875" style="80" customWidth="1"/>
    <col min="5884" max="6136" width="9.140625" style="80"/>
    <col min="6137" max="6137" width="5.5703125" style="80" customWidth="1"/>
    <col min="6138" max="6138" width="38.5703125" style="80" customWidth="1"/>
    <col min="6139" max="6139" width="27.85546875" style="80" customWidth="1"/>
    <col min="6140" max="6392" width="9.140625" style="80"/>
    <col min="6393" max="6393" width="5.5703125" style="80" customWidth="1"/>
    <col min="6394" max="6394" width="38.5703125" style="80" customWidth="1"/>
    <col min="6395" max="6395" width="27.85546875" style="80" customWidth="1"/>
    <col min="6396" max="6648" width="9.140625" style="80"/>
    <col min="6649" max="6649" width="5.5703125" style="80" customWidth="1"/>
    <col min="6650" max="6650" width="38.5703125" style="80" customWidth="1"/>
    <col min="6651" max="6651" width="27.85546875" style="80" customWidth="1"/>
    <col min="6652" max="6904" width="9.140625" style="80"/>
    <col min="6905" max="6905" width="5.5703125" style="80" customWidth="1"/>
    <col min="6906" max="6906" width="38.5703125" style="80" customWidth="1"/>
    <col min="6907" max="6907" width="27.85546875" style="80" customWidth="1"/>
    <col min="6908" max="7160" width="9.140625" style="80"/>
    <col min="7161" max="7161" width="5.5703125" style="80" customWidth="1"/>
    <col min="7162" max="7162" width="38.5703125" style="80" customWidth="1"/>
    <col min="7163" max="7163" width="27.85546875" style="80" customWidth="1"/>
    <col min="7164" max="7416" width="9.140625" style="80"/>
    <col min="7417" max="7417" width="5.5703125" style="80" customWidth="1"/>
    <col min="7418" max="7418" width="38.5703125" style="80" customWidth="1"/>
    <col min="7419" max="7419" width="27.85546875" style="80" customWidth="1"/>
    <col min="7420" max="7672" width="9.140625" style="80"/>
    <col min="7673" max="7673" width="5.5703125" style="80" customWidth="1"/>
    <col min="7674" max="7674" width="38.5703125" style="80" customWidth="1"/>
    <col min="7675" max="7675" width="27.85546875" style="80" customWidth="1"/>
    <col min="7676" max="7928" width="9.140625" style="80"/>
    <col min="7929" max="7929" width="5.5703125" style="80" customWidth="1"/>
    <col min="7930" max="7930" width="38.5703125" style="80" customWidth="1"/>
    <col min="7931" max="7931" width="27.85546875" style="80" customWidth="1"/>
    <col min="7932" max="8184" width="9.140625" style="80"/>
    <col min="8185" max="8185" width="5.5703125" style="80" customWidth="1"/>
    <col min="8186" max="8186" width="38.5703125" style="80" customWidth="1"/>
    <col min="8187" max="8187" width="27.85546875" style="80" customWidth="1"/>
    <col min="8188" max="8440" width="9.140625" style="80"/>
    <col min="8441" max="8441" width="5.5703125" style="80" customWidth="1"/>
    <col min="8442" max="8442" width="38.5703125" style="80" customWidth="1"/>
    <col min="8443" max="8443" width="27.85546875" style="80" customWidth="1"/>
    <col min="8444" max="8696" width="9.140625" style="80"/>
    <col min="8697" max="8697" width="5.5703125" style="80" customWidth="1"/>
    <col min="8698" max="8698" width="38.5703125" style="80" customWidth="1"/>
    <col min="8699" max="8699" width="27.85546875" style="80" customWidth="1"/>
    <col min="8700" max="8952" width="9.140625" style="80"/>
    <col min="8953" max="8953" width="5.5703125" style="80" customWidth="1"/>
    <col min="8954" max="8954" width="38.5703125" style="80" customWidth="1"/>
    <col min="8955" max="8955" width="27.85546875" style="80" customWidth="1"/>
    <col min="8956" max="9208" width="9.140625" style="80"/>
    <col min="9209" max="9209" width="5.5703125" style="80" customWidth="1"/>
    <col min="9210" max="9210" width="38.5703125" style="80" customWidth="1"/>
    <col min="9211" max="9211" width="27.85546875" style="80" customWidth="1"/>
    <col min="9212" max="9464" width="9.140625" style="80"/>
    <col min="9465" max="9465" width="5.5703125" style="80" customWidth="1"/>
    <col min="9466" max="9466" width="38.5703125" style="80" customWidth="1"/>
    <col min="9467" max="9467" width="27.85546875" style="80" customWidth="1"/>
    <col min="9468" max="9720" width="9.140625" style="80"/>
    <col min="9721" max="9721" width="5.5703125" style="80" customWidth="1"/>
    <col min="9722" max="9722" width="38.5703125" style="80" customWidth="1"/>
    <col min="9723" max="9723" width="27.85546875" style="80" customWidth="1"/>
    <col min="9724" max="9976" width="9.140625" style="80"/>
    <col min="9977" max="9977" width="5.5703125" style="80" customWidth="1"/>
    <col min="9978" max="9978" width="38.5703125" style="80" customWidth="1"/>
    <col min="9979" max="9979" width="27.85546875" style="80" customWidth="1"/>
    <col min="9980" max="10232" width="9.140625" style="80"/>
    <col min="10233" max="10233" width="5.5703125" style="80" customWidth="1"/>
    <col min="10234" max="10234" width="38.5703125" style="80" customWidth="1"/>
    <col min="10235" max="10235" width="27.85546875" style="80" customWidth="1"/>
    <col min="10236" max="10488" width="9.140625" style="80"/>
    <col min="10489" max="10489" width="5.5703125" style="80" customWidth="1"/>
    <col min="10490" max="10490" width="38.5703125" style="80" customWidth="1"/>
    <col min="10491" max="10491" width="27.85546875" style="80" customWidth="1"/>
    <col min="10492" max="10744" width="9.140625" style="80"/>
    <col min="10745" max="10745" width="5.5703125" style="80" customWidth="1"/>
    <col min="10746" max="10746" width="38.5703125" style="80" customWidth="1"/>
    <col min="10747" max="10747" width="27.85546875" style="80" customWidth="1"/>
    <col min="10748" max="11000" width="9.140625" style="80"/>
    <col min="11001" max="11001" width="5.5703125" style="80" customWidth="1"/>
    <col min="11002" max="11002" width="38.5703125" style="80" customWidth="1"/>
    <col min="11003" max="11003" width="27.85546875" style="80" customWidth="1"/>
    <col min="11004" max="11256" width="9.140625" style="80"/>
    <col min="11257" max="11257" width="5.5703125" style="80" customWidth="1"/>
    <col min="11258" max="11258" width="38.5703125" style="80" customWidth="1"/>
    <col min="11259" max="11259" width="27.85546875" style="80" customWidth="1"/>
    <col min="11260" max="11512" width="9.140625" style="80"/>
    <col min="11513" max="11513" width="5.5703125" style="80" customWidth="1"/>
    <col min="11514" max="11514" width="38.5703125" style="80" customWidth="1"/>
    <col min="11515" max="11515" width="27.85546875" style="80" customWidth="1"/>
    <col min="11516" max="11768" width="9.140625" style="80"/>
    <col min="11769" max="11769" width="5.5703125" style="80" customWidth="1"/>
    <col min="11770" max="11770" width="38.5703125" style="80" customWidth="1"/>
    <col min="11771" max="11771" width="27.85546875" style="80" customWidth="1"/>
    <col min="11772" max="12024" width="9.140625" style="80"/>
    <col min="12025" max="12025" width="5.5703125" style="80" customWidth="1"/>
    <col min="12026" max="12026" width="38.5703125" style="80" customWidth="1"/>
    <col min="12027" max="12027" width="27.85546875" style="80" customWidth="1"/>
    <col min="12028" max="12280" width="9.140625" style="80"/>
    <col min="12281" max="12281" width="5.5703125" style="80" customWidth="1"/>
    <col min="12282" max="12282" width="38.5703125" style="80" customWidth="1"/>
    <col min="12283" max="12283" width="27.85546875" style="80" customWidth="1"/>
    <col min="12284" max="12536" width="9.140625" style="80"/>
    <col min="12537" max="12537" width="5.5703125" style="80" customWidth="1"/>
    <col min="12538" max="12538" width="38.5703125" style="80" customWidth="1"/>
    <col min="12539" max="12539" width="27.85546875" style="80" customWidth="1"/>
    <col min="12540" max="12792" width="9.140625" style="80"/>
    <col min="12793" max="12793" width="5.5703125" style="80" customWidth="1"/>
    <col min="12794" max="12794" width="38.5703125" style="80" customWidth="1"/>
    <col min="12795" max="12795" width="27.85546875" style="80" customWidth="1"/>
    <col min="12796" max="13048" width="9.140625" style="80"/>
    <col min="13049" max="13049" width="5.5703125" style="80" customWidth="1"/>
    <col min="13050" max="13050" width="38.5703125" style="80" customWidth="1"/>
    <col min="13051" max="13051" width="27.85546875" style="80" customWidth="1"/>
    <col min="13052" max="13304" width="9.140625" style="80"/>
    <col min="13305" max="13305" width="5.5703125" style="80" customWidth="1"/>
    <col min="13306" max="13306" width="38.5703125" style="80" customWidth="1"/>
    <col min="13307" max="13307" width="27.85546875" style="80" customWidth="1"/>
    <col min="13308" max="13560" width="9.140625" style="80"/>
    <col min="13561" max="13561" width="5.5703125" style="80" customWidth="1"/>
    <col min="13562" max="13562" width="38.5703125" style="80" customWidth="1"/>
    <col min="13563" max="13563" width="27.85546875" style="80" customWidth="1"/>
    <col min="13564" max="13816" width="9.140625" style="80"/>
    <col min="13817" max="13817" width="5.5703125" style="80" customWidth="1"/>
    <col min="13818" max="13818" width="38.5703125" style="80" customWidth="1"/>
    <col min="13819" max="13819" width="27.85546875" style="80" customWidth="1"/>
    <col min="13820" max="14072" width="9.140625" style="80"/>
    <col min="14073" max="14073" width="5.5703125" style="80" customWidth="1"/>
    <col min="14074" max="14074" width="38.5703125" style="80" customWidth="1"/>
    <col min="14075" max="14075" width="27.85546875" style="80" customWidth="1"/>
    <col min="14076" max="14328" width="9.140625" style="80"/>
    <col min="14329" max="14329" width="5.5703125" style="80" customWidth="1"/>
    <col min="14330" max="14330" width="38.5703125" style="80" customWidth="1"/>
    <col min="14331" max="14331" width="27.85546875" style="80" customWidth="1"/>
    <col min="14332" max="14584" width="9.140625" style="80"/>
    <col min="14585" max="14585" width="5.5703125" style="80" customWidth="1"/>
    <col min="14586" max="14586" width="38.5703125" style="80" customWidth="1"/>
    <col min="14587" max="14587" width="27.85546875" style="80" customWidth="1"/>
    <col min="14588" max="14840" width="9.140625" style="80"/>
    <col min="14841" max="14841" width="5.5703125" style="80" customWidth="1"/>
    <col min="14842" max="14842" width="38.5703125" style="80" customWidth="1"/>
    <col min="14843" max="14843" width="27.85546875" style="80" customWidth="1"/>
    <col min="14844" max="15096" width="9.140625" style="80"/>
    <col min="15097" max="15097" width="5.5703125" style="80" customWidth="1"/>
    <col min="15098" max="15098" width="38.5703125" style="80" customWidth="1"/>
    <col min="15099" max="15099" width="27.85546875" style="80" customWidth="1"/>
    <col min="15100" max="15352" width="9.140625" style="80"/>
    <col min="15353" max="15353" width="5.5703125" style="80" customWidth="1"/>
    <col min="15354" max="15354" width="38.5703125" style="80" customWidth="1"/>
    <col min="15355" max="15355" width="27.85546875" style="80" customWidth="1"/>
    <col min="15356" max="15608" width="9.140625" style="80"/>
    <col min="15609" max="15609" width="5.5703125" style="80" customWidth="1"/>
    <col min="15610" max="15610" width="38.5703125" style="80" customWidth="1"/>
    <col min="15611" max="15611" width="27.85546875" style="80" customWidth="1"/>
    <col min="15612" max="15864" width="9.140625" style="80"/>
    <col min="15865" max="15865" width="5.5703125" style="80" customWidth="1"/>
    <col min="15866" max="15866" width="38.5703125" style="80" customWidth="1"/>
    <col min="15867" max="15867" width="27.85546875" style="80" customWidth="1"/>
    <col min="15868" max="16120" width="9.140625" style="80"/>
    <col min="16121" max="16121" width="5.5703125" style="80" customWidth="1"/>
    <col min="16122" max="16122" width="38.5703125" style="80" customWidth="1"/>
    <col min="16123" max="16123" width="27.85546875" style="80" customWidth="1"/>
    <col min="16124" max="16384" width="9.140625" style="80"/>
  </cols>
  <sheetData>
    <row r="1" spans="1:4" ht="16.5" customHeight="1">
      <c r="D1" s="149" t="s">
        <v>661</v>
      </c>
    </row>
    <row r="3" spans="1:4" ht="16.5" customHeight="1">
      <c r="A3" s="234"/>
      <c r="B3" s="235" t="s">
        <v>584</v>
      </c>
      <c r="C3" s="123"/>
      <c r="D3" s="236"/>
    </row>
    <row r="4" spans="1:4" ht="16.5" customHeight="1">
      <c r="A4" s="234"/>
      <c r="B4" s="233" t="s">
        <v>585</v>
      </c>
      <c r="C4" s="123"/>
      <c r="D4" s="236"/>
    </row>
    <row r="5" spans="1:4" ht="16.5" customHeight="1" thickBot="1">
      <c r="B5" s="150"/>
      <c r="C5" s="150"/>
    </row>
    <row r="6" spans="1:4" s="106" customFormat="1" ht="21" customHeight="1">
      <c r="B6" s="173" t="s">
        <v>260</v>
      </c>
      <c r="C6" s="174" t="s">
        <v>586</v>
      </c>
      <c r="D6" s="175" t="s">
        <v>1011</v>
      </c>
    </row>
    <row r="7" spans="1:4" s="106" customFormat="1" ht="12.75" customHeight="1" thickBot="1">
      <c r="B7" s="176"/>
      <c r="C7" s="177"/>
      <c r="D7" s="178" t="s">
        <v>587</v>
      </c>
    </row>
    <row r="8" spans="1:4" s="106" customFormat="1" ht="19.5" customHeight="1">
      <c r="B8" s="179" t="s">
        <v>49</v>
      </c>
      <c r="C8" s="180" t="s">
        <v>1012</v>
      </c>
      <c r="D8" s="190">
        <v>112.6</v>
      </c>
    </row>
    <row r="9" spans="1:4" s="106" customFormat="1" ht="15.75">
      <c r="B9" s="181" t="s">
        <v>51</v>
      </c>
      <c r="C9" s="182" t="s">
        <v>1013</v>
      </c>
      <c r="D9" s="183">
        <v>12</v>
      </c>
    </row>
    <row r="10" spans="1:4" s="106" customFormat="1" ht="15.75">
      <c r="B10" s="181" t="s">
        <v>53</v>
      </c>
      <c r="C10" s="182" t="s">
        <v>1014</v>
      </c>
      <c r="D10" s="183">
        <v>28</v>
      </c>
    </row>
    <row r="11" spans="1:4" s="106" customFormat="1" ht="15.75">
      <c r="B11" s="181" t="s">
        <v>54</v>
      </c>
      <c r="C11" s="182" t="s">
        <v>1015</v>
      </c>
      <c r="D11" s="183">
        <v>3</v>
      </c>
    </row>
    <row r="12" spans="1:4" s="106" customFormat="1" ht="15.75">
      <c r="B12" s="181" t="s">
        <v>55</v>
      </c>
      <c r="C12" s="182" t="s">
        <v>1016</v>
      </c>
      <c r="D12" s="183">
        <v>3</v>
      </c>
    </row>
    <row r="13" spans="1:4" s="106" customFormat="1" ht="15.75">
      <c r="B13" s="181" t="s">
        <v>56</v>
      </c>
      <c r="C13" s="182" t="s">
        <v>1017</v>
      </c>
      <c r="D13" s="183">
        <v>19</v>
      </c>
    </row>
    <row r="14" spans="1:4" s="106" customFormat="1" ht="15.75">
      <c r="B14" s="181" t="s">
        <v>57</v>
      </c>
      <c r="C14" s="182" t="s">
        <v>1018</v>
      </c>
      <c r="D14" s="183">
        <v>3</v>
      </c>
    </row>
    <row r="15" spans="1:4" s="106" customFormat="1" ht="15.75">
      <c r="B15" s="181" t="s">
        <v>58</v>
      </c>
      <c r="C15" s="182" t="s">
        <v>1019</v>
      </c>
      <c r="D15" s="183">
        <v>23</v>
      </c>
    </row>
    <row r="16" spans="1:4" s="106" customFormat="1" ht="15.75">
      <c r="B16" s="181" t="s">
        <v>60</v>
      </c>
      <c r="C16" s="182" t="s">
        <v>1020</v>
      </c>
      <c r="D16" s="183">
        <v>18</v>
      </c>
    </row>
    <row r="17" spans="2:4" s="106" customFormat="1" ht="15.75">
      <c r="B17" s="181" t="s">
        <v>62</v>
      </c>
      <c r="C17" s="182" t="s">
        <v>1021</v>
      </c>
      <c r="D17" s="183">
        <v>8</v>
      </c>
    </row>
    <row r="18" spans="2:4" s="106" customFormat="1" ht="15.75">
      <c r="B18" s="181" t="s">
        <v>64</v>
      </c>
      <c r="C18" s="182" t="s">
        <v>1022</v>
      </c>
      <c r="D18" s="183">
        <v>27</v>
      </c>
    </row>
    <row r="19" spans="2:4" s="106" customFormat="1" ht="15.75">
      <c r="B19" s="181" t="s">
        <v>66</v>
      </c>
      <c r="C19" s="182" t="s">
        <v>1023</v>
      </c>
      <c r="D19" s="183">
        <v>54</v>
      </c>
    </row>
    <row r="20" spans="2:4" s="106" customFormat="1" ht="15.75">
      <c r="B20" s="181" t="s">
        <v>588</v>
      </c>
      <c r="C20" s="182" t="s">
        <v>1024</v>
      </c>
      <c r="D20" s="183">
        <v>41</v>
      </c>
    </row>
    <row r="21" spans="2:4" s="106" customFormat="1" ht="15.75">
      <c r="B21" s="181" t="s">
        <v>589</v>
      </c>
      <c r="C21" s="182" t="s">
        <v>1025</v>
      </c>
      <c r="D21" s="183">
        <v>15</v>
      </c>
    </row>
    <row r="22" spans="2:4" s="106" customFormat="1" ht="15.75">
      <c r="B22" s="181" t="s">
        <v>590</v>
      </c>
      <c r="C22" s="182" t="s">
        <v>1026</v>
      </c>
      <c r="D22" s="183">
        <v>5</v>
      </c>
    </row>
    <row r="23" spans="2:4" s="106" customFormat="1" ht="15.75">
      <c r="B23" s="181" t="s">
        <v>591</v>
      </c>
      <c r="C23" s="182" t="s">
        <v>1027</v>
      </c>
      <c r="D23" s="183">
        <v>5</v>
      </c>
    </row>
    <row r="24" spans="2:4" s="106" customFormat="1" ht="15.75">
      <c r="B24" s="181" t="s">
        <v>592</v>
      </c>
      <c r="C24" s="182" t="s">
        <v>1028</v>
      </c>
      <c r="D24" s="183">
        <v>20</v>
      </c>
    </row>
    <row r="25" spans="2:4" s="106" customFormat="1" ht="15.75">
      <c r="B25" s="181" t="s">
        <v>593</v>
      </c>
      <c r="C25" s="182" t="s">
        <v>1029</v>
      </c>
      <c r="D25" s="183">
        <v>5</v>
      </c>
    </row>
    <row r="26" spans="2:4" s="106" customFormat="1" ht="15.75">
      <c r="B26" s="181" t="s">
        <v>594</v>
      </c>
      <c r="C26" s="182" t="s">
        <v>1030</v>
      </c>
      <c r="D26" s="183">
        <v>13</v>
      </c>
    </row>
    <row r="27" spans="2:4" s="106" customFormat="1" ht="15.75">
      <c r="B27" s="181" t="s">
        <v>595</v>
      </c>
      <c r="C27" s="182" t="s">
        <v>1031</v>
      </c>
      <c r="D27" s="183">
        <v>18</v>
      </c>
    </row>
    <row r="28" spans="2:4" s="106" customFormat="1" ht="15.75">
      <c r="B28" s="181" t="s">
        <v>596</v>
      </c>
      <c r="C28" s="182" t="s">
        <v>1032</v>
      </c>
      <c r="D28" s="183">
        <v>2</v>
      </c>
    </row>
    <row r="29" spans="2:4" s="106" customFormat="1" ht="15.75">
      <c r="B29" s="181" t="s">
        <v>597</v>
      </c>
      <c r="C29" s="182" t="s">
        <v>1033</v>
      </c>
      <c r="D29" s="183">
        <v>12</v>
      </c>
    </row>
    <row r="30" spans="2:4" s="106" customFormat="1" ht="15.75">
      <c r="B30" s="181" t="s">
        <v>598</v>
      </c>
      <c r="C30" s="182" t="s">
        <v>1034</v>
      </c>
      <c r="D30" s="183">
        <v>7</v>
      </c>
    </row>
    <row r="31" spans="2:4" s="106" customFormat="1" ht="15.75">
      <c r="B31" s="181" t="s">
        <v>599</v>
      </c>
      <c r="C31" s="182" t="s">
        <v>1035</v>
      </c>
      <c r="D31" s="183">
        <v>18.100000000000001</v>
      </c>
    </row>
    <row r="32" spans="2:4" s="106" customFormat="1" ht="15.75">
      <c r="B32" s="181" t="s">
        <v>600</v>
      </c>
      <c r="C32" s="182" t="s">
        <v>1036</v>
      </c>
      <c r="D32" s="183">
        <v>10</v>
      </c>
    </row>
    <row r="33" spans="2:4" s="106" customFormat="1" ht="15.75">
      <c r="B33" s="181" t="s">
        <v>601</v>
      </c>
      <c r="C33" s="182" t="s">
        <v>1037</v>
      </c>
      <c r="D33" s="183">
        <v>5</v>
      </c>
    </row>
    <row r="34" spans="2:4" s="106" customFormat="1" ht="15.75">
      <c r="B34" s="181" t="s">
        <v>602</v>
      </c>
      <c r="C34" s="182" t="s">
        <v>1038</v>
      </c>
      <c r="D34" s="183">
        <v>26</v>
      </c>
    </row>
    <row r="35" spans="2:4" s="106" customFormat="1" ht="15.75">
      <c r="B35" s="181" t="s">
        <v>603</v>
      </c>
      <c r="C35" s="182" t="s">
        <v>1039</v>
      </c>
      <c r="D35" s="183">
        <v>26</v>
      </c>
    </row>
    <row r="36" spans="2:4" s="106" customFormat="1" ht="15.75">
      <c r="B36" s="181" t="s">
        <v>604</v>
      </c>
      <c r="C36" s="182" t="s">
        <v>1040</v>
      </c>
      <c r="D36" s="183">
        <v>12</v>
      </c>
    </row>
    <row r="37" spans="2:4" s="106" customFormat="1" ht="15.75">
      <c r="B37" s="181" t="s">
        <v>605</v>
      </c>
      <c r="C37" s="182" t="s">
        <v>1041</v>
      </c>
      <c r="D37" s="183">
        <v>17</v>
      </c>
    </row>
    <row r="38" spans="2:4" s="106" customFormat="1" ht="15.75">
      <c r="B38" s="181" t="s">
        <v>606</v>
      </c>
      <c r="C38" s="182" t="s">
        <v>1042</v>
      </c>
      <c r="D38" s="183">
        <v>13</v>
      </c>
    </row>
    <row r="39" spans="2:4" s="106" customFormat="1" ht="15.75">
      <c r="B39" s="181" t="s">
        <v>607</v>
      </c>
      <c r="C39" s="182" t="s">
        <v>1043</v>
      </c>
      <c r="D39" s="183">
        <v>15</v>
      </c>
    </row>
    <row r="40" spans="2:4" s="106" customFormat="1" ht="15.75">
      <c r="B40" s="181" t="s">
        <v>608</v>
      </c>
      <c r="C40" s="182" t="s">
        <v>1044</v>
      </c>
      <c r="D40" s="183">
        <v>22</v>
      </c>
    </row>
    <row r="41" spans="2:4" s="106" customFormat="1" ht="15.75">
      <c r="B41" s="181" t="s">
        <v>609</v>
      </c>
      <c r="C41" s="182" t="s">
        <v>1045</v>
      </c>
      <c r="D41" s="183">
        <v>18</v>
      </c>
    </row>
    <row r="42" spans="2:4" s="106" customFormat="1" ht="15.75">
      <c r="B42" s="181" t="s">
        <v>610</v>
      </c>
      <c r="C42" s="182" t="s">
        <v>1046</v>
      </c>
      <c r="D42" s="183">
        <v>9</v>
      </c>
    </row>
    <row r="43" spans="2:4" s="106" customFormat="1" ht="15.75">
      <c r="B43" s="181" t="s">
        <v>611</v>
      </c>
      <c r="C43" s="182" t="s">
        <v>1047</v>
      </c>
      <c r="D43" s="183">
        <v>7</v>
      </c>
    </row>
    <row r="44" spans="2:4" s="106" customFormat="1" thickBot="1">
      <c r="B44" s="184" t="s">
        <v>612</v>
      </c>
      <c r="C44" s="185" t="s">
        <v>1048</v>
      </c>
      <c r="D44" s="186">
        <v>20</v>
      </c>
    </row>
    <row r="45" spans="2:4" s="106" customFormat="1" ht="22.5" customHeight="1" thickBot="1">
      <c r="B45" s="187"/>
      <c r="C45" s="188" t="s">
        <v>613</v>
      </c>
      <c r="D45" s="189">
        <f>SUM(D8:D44)</f>
        <v>671.7</v>
      </c>
    </row>
    <row r="46" spans="2:4" ht="16.5" customHeight="1">
      <c r="B46" s="150"/>
      <c r="C46" s="150"/>
    </row>
    <row r="47" spans="2:4" ht="16.5" customHeight="1">
      <c r="D47" s="151"/>
    </row>
    <row r="48" spans="2:4" s="5" customFormat="1" ht="16.5" customHeight="1">
      <c r="C48" s="82"/>
      <c r="D48" s="2"/>
    </row>
    <row r="49" spans="2:9" s="5" customFormat="1" ht="16.5" customHeight="1">
      <c r="C49" s="83"/>
      <c r="D49" s="2"/>
    </row>
    <row r="50" spans="2:9" s="5" customFormat="1" ht="16.5" customHeight="1">
      <c r="B50" s="5" t="s">
        <v>1589</v>
      </c>
      <c r="C50" s="82"/>
      <c r="D50" s="2"/>
    </row>
    <row r="51" spans="2:9" s="5" customFormat="1" ht="16.5" customHeight="1">
      <c r="B51" s="5" t="s">
        <v>1590</v>
      </c>
      <c r="C51" s="84"/>
      <c r="D51" s="2"/>
    </row>
    <row r="52" spans="2:9" s="112" customFormat="1" ht="16.5" customHeight="1">
      <c r="B52" s="203" t="s">
        <v>1591</v>
      </c>
      <c r="C52" s="152"/>
      <c r="D52" s="111"/>
      <c r="E52" s="111"/>
      <c r="F52" s="111"/>
      <c r="G52" s="111"/>
      <c r="I52" s="111"/>
    </row>
    <row r="53" spans="2:9" s="113" customFormat="1" ht="16.5" customHeight="1">
      <c r="C53" s="153"/>
    </row>
    <row r="54" spans="2:9" s="9" customFormat="1" ht="16.5" customHeight="1">
      <c r="C54" s="84"/>
      <c r="D54" s="8"/>
    </row>
    <row r="55" spans="2:9" s="154" customFormat="1" ht="16.5" customHeight="1"/>
    <row r="56" spans="2:9" s="154" customFormat="1" ht="16.5" customHeight="1"/>
  </sheetData>
  <printOptions horizontalCentered="1"/>
  <pageMargins left="0.74803149606299213" right="0.74803149606299213" top="0.39370078740157483" bottom="0.39370078740157483" header="0.51181102362204722" footer="0.51181102362204722"/>
  <pageSetup paperSize="9" scale="85" orientation="portrait" horizontalDpi="4294967293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AO226"/>
  <sheetViews>
    <sheetView view="pageBreakPreview" topLeftCell="A53" zoomScale="96" zoomScaleNormal="100" zoomScaleSheetLayoutView="96" workbookViewId="0">
      <selection activeCell="P76" sqref="P76"/>
    </sheetView>
  </sheetViews>
  <sheetFormatPr defaultRowHeight="8.25"/>
  <cols>
    <col min="1" max="1" width="6.5703125" style="422" bestFit="1" customWidth="1"/>
    <col min="2" max="2" width="27.28515625" style="422" bestFit="1" customWidth="1"/>
    <col min="3" max="4" width="5.28515625" style="422" bestFit="1" customWidth="1"/>
    <col min="5" max="5" width="4.7109375" style="422" bestFit="1" customWidth="1"/>
    <col min="6" max="6" width="4.140625" style="422" bestFit="1" customWidth="1"/>
    <col min="7" max="7" width="6" style="422" bestFit="1" customWidth="1"/>
    <col min="8" max="8" width="4.42578125" style="422" bestFit="1" customWidth="1"/>
    <col min="9" max="9" width="5.28515625" style="422" bestFit="1" customWidth="1"/>
    <col min="10" max="10" width="4.140625" style="422" bestFit="1" customWidth="1"/>
    <col min="11" max="12" width="4.7109375" style="422" bestFit="1" customWidth="1"/>
    <col min="13" max="13" width="5.28515625" style="422" bestFit="1" customWidth="1"/>
    <col min="14" max="14" width="4.7109375" style="422" bestFit="1" customWidth="1"/>
    <col min="15" max="15" width="4.140625" style="422" bestFit="1" customWidth="1"/>
    <col min="16" max="18" width="4.7109375" style="422" bestFit="1" customWidth="1"/>
    <col min="19" max="21" width="5.28515625" style="422" bestFit="1" customWidth="1"/>
    <col min="22" max="22" width="6.140625" style="422" bestFit="1" customWidth="1"/>
    <col min="23" max="24" width="4.7109375" style="422" bestFit="1" customWidth="1"/>
    <col min="25" max="26" width="5.28515625" style="422" bestFit="1" customWidth="1"/>
    <col min="27" max="27" width="4.7109375" style="422" bestFit="1" customWidth="1"/>
    <col min="28" max="28" width="5" style="422" bestFit="1" customWidth="1"/>
    <col min="29" max="29" width="4.140625" style="422" bestFit="1" customWidth="1"/>
    <col min="30" max="30" width="5.28515625" style="422" bestFit="1" customWidth="1"/>
    <col min="31" max="31" width="4.7109375" style="422" bestFit="1" customWidth="1"/>
    <col min="32" max="33" width="5.28515625" style="422" bestFit="1" customWidth="1"/>
    <col min="34" max="34" width="5" style="422" bestFit="1" customWidth="1"/>
    <col min="35" max="35" width="5.28515625" style="422" bestFit="1" customWidth="1"/>
    <col min="36" max="37" width="4.7109375" style="422" bestFit="1" customWidth="1"/>
    <col min="38" max="38" width="4.42578125" style="422" bestFit="1" customWidth="1"/>
    <col min="39" max="39" width="4.7109375" style="422" bestFit="1" customWidth="1"/>
    <col min="40" max="40" width="6" style="422" bestFit="1" customWidth="1"/>
    <col min="41" max="41" width="9.140625" style="422" bestFit="1" customWidth="1"/>
    <col min="42" max="16384" width="9.140625" style="422"/>
  </cols>
  <sheetData>
    <row r="1" spans="1:41" ht="8.25" customHeight="1">
      <c r="R1" s="792" t="s">
        <v>583</v>
      </c>
      <c r="S1" s="792"/>
      <c r="T1" s="792"/>
    </row>
    <row r="2" spans="1:41">
      <c r="B2" s="794" t="s">
        <v>1322</v>
      </c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U2" s="794"/>
    </row>
    <row r="3" spans="1:41">
      <c r="V3" s="422" t="s">
        <v>111</v>
      </c>
      <c r="AL3" s="422" t="s">
        <v>111</v>
      </c>
    </row>
    <row r="4" spans="1:41" ht="74.25">
      <c r="A4" s="281" t="s">
        <v>112</v>
      </c>
      <c r="B4" s="26" t="s">
        <v>113</v>
      </c>
      <c r="C4" s="31" t="s">
        <v>68</v>
      </c>
      <c r="D4" s="31" t="s">
        <v>69</v>
      </c>
      <c r="E4" s="31" t="s">
        <v>70</v>
      </c>
      <c r="F4" s="31" t="s">
        <v>71</v>
      </c>
      <c r="G4" s="31" t="s">
        <v>98</v>
      </c>
      <c r="H4" s="31" t="s">
        <v>72</v>
      </c>
      <c r="I4" s="31" t="s">
        <v>73</v>
      </c>
      <c r="J4" s="31" t="s">
        <v>74</v>
      </c>
      <c r="K4" s="31" t="s">
        <v>75</v>
      </c>
      <c r="L4" s="31" t="s">
        <v>114</v>
      </c>
      <c r="M4" s="31" t="s">
        <v>76</v>
      </c>
      <c r="N4" s="31" t="s">
        <v>77</v>
      </c>
      <c r="O4" s="31" t="s">
        <v>115</v>
      </c>
      <c r="P4" s="31" t="s">
        <v>78</v>
      </c>
      <c r="Q4" s="31" t="s">
        <v>79</v>
      </c>
      <c r="R4" s="31" t="s">
        <v>80</v>
      </c>
      <c r="S4" s="31" t="s">
        <v>116</v>
      </c>
      <c r="T4" s="31" t="s">
        <v>81</v>
      </c>
      <c r="U4" s="31" t="s">
        <v>82</v>
      </c>
      <c r="V4" s="31" t="s">
        <v>117</v>
      </c>
      <c r="W4" s="31" t="s">
        <v>83</v>
      </c>
      <c r="X4" s="31" t="s">
        <v>118</v>
      </c>
      <c r="Y4" s="31" t="s">
        <v>85</v>
      </c>
      <c r="Z4" s="31" t="s">
        <v>84</v>
      </c>
      <c r="AA4" s="31" t="s">
        <v>87</v>
      </c>
      <c r="AB4" s="31" t="s">
        <v>86</v>
      </c>
      <c r="AC4" s="31" t="s">
        <v>89</v>
      </c>
      <c r="AD4" s="31" t="s">
        <v>88</v>
      </c>
      <c r="AE4" s="31" t="s">
        <v>90</v>
      </c>
      <c r="AF4" s="31" t="s">
        <v>91</v>
      </c>
      <c r="AG4" s="31" t="s">
        <v>92</v>
      </c>
      <c r="AH4" s="31" t="s">
        <v>93</v>
      </c>
      <c r="AI4" s="31" t="s">
        <v>94</v>
      </c>
      <c r="AJ4" s="31" t="s">
        <v>119</v>
      </c>
      <c r="AK4" s="31" t="s">
        <v>96</v>
      </c>
      <c r="AL4" s="31" t="s">
        <v>95</v>
      </c>
      <c r="AM4" s="31" t="s">
        <v>97</v>
      </c>
      <c r="AN4" s="31" t="s">
        <v>120</v>
      </c>
      <c r="AO4" s="25"/>
    </row>
    <row r="5" spans="1:41" ht="9" thickBot="1">
      <c r="A5" s="282"/>
      <c r="B5" s="30"/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30">
        <v>24</v>
      </c>
      <c r="AA5" s="30">
        <v>25</v>
      </c>
      <c r="AB5" s="30">
        <v>26</v>
      </c>
      <c r="AC5" s="30">
        <v>27</v>
      </c>
      <c r="AD5" s="30">
        <v>28</v>
      </c>
      <c r="AE5" s="30">
        <v>29</v>
      </c>
      <c r="AF5" s="30">
        <v>30</v>
      </c>
      <c r="AG5" s="30">
        <v>31</v>
      </c>
      <c r="AH5" s="30">
        <v>32</v>
      </c>
      <c r="AI5" s="30">
        <v>33</v>
      </c>
      <c r="AJ5" s="30">
        <v>34</v>
      </c>
      <c r="AK5" s="30">
        <v>35</v>
      </c>
      <c r="AL5" s="30">
        <v>36</v>
      </c>
      <c r="AM5" s="30">
        <v>37</v>
      </c>
      <c r="AN5" s="30"/>
      <c r="AO5" s="25"/>
    </row>
    <row r="6" spans="1:41" ht="30" thickBot="1">
      <c r="A6" s="283" t="s">
        <v>121</v>
      </c>
      <c r="B6" s="437" t="s">
        <v>122</v>
      </c>
      <c r="C6" s="438">
        <v>1005.736</v>
      </c>
      <c r="D6" s="439">
        <v>2681.3180000000002</v>
      </c>
      <c r="E6" s="439">
        <v>940.93899999999996</v>
      </c>
      <c r="F6" s="439">
        <v>279.43</v>
      </c>
      <c r="G6" s="440">
        <v>11521.24</v>
      </c>
      <c r="H6" s="439">
        <v>743.11199999999997</v>
      </c>
      <c r="I6" s="439">
        <v>1058.6030000000001</v>
      </c>
      <c r="J6" s="439">
        <v>997.66</v>
      </c>
      <c r="K6" s="441">
        <v>126.791</v>
      </c>
      <c r="L6" s="439">
        <v>1312.81</v>
      </c>
      <c r="M6" s="441">
        <v>290.15800000000002</v>
      </c>
      <c r="N6" s="440">
        <v>252.98500000000001</v>
      </c>
      <c r="O6" s="441">
        <v>29.466999999999999</v>
      </c>
      <c r="P6" s="441">
        <v>1238.28</v>
      </c>
      <c r="Q6" s="440">
        <v>915.95699999999999</v>
      </c>
      <c r="R6" s="439">
        <v>455.14699999999999</v>
      </c>
      <c r="S6" s="439">
        <v>1082.3050000000001</v>
      </c>
      <c r="T6" s="441">
        <v>1291.05</v>
      </c>
      <c r="U6" s="439">
        <v>1609.2049999999999</v>
      </c>
      <c r="V6" s="439">
        <v>300.36</v>
      </c>
      <c r="W6" s="440">
        <v>922.51</v>
      </c>
      <c r="X6" s="439">
        <v>516.81500000000005</v>
      </c>
      <c r="Y6" s="440">
        <v>1084.5129999999999</v>
      </c>
      <c r="Z6" s="439">
        <v>2480.1709999999998</v>
      </c>
      <c r="AA6" s="440">
        <v>917.99800000000005</v>
      </c>
      <c r="AB6" s="440">
        <v>958.55499999999995</v>
      </c>
      <c r="AC6" s="442">
        <v>517.55999999999995</v>
      </c>
      <c r="AD6" s="443">
        <v>1175.1559999999999</v>
      </c>
      <c r="AE6" s="444">
        <v>23.544</v>
      </c>
      <c r="AF6" s="440">
        <v>2955.105</v>
      </c>
      <c r="AG6" s="440">
        <v>1312.6410000000001</v>
      </c>
      <c r="AH6" s="445">
        <v>1769.3530000000001</v>
      </c>
      <c r="AI6" s="446">
        <v>1601.0160000000001</v>
      </c>
      <c r="AJ6" s="447">
        <v>908.26</v>
      </c>
      <c r="AK6" s="439">
        <v>738.976</v>
      </c>
      <c r="AL6" s="439">
        <v>291.97500000000002</v>
      </c>
      <c r="AM6" s="448">
        <v>7.9509999999999996</v>
      </c>
      <c r="AN6" s="449">
        <f t="shared" ref="AN6:AN69" si="0">SUM(C6:AM6)</f>
        <v>46314.652000000016</v>
      </c>
      <c r="AO6" s="25"/>
    </row>
    <row r="7" spans="1:41">
      <c r="A7" s="284">
        <v>1000</v>
      </c>
      <c r="B7" s="284" t="s">
        <v>123</v>
      </c>
      <c r="C7" s="285">
        <v>147.01900000000001</v>
      </c>
      <c r="D7" s="27"/>
      <c r="E7" s="285">
        <v>934.91499999999996</v>
      </c>
      <c r="F7" s="27"/>
      <c r="G7" s="284">
        <v>855.74599999999998</v>
      </c>
      <c r="H7" s="27">
        <v>723.97</v>
      </c>
      <c r="I7" s="27"/>
      <c r="J7" s="27"/>
      <c r="K7" s="27"/>
      <c r="L7" s="27"/>
      <c r="M7" s="27"/>
      <c r="N7" s="27"/>
      <c r="O7" s="27"/>
      <c r="P7" s="27">
        <v>868.69799999999998</v>
      </c>
      <c r="Q7" s="27"/>
      <c r="R7" s="27">
        <v>3.8490000000000002</v>
      </c>
      <c r="S7" s="27"/>
      <c r="T7" s="284">
        <v>629.94000000000005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>
        <v>1731.6610000000001</v>
      </c>
      <c r="AG7" s="27"/>
      <c r="AH7" s="27">
        <v>1322.569</v>
      </c>
      <c r="AI7" s="27"/>
      <c r="AJ7" s="27"/>
      <c r="AK7" s="27"/>
      <c r="AL7" s="27"/>
      <c r="AM7" s="27"/>
      <c r="AN7" s="27">
        <f t="shared" si="0"/>
        <v>7218.3670000000002</v>
      </c>
      <c r="AO7" s="25"/>
    </row>
    <row r="8" spans="1:41">
      <c r="A8" s="286">
        <v>1010</v>
      </c>
      <c r="B8" s="286" t="s">
        <v>124</v>
      </c>
      <c r="C8" s="26"/>
      <c r="D8" s="26"/>
      <c r="E8" s="26"/>
      <c r="F8" s="26"/>
      <c r="G8" s="286">
        <v>34.731999999999999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86">
        <v>9.1519999999999992</v>
      </c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>
        <v>1.0009999999999999</v>
      </c>
      <c r="AG8" s="26"/>
      <c r="AH8" s="26"/>
      <c r="AI8" s="26"/>
      <c r="AJ8" s="26"/>
      <c r="AK8" s="26"/>
      <c r="AL8" s="26"/>
      <c r="AM8" s="26"/>
      <c r="AN8" s="26">
        <f t="shared" si="0"/>
        <v>44.884999999999998</v>
      </c>
      <c r="AO8" s="25"/>
    </row>
    <row r="9" spans="1:41">
      <c r="A9" s="286">
        <v>1020</v>
      </c>
      <c r="B9" s="286" t="s">
        <v>125</v>
      </c>
      <c r="C9" s="26"/>
      <c r="D9" s="26"/>
      <c r="E9" s="26"/>
      <c r="F9" s="26"/>
      <c r="G9" s="286">
        <v>30.152999999999999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86">
        <v>2.4700000000000002</v>
      </c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>
        <f t="shared" si="0"/>
        <v>32.622999999999998</v>
      </c>
      <c r="AO9" s="25"/>
    </row>
    <row r="10" spans="1:41">
      <c r="A10" s="286">
        <v>1030</v>
      </c>
      <c r="B10" s="286" t="s">
        <v>126</v>
      </c>
      <c r="C10" s="26"/>
      <c r="D10" s="26"/>
      <c r="E10" s="26"/>
      <c r="F10" s="26"/>
      <c r="G10" s="286">
        <v>936.90800000000002</v>
      </c>
      <c r="H10" s="26"/>
      <c r="I10" s="26"/>
      <c r="J10" s="26"/>
      <c r="K10" s="287">
        <v>11.819000000000001</v>
      </c>
      <c r="L10" s="26"/>
      <c r="M10" s="26"/>
      <c r="N10" s="26"/>
      <c r="O10" s="26"/>
      <c r="P10" s="26">
        <v>4.3639999999999999</v>
      </c>
      <c r="Q10" s="26"/>
      <c r="R10" s="26"/>
      <c r="S10" s="26"/>
      <c r="T10" s="286">
        <v>87.081000000000003</v>
      </c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>
        <f t="shared" si="0"/>
        <v>1040.172</v>
      </c>
      <c r="AO10" s="25"/>
    </row>
    <row r="11" spans="1:41">
      <c r="A11" s="286">
        <v>1040</v>
      </c>
      <c r="B11" s="286" t="s">
        <v>127</v>
      </c>
      <c r="C11" s="286">
        <v>9.9499999999999993</v>
      </c>
      <c r="D11" s="26"/>
      <c r="E11" s="26"/>
      <c r="F11" s="26"/>
      <c r="G11" s="286">
        <v>24.347000000000001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86">
        <v>166.46</v>
      </c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>
        <v>25.706</v>
      </c>
      <c r="AG11" s="26"/>
      <c r="AH11" s="26"/>
      <c r="AI11" s="26"/>
      <c r="AJ11" s="26"/>
      <c r="AK11" s="26"/>
      <c r="AL11" s="26"/>
      <c r="AM11" s="26"/>
      <c r="AN11" s="26">
        <f t="shared" si="0"/>
        <v>226.46299999999999</v>
      </c>
      <c r="AO11" s="25"/>
    </row>
    <row r="12" spans="1:41" ht="33">
      <c r="A12" s="286">
        <v>1050</v>
      </c>
      <c r="B12" s="286" t="s">
        <v>128</v>
      </c>
      <c r="C12" s="286">
        <v>363.61099999999999</v>
      </c>
      <c r="D12" s="26"/>
      <c r="E12" s="287">
        <v>8.94</v>
      </c>
      <c r="F12" s="26"/>
      <c r="G12" s="286">
        <v>2048.2330000000002</v>
      </c>
      <c r="H12" s="26"/>
      <c r="I12" s="26"/>
      <c r="J12" s="26"/>
      <c r="K12" s="287">
        <v>11.657</v>
      </c>
      <c r="L12" s="26"/>
      <c r="M12" s="26"/>
      <c r="N12" s="26"/>
      <c r="O12" s="26"/>
      <c r="P12" s="26"/>
      <c r="Q12" s="26"/>
      <c r="R12" s="26"/>
      <c r="S12" s="26"/>
      <c r="T12" s="286">
        <v>5.0679999999999996</v>
      </c>
      <c r="U12" s="26"/>
      <c r="V12" s="287" t="s">
        <v>129</v>
      </c>
      <c r="W12" s="26"/>
      <c r="X12" s="26"/>
      <c r="Y12" s="26"/>
      <c r="Z12" s="26"/>
      <c r="AA12" s="26"/>
      <c r="AB12" s="26"/>
      <c r="AC12" s="26"/>
      <c r="AD12" s="26"/>
      <c r="AE12" s="26"/>
      <c r="AF12" s="288">
        <v>52.103000000000002</v>
      </c>
      <c r="AG12" s="26"/>
      <c r="AH12" s="26">
        <v>130.41499999999999</v>
      </c>
      <c r="AI12" s="26"/>
      <c r="AJ12" s="26"/>
      <c r="AK12" s="26"/>
      <c r="AL12" s="26">
        <v>23</v>
      </c>
      <c r="AM12" s="26"/>
      <c r="AN12" s="26">
        <f t="shared" si="0"/>
        <v>2643.0270000000005</v>
      </c>
      <c r="AO12" s="25"/>
    </row>
    <row r="13" spans="1:41">
      <c r="A13" s="286">
        <v>1100</v>
      </c>
      <c r="B13" s="286" t="s">
        <v>130</v>
      </c>
      <c r="C13" s="26"/>
      <c r="D13" s="26"/>
      <c r="E13" s="26"/>
      <c r="F13" s="26"/>
      <c r="G13" s="286">
        <v>74.162000000000006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>
        <f t="shared" si="0"/>
        <v>74.162000000000006</v>
      </c>
      <c r="AO13" s="25"/>
    </row>
    <row r="14" spans="1:41">
      <c r="A14" s="286">
        <v>1110</v>
      </c>
      <c r="B14" s="286" t="s">
        <v>131</v>
      </c>
      <c r="C14" s="26"/>
      <c r="D14" s="26"/>
      <c r="E14" s="26"/>
      <c r="F14" s="26"/>
      <c r="G14" s="286">
        <v>120.214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86">
        <v>10.004</v>
      </c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>
        <f t="shared" si="0"/>
        <v>130.21799999999999</v>
      </c>
      <c r="AO14" s="25"/>
    </row>
    <row r="15" spans="1:41">
      <c r="A15" s="286">
        <v>1120</v>
      </c>
      <c r="B15" s="286" t="s">
        <v>132</v>
      </c>
      <c r="C15" s="26"/>
      <c r="D15" s="26"/>
      <c r="E15" s="26"/>
      <c r="F15" s="26"/>
      <c r="G15" s="286">
        <v>0.83499999999999996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86">
        <v>6.766</v>
      </c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>
        <f t="shared" si="0"/>
        <v>7.601</v>
      </c>
      <c r="AO15" s="25"/>
    </row>
    <row r="16" spans="1:41">
      <c r="A16" s="286">
        <v>1130</v>
      </c>
      <c r="B16" s="286" t="s">
        <v>133</v>
      </c>
      <c r="C16" s="26"/>
      <c r="D16" s="26"/>
      <c r="E16" s="26"/>
      <c r="F16" s="26"/>
      <c r="G16" s="286">
        <v>10.968999999999999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>
        <v>13.16</v>
      </c>
      <c r="AK16" s="26"/>
      <c r="AL16" s="26"/>
      <c r="AM16" s="26"/>
      <c r="AN16" s="26">
        <f t="shared" si="0"/>
        <v>24.128999999999998</v>
      </c>
      <c r="AO16" s="25"/>
    </row>
    <row r="17" spans="1:41">
      <c r="A17" s="286">
        <v>1140</v>
      </c>
      <c r="B17" s="286" t="s">
        <v>134</v>
      </c>
      <c r="C17" s="26"/>
      <c r="D17" s="26"/>
      <c r="E17" s="26"/>
      <c r="F17" s="26"/>
      <c r="G17" s="286">
        <v>8.5299999999999994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86">
        <v>3.3540000000000001</v>
      </c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f t="shared" si="0"/>
        <v>11.884</v>
      </c>
      <c r="AO17" s="25"/>
    </row>
    <row r="18" spans="1:41">
      <c r="A18" s="286">
        <v>1150</v>
      </c>
      <c r="B18" s="286" t="s">
        <v>135</v>
      </c>
      <c r="C18" s="26"/>
      <c r="D18" s="26"/>
      <c r="E18" s="26"/>
      <c r="F18" s="26"/>
      <c r="G18" s="286">
        <v>8.8330000000000002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86">
        <v>2.718</v>
      </c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>
        <f t="shared" si="0"/>
        <v>11.551</v>
      </c>
      <c r="AO18" s="25"/>
    </row>
    <row r="19" spans="1:41" s="25" customFormat="1">
      <c r="A19" s="286">
        <v>1160</v>
      </c>
      <c r="B19" s="286" t="s">
        <v>136</v>
      </c>
      <c r="C19" s="26"/>
      <c r="D19" s="26"/>
      <c r="E19" s="26"/>
      <c r="F19" s="26"/>
      <c r="G19" s="286">
        <v>82.141999999999996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86">
        <v>2.7189999999999999</v>
      </c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>
        <f t="shared" si="0"/>
        <v>84.86099999999999</v>
      </c>
    </row>
    <row r="20" spans="1:41">
      <c r="A20" s="286">
        <v>1170</v>
      </c>
      <c r="B20" s="286" t="s">
        <v>137</v>
      </c>
      <c r="C20" s="26"/>
      <c r="D20" s="26"/>
      <c r="E20" s="26"/>
      <c r="F20" s="26"/>
      <c r="G20" s="286">
        <v>1.679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>
        <f t="shared" si="0"/>
        <v>1.679</v>
      </c>
      <c r="AO20" s="25"/>
    </row>
    <row r="21" spans="1:41" ht="16.5">
      <c r="A21" s="286">
        <v>1180</v>
      </c>
      <c r="B21" s="286" t="s">
        <v>138</v>
      </c>
      <c r="C21" s="26"/>
      <c r="D21" s="26"/>
      <c r="E21" s="26"/>
      <c r="F21" s="26"/>
      <c r="G21" s="286">
        <v>3.2149999999999999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>
        <f t="shared" si="0"/>
        <v>3.2149999999999999</v>
      </c>
      <c r="AO21" s="25"/>
    </row>
    <row r="22" spans="1:41">
      <c r="A22" s="286">
        <v>1190</v>
      </c>
      <c r="B22" s="286" t="s">
        <v>139</v>
      </c>
      <c r="C22" s="287">
        <v>0.96199999999999997</v>
      </c>
      <c r="D22" s="26"/>
      <c r="E22" s="26"/>
      <c r="F22" s="26"/>
      <c r="G22" s="286">
        <v>6.907</v>
      </c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87">
        <v>5.5510000000000002</v>
      </c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>
        <f t="shared" si="0"/>
        <v>13.42</v>
      </c>
      <c r="AO22" s="25"/>
    </row>
    <row r="23" spans="1:41">
      <c r="A23" s="286">
        <v>1200</v>
      </c>
      <c r="B23" s="286" t="s">
        <v>140</v>
      </c>
      <c r="C23" s="26"/>
      <c r="D23" s="26"/>
      <c r="E23" s="26"/>
      <c r="F23" s="26"/>
      <c r="G23" s="286">
        <v>22.635000000000002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>
        <f t="shared" si="0"/>
        <v>22.635000000000002</v>
      </c>
      <c r="AO23" s="25"/>
    </row>
    <row r="24" spans="1:41">
      <c r="A24" s="286">
        <v>1210</v>
      </c>
      <c r="B24" s="286" t="s">
        <v>141</v>
      </c>
      <c r="C24" s="287">
        <v>396.09699999999998</v>
      </c>
      <c r="D24" s="26"/>
      <c r="E24" s="26"/>
      <c r="F24" s="26"/>
      <c r="G24" s="286">
        <v>1635.9169999999999</v>
      </c>
      <c r="H24" s="26"/>
      <c r="I24" s="26"/>
      <c r="J24" s="26"/>
      <c r="K24" s="26"/>
      <c r="L24" s="26"/>
      <c r="M24" s="26"/>
      <c r="N24" s="26"/>
      <c r="O24" s="26"/>
      <c r="P24" s="287">
        <v>44.734999999999999</v>
      </c>
      <c r="Q24" s="26"/>
      <c r="R24" s="26"/>
      <c r="S24" s="26"/>
      <c r="T24" s="287">
        <v>4.2539999999999996</v>
      </c>
      <c r="U24" s="287">
        <v>127.084</v>
      </c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>
        <v>105.655</v>
      </c>
      <c r="AG24" s="26"/>
      <c r="AH24" s="26"/>
      <c r="AI24" s="26"/>
      <c r="AJ24" s="26"/>
      <c r="AK24" s="26"/>
      <c r="AL24" s="26"/>
      <c r="AM24" s="26"/>
      <c r="AN24" s="26">
        <f t="shared" si="0"/>
        <v>2313.7419999999997</v>
      </c>
      <c r="AO24" s="25"/>
    </row>
    <row r="25" spans="1:41">
      <c r="A25" s="286">
        <v>1300</v>
      </c>
      <c r="B25" s="286" t="s">
        <v>142</v>
      </c>
      <c r="C25" s="287">
        <v>33.872999999999998</v>
      </c>
      <c r="D25" s="26"/>
      <c r="E25" s="26"/>
      <c r="F25" s="26"/>
      <c r="G25" s="286">
        <v>229.221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87">
        <v>9.8759999999999994</v>
      </c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>
        <v>15.164999999999999</v>
      </c>
      <c r="AG25" s="26"/>
      <c r="AH25" s="26"/>
      <c r="AI25" s="26"/>
      <c r="AJ25" s="26"/>
      <c r="AK25" s="26"/>
      <c r="AL25" s="26"/>
      <c r="AM25" s="26"/>
      <c r="AN25" s="26">
        <f t="shared" si="0"/>
        <v>288.13499999999999</v>
      </c>
      <c r="AO25" s="25"/>
    </row>
    <row r="26" spans="1:41">
      <c r="A26" s="286">
        <v>1310</v>
      </c>
      <c r="B26" s="286" t="s">
        <v>143</v>
      </c>
      <c r="C26" s="26"/>
      <c r="D26" s="287">
        <v>79.043999999999997</v>
      </c>
      <c r="E26" s="26"/>
      <c r="F26" s="26"/>
      <c r="G26" s="286">
        <v>531.76700000000005</v>
      </c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87">
        <v>2.0539999999999998</v>
      </c>
      <c r="AA26" s="26"/>
      <c r="AB26" s="26"/>
      <c r="AC26" s="26"/>
      <c r="AD26" s="26"/>
      <c r="AE26" s="26"/>
      <c r="AF26" s="26"/>
      <c r="AG26" s="26"/>
      <c r="AH26" s="30"/>
      <c r="AI26" s="26"/>
      <c r="AJ26" s="26"/>
      <c r="AK26" s="26"/>
      <c r="AL26" s="26"/>
      <c r="AM26" s="26"/>
      <c r="AN26" s="26">
        <f t="shared" si="0"/>
        <v>612.86500000000001</v>
      </c>
      <c r="AO26" s="25"/>
    </row>
    <row r="27" spans="1:41">
      <c r="A27" s="286">
        <v>1350</v>
      </c>
      <c r="B27" s="286" t="s">
        <v>144</v>
      </c>
      <c r="C27" s="287">
        <v>4.8710000000000004</v>
      </c>
      <c r="D27" s="26">
        <v>24.1</v>
      </c>
      <c r="E27" s="26">
        <v>1.06</v>
      </c>
      <c r="F27" s="26">
        <v>2</v>
      </c>
      <c r="G27" s="286">
        <v>197.59</v>
      </c>
      <c r="H27" s="287">
        <v>3.88</v>
      </c>
      <c r="I27" s="287">
        <v>16.992999999999999</v>
      </c>
      <c r="J27" s="26">
        <v>8.8000000000000007</v>
      </c>
      <c r="K27" s="287">
        <v>6.9589999999999996</v>
      </c>
      <c r="L27" s="287">
        <v>7.4029999999999996</v>
      </c>
      <c r="M27" s="287">
        <v>8.0079999999999991</v>
      </c>
      <c r="N27" s="287">
        <v>14.083</v>
      </c>
      <c r="O27" s="26">
        <v>1</v>
      </c>
      <c r="P27" s="287">
        <v>14.208</v>
      </c>
      <c r="Q27" s="287">
        <v>4.0090000000000003</v>
      </c>
      <c r="R27" s="26">
        <v>2.4289999999999998</v>
      </c>
      <c r="S27" s="287">
        <v>5.1829999999999998</v>
      </c>
      <c r="T27" s="287">
        <v>21.995000000000001</v>
      </c>
      <c r="U27" s="287">
        <v>9.4139999999999997</v>
      </c>
      <c r="V27" s="287">
        <v>17.155000000000001</v>
      </c>
      <c r="W27" s="26">
        <v>3.2330000000000001</v>
      </c>
      <c r="X27" s="287">
        <v>3.68</v>
      </c>
      <c r="Y27" s="287">
        <v>5.0949999999999998</v>
      </c>
      <c r="Z27" s="287">
        <v>28.23</v>
      </c>
      <c r="AA27" s="287">
        <v>5.0869999999999997</v>
      </c>
      <c r="AB27" s="26"/>
      <c r="AC27" s="26">
        <v>4.38</v>
      </c>
      <c r="AD27" s="26">
        <v>4.5</v>
      </c>
      <c r="AE27" s="288">
        <v>1.0389999999999999</v>
      </c>
      <c r="AF27" s="288">
        <v>21.234000000000002</v>
      </c>
      <c r="AG27" s="29">
        <v>7.2050000000000001</v>
      </c>
      <c r="AH27" s="286">
        <v>12.653</v>
      </c>
      <c r="AI27" s="288">
        <v>10.157</v>
      </c>
      <c r="AJ27" s="288">
        <v>6.0350000000000001</v>
      </c>
      <c r="AK27" s="26">
        <v>8.17</v>
      </c>
      <c r="AL27" s="288">
        <v>6.8940000000000001</v>
      </c>
      <c r="AM27" s="26">
        <v>2.1</v>
      </c>
      <c r="AN27" s="26">
        <f t="shared" si="0"/>
        <v>500.83200000000005</v>
      </c>
      <c r="AO27" s="25"/>
    </row>
    <row r="28" spans="1:41">
      <c r="A28" s="286">
        <v>1360</v>
      </c>
      <c r="B28" s="286" t="s">
        <v>145</v>
      </c>
      <c r="C28" s="26"/>
      <c r="D28" s="26"/>
      <c r="E28" s="26"/>
      <c r="F28" s="26"/>
      <c r="G28" s="286">
        <v>3.4710000000000001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7"/>
      <c r="AI28" s="26"/>
      <c r="AJ28" s="26"/>
      <c r="AK28" s="26"/>
      <c r="AL28" s="26"/>
      <c r="AM28" s="26"/>
      <c r="AN28" s="26">
        <f t="shared" si="0"/>
        <v>3.4710000000000001</v>
      </c>
      <c r="AO28" s="25"/>
    </row>
    <row r="29" spans="1:41">
      <c r="A29" s="286">
        <v>1370</v>
      </c>
      <c r="B29" s="286" t="s">
        <v>146</v>
      </c>
      <c r="C29" s="287">
        <v>5.1180000000000003</v>
      </c>
      <c r="D29" s="26"/>
      <c r="E29" s="26"/>
      <c r="F29" s="26"/>
      <c r="G29" s="286">
        <v>258.21899999999999</v>
      </c>
      <c r="H29" s="26"/>
      <c r="I29" s="26"/>
      <c r="J29" s="26"/>
      <c r="K29" s="26"/>
      <c r="L29" s="26"/>
      <c r="M29" s="26"/>
      <c r="N29" s="26"/>
      <c r="O29" s="26"/>
      <c r="P29" s="287">
        <v>54.368000000000002</v>
      </c>
      <c r="Q29" s="26"/>
      <c r="R29" s="26"/>
      <c r="S29" s="26"/>
      <c r="T29" s="287">
        <v>0.214</v>
      </c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>
        <v>30.725000000000001</v>
      </c>
      <c r="AG29" s="26"/>
      <c r="AH29" s="26"/>
      <c r="AI29" s="26"/>
      <c r="AJ29" s="26"/>
      <c r="AK29" s="26"/>
      <c r="AL29" s="26"/>
      <c r="AM29" s="26"/>
      <c r="AN29" s="26">
        <f t="shared" si="0"/>
        <v>348.64400000000001</v>
      </c>
      <c r="AO29" s="25"/>
    </row>
    <row r="30" spans="1:41">
      <c r="A30" s="286">
        <v>1420</v>
      </c>
      <c r="B30" s="286" t="s">
        <v>147</v>
      </c>
      <c r="C30" s="26"/>
      <c r="D30" s="26"/>
      <c r="E30" s="26"/>
      <c r="F30" s="26"/>
      <c r="G30" s="286">
        <v>92.034999999999997</v>
      </c>
      <c r="H30" s="26"/>
      <c r="I30" s="26"/>
      <c r="J30" s="26"/>
      <c r="K30" s="26"/>
      <c r="L30" s="26"/>
      <c r="M30" s="26"/>
      <c r="N30" s="26"/>
      <c r="O30" s="26"/>
      <c r="P30" s="287">
        <v>5.0010000000000003</v>
      </c>
      <c r="Q30" s="26"/>
      <c r="R30" s="26"/>
      <c r="S30" s="26"/>
      <c r="T30" s="26"/>
      <c r="U30" s="26"/>
      <c r="V30" s="26"/>
      <c r="W30" s="26"/>
      <c r="X30" s="26"/>
      <c r="Y30" s="287">
        <v>11.64</v>
      </c>
      <c r="Z30" s="26"/>
      <c r="AA30" s="26"/>
      <c r="AB30" s="287">
        <v>17.896000000000001</v>
      </c>
      <c r="AC30" s="26"/>
      <c r="AD30" s="26"/>
      <c r="AE30" s="26"/>
      <c r="AF30" s="288">
        <v>16.617000000000001</v>
      </c>
      <c r="AG30" s="26"/>
      <c r="AH30" s="26"/>
      <c r="AI30" s="26"/>
      <c r="AJ30" s="26"/>
      <c r="AK30" s="26"/>
      <c r="AL30" s="26"/>
      <c r="AM30" s="26"/>
      <c r="AN30" s="26">
        <f t="shared" si="0"/>
        <v>143.18899999999999</v>
      </c>
      <c r="AO30" s="25"/>
    </row>
    <row r="31" spans="1:41">
      <c r="A31" s="286">
        <v>1490</v>
      </c>
      <c r="B31" s="286" t="s">
        <v>148</v>
      </c>
      <c r="C31" s="26"/>
      <c r="D31" s="26"/>
      <c r="E31" s="26"/>
      <c r="F31" s="26"/>
      <c r="G31" s="286">
        <v>15.118</v>
      </c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>
        <f t="shared" si="0"/>
        <v>15.118</v>
      </c>
      <c r="AO31" s="25"/>
    </row>
    <row r="32" spans="1:41">
      <c r="A32" s="289">
        <v>1500</v>
      </c>
      <c r="B32" s="289" t="s">
        <v>149</v>
      </c>
      <c r="C32" s="26"/>
      <c r="D32" s="26"/>
      <c r="E32" s="26"/>
      <c r="F32" s="26"/>
      <c r="G32" s="286">
        <v>2.1819999999999999</v>
      </c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87">
        <v>28.504000000000001</v>
      </c>
      <c r="U32" s="26"/>
      <c r="V32" s="26"/>
      <c r="W32" s="26"/>
      <c r="X32" s="26"/>
      <c r="Y32" s="26"/>
      <c r="Z32" s="26"/>
      <c r="AA32" s="287">
        <v>11</v>
      </c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>
        <f t="shared" si="0"/>
        <v>41.686</v>
      </c>
      <c r="AO32" s="25"/>
    </row>
    <row r="33" spans="1:41">
      <c r="A33" s="286">
        <v>1600</v>
      </c>
      <c r="B33" s="286" t="s">
        <v>150</v>
      </c>
      <c r="C33" s="28"/>
      <c r="D33" s="26"/>
      <c r="E33" s="26"/>
      <c r="F33" s="26"/>
      <c r="G33" s="28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87"/>
      <c r="U33" s="26"/>
      <c r="V33" s="26"/>
      <c r="W33" s="26"/>
      <c r="X33" s="26"/>
      <c r="Y33" s="26"/>
      <c r="Z33" s="26"/>
      <c r="AA33" s="287"/>
      <c r="AB33" s="26"/>
      <c r="AC33" s="26"/>
      <c r="AD33" s="26">
        <v>495.38099999999997</v>
      </c>
      <c r="AE33" s="26"/>
      <c r="AF33" s="26">
        <v>9.18</v>
      </c>
      <c r="AG33" s="26"/>
      <c r="AH33" s="288">
        <v>9.1820000000000004</v>
      </c>
      <c r="AI33" s="26"/>
      <c r="AJ33" s="26"/>
      <c r="AK33" s="26"/>
      <c r="AL33" s="26"/>
      <c r="AM33" s="26"/>
      <c r="AN33" s="26">
        <f t="shared" si="0"/>
        <v>513.74299999999994</v>
      </c>
      <c r="AO33" s="25"/>
    </row>
    <row r="34" spans="1:41">
      <c r="A34" s="284">
        <v>1630</v>
      </c>
      <c r="B34" s="284" t="s">
        <v>151</v>
      </c>
      <c r="C34" s="26"/>
      <c r="D34" s="26"/>
      <c r="E34" s="26"/>
      <c r="F34" s="26"/>
      <c r="G34" s="286">
        <v>10.226000000000001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88">
        <v>4.702</v>
      </c>
      <c r="AF34" s="26"/>
      <c r="AG34" s="26"/>
      <c r="AH34" s="26"/>
      <c r="AI34" s="26"/>
      <c r="AJ34" s="26"/>
      <c r="AK34" s="26"/>
      <c r="AL34" s="288">
        <v>3.2810000000000001</v>
      </c>
      <c r="AM34" s="26"/>
      <c r="AN34" s="26">
        <f t="shared" si="0"/>
        <v>18.209</v>
      </c>
      <c r="AO34" s="25"/>
    </row>
    <row r="35" spans="1:41">
      <c r="A35" s="286">
        <v>1650</v>
      </c>
      <c r="B35" s="286" t="s">
        <v>152</v>
      </c>
      <c r="C35" s="287">
        <v>1.1479999999999999</v>
      </c>
      <c r="D35" s="26"/>
      <c r="E35" s="26"/>
      <c r="F35" s="26"/>
      <c r="G35" s="286">
        <v>0.33900000000000002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>
        <f t="shared" si="0"/>
        <v>1.4869999999999999</v>
      </c>
      <c r="AO35" s="25"/>
    </row>
    <row r="36" spans="1:41">
      <c r="A36" s="286">
        <v>1660</v>
      </c>
      <c r="B36" s="286" t="s">
        <v>153</v>
      </c>
      <c r="C36" s="26"/>
      <c r="D36" s="26"/>
      <c r="E36" s="26"/>
      <c r="F36" s="26"/>
      <c r="G36" s="286">
        <v>2.0659999999999998</v>
      </c>
      <c r="H36" s="26"/>
      <c r="I36" s="26"/>
      <c r="J36" s="26"/>
      <c r="K36" s="26"/>
      <c r="L36" s="26"/>
      <c r="M36" s="26"/>
      <c r="N36" s="26"/>
      <c r="O36" s="26"/>
      <c r="P36" s="287">
        <v>17.158000000000001</v>
      </c>
      <c r="Q36" s="26"/>
      <c r="R36" s="26"/>
      <c r="S36" s="26"/>
      <c r="T36" s="26"/>
      <c r="U36" s="287">
        <v>4.2030000000000003</v>
      </c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>
        <f t="shared" si="0"/>
        <v>23.427</v>
      </c>
      <c r="AO36" s="25"/>
    </row>
    <row r="37" spans="1:41">
      <c r="A37" s="286">
        <v>1700</v>
      </c>
      <c r="B37" s="286" t="s">
        <v>154</v>
      </c>
      <c r="C37" s="287">
        <v>7.0000000000000007E-2</v>
      </c>
      <c r="D37" s="26"/>
      <c r="E37" s="26"/>
      <c r="F37" s="26"/>
      <c r="G37" s="286">
        <v>16.539000000000001</v>
      </c>
      <c r="H37" s="287">
        <v>25.693999999999999</v>
      </c>
      <c r="I37" s="26"/>
      <c r="J37" s="26"/>
      <c r="K37" s="26"/>
      <c r="L37" s="26"/>
      <c r="M37" s="26"/>
      <c r="N37" s="26"/>
      <c r="O37" s="26"/>
      <c r="P37" s="26">
        <v>8.4000000000000005E-2</v>
      </c>
      <c r="Q37" s="26"/>
      <c r="R37" s="26"/>
      <c r="S37" s="26"/>
      <c r="T37" s="287">
        <v>0.106</v>
      </c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88">
        <v>618.21299999999997</v>
      </c>
      <c r="AG37" s="26"/>
      <c r="AH37" s="288">
        <v>618.29499999999996</v>
      </c>
      <c r="AI37" s="26"/>
      <c r="AJ37" s="26"/>
      <c r="AK37" s="26"/>
      <c r="AL37" s="26"/>
      <c r="AM37" s="26"/>
      <c r="AN37" s="26">
        <f t="shared" si="0"/>
        <v>1279.001</v>
      </c>
      <c r="AO37" s="25"/>
    </row>
    <row r="38" spans="1:41">
      <c r="A38" s="286">
        <v>1710</v>
      </c>
      <c r="B38" s="286" t="s">
        <v>155</v>
      </c>
      <c r="C38" s="26"/>
      <c r="D38" s="26"/>
      <c r="E38" s="26"/>
      <c r="F38" s="26"/>
      <c r="G38" s="286">
        <v>41.341000000000001</v>
      </c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>
        <f t="shared" si="0"/>
        <v>41.341000000000001</v>
      </c>
      <c r="AO38" s="25"/>
    </row>
    <row r="39" spans="1:41" ht="16.5">
      <c r="A39" s="286">
        <v>1720</v>
      </c>
      <c r="B39" s="286" t="s">
        <v>156</v>
      </c>
      <c r="C39" s="26"/>
      <c r="D39" s="26"/>
      <c r="E39" s="26"/>
      <c r="F39" s="26"/>
      <c r="G39" s="286">
        <v>1.6819999999999999</v>
      </c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>
        <v>0.104</v>
      </c>
      <c r="AG39" s="288">
        <v>5.3289999999999997</v>
      </c>
      <c r="AH39" s="30"/>
      <c r="AI39" s="26"/>
      <c r="AJ39" s="26"/>
      <c r="AK39" s="26"/>
      <c r="AL39" s="26"/>
      <c r="AM39" s="26"/>
      <c r="AN39" s="26">
        <f t="shared" si="0"/>
        <v>7.1150000000000002</v>
      </c>
      <c r="AO39" s="25"/>
    </row>
    <row r="40" spans="1:41">
      <c r="A40" s="286">
        <v>1730</v>
      </c>
      <c r="B40" s="286" t="s">
        <v>157</v>
      </c>
      <c r="C40" s="26"/>
      <c r="D40" s="26"/>
      <c r="E40" s="26"/>
      <c r="F40" s="26"/>
      <c r="G40" s="286">
        <v>3.5030000000000001</v>
      </c>
      <c r="H40" s="26"/>
      <c r="I40" s="26"/>
      <c r="J40" s="26"/>
      <c r="K40" s="26"/>
      <c r="L40" s="26"/>
      <c r="M40" s="26"/>
      <c r="N40" s="26"/>
      <c r="O40" s="26"/>
      <c r="P40" s="286">
        <v>2.593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>
        <v>64.917000000000002</v>
      </c>
      <c r="AG40" s="29"/>
      <c r="AH40" s="286">
        <v>64.924999999999997</v>
      </c>
      <c r="AI40" s="28"/>
      <c r="AJ40" s="26"/>
      <c r="AK40" s="26"/>
      <c r="AL40" s="26"/>
      <c r="AM40" s="26"/>
      <c r="AN40" s="26">
        <f t="shared" si="0"/>
        <v>135.93799999999999</v>
      </c>
      <c r="AO40" s="25"/>
    </row>
    <row r="41" spans="1:41" ht="16.5">
      <c r="A41" s="286">
        <v>1740</v>
      </c>
      <c r="B41" s="286" t="s">
        <v>158</v>
      </c>
      <c r="C41" s="26"/>
      <c r="D41" s="26"/>
      <c r="E41" s="26"/>
      <c r="F41" s="26"/>
      <c r="G41" s="286">
        <v>21.966999999999999</v>
      </c>
      <c r="H41" s="26"/>
      <c r="I41" s="26"/>
      <c r="J41" s="26"/>
      <c r="K41" s="26"/>
      <c r="L41" s="26"/>
      <c r="M41" s="26"/>
      <c r="N41" s="26"/>
      <c r="O41" s="26"/>
      <c r="P41" s="286">
        <v>212.21</v>
      </c>
      <c r="Q41" s="26"/>
      <c r="R41" s="26"/>
      <c r="S41" s="26"/>
      <c r="T41" s="287">
        <v>72.564999999999998</v>
      </c>
      <c r="U41" s="26"/>
      <c r="V41" s="26"/>
      <c r="W41" s="26"/>
      <c r="X41" s="26"/>
      <c r="Y41" s="26"/>
      <c r="Z41" s="26"/>
      <c r="AA41" s="26"/>
      <c r="AB41" s="287">
        <v>1779.9459999999999</v>
      </c>
      <c r="AC41" s="26"/>
      <c r="AD41" s="26"/>
      <c r="AE41" s="26"/>
      <c r="AF41" s="26"/>
      <c r="AG41" s="26"/>
      <c r="AH41" s="27"/>
      <c r="AI41" s="26"/>
      <c r="AJ41" s="26"/>
      <c r="AK41" s="26"/>
      <c r="AL41" s="26"/>
      <c r="AM41" s="26"/>
      <c r="AN41" s="26">
        <f t="shared" si="0"/>
        <v>2086.6880000000001</v>
      </c>
      <c r="AO41" s="25"/>
    </row>
    <row r="42" spans="1:41" ht="16.5">
      <c r="A42" s="286">
        <v>1760</v>
      </c>
      <c r="B42" s="286" t="s">
        <v>159</v>
      </c>
      <c r="C42" s="26"/>
      <c r="D42" s="26"/>
      <c r="E42" s="26"/>
      <c r="F42" s="26"/>
      <c r="G42" s="286">
        <v>142.42699999999999</v>
      </c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>
        <v>6.1639999999999997</v>
      </c>
      <c r="AG42" s="26"/>
      <c r="AH42" s="26"/>
      <c r="AI42" s="26"/>
      <c r="AJ42" s="26"/>
      <c r="AK42" s="26"/>
      <c r="AL42" s="26"/>
      <c r="AM42" s="26"/>
      <c r="AN42" s="26">
        <f t="shared" si="0"/>
        <v>148.59099999999998</v>
      </c>
      <c r="AO42" s="25"/>
    </row>
    <row r="43" spans="1:41" ht="16.5">
      <c r="A43" s="286">
        <v>1780</v>
      </c>
      <c r="B43" s="286" t="s">
        <v>160</v>
      </c>
      <c r="C43" s="281"/>
      <c r="D43" s="281"/>
      <c r="E43" s="281"/>
      <c r="F43" s="281"/>
      <c r="G43" s="286">
        <v>83.433999999999997</v>
      </c>
      <c r="H43" s="281"/>
      <c r="I43" s="281"/>
      <c r="J43" s="281"/>
      <c r="K43" s="281"/>
      <c r="L43" s="281"/>
      <c r="M43" s="281"/>
      <c r="N43" s="281"/>
      <c r="O43" s="281"/>
      <c r="P43" s="281"/>
      <c r="Q43" s="287">
        <v>94.644000000000005</v>
      </c>
      <c r="R43" s="281"/>
      <c r="S43" s="281"/>
      <c r="T43" s="281"/>
      <c r="U43" s="281"/>
      <c r="V43" s="281"/>
      <c r="W43" s="281"/>
      <c r="X43" s="281"/>
      <c r="Y43" s="281"/>
      <c r="Z43" s="281"/>
      <c r="AA43" s="281"/>
      <c r="AB43" s="281"/>
      <c r="AC43" s="281"/>
      <c r="AD43" s="281"/>
      <c r="AE43" s="281"/>
      <c r="AF43" s="288">
        <v>107.571</v>
      </c>
      <c r="AG43" s="281"/>
      <c r="AH43" s="288">
        <v>107.587</v>
      </c>
      <c r="AI43" s="281"/>
      <c r="AJ43" s="281"/>
      <c r="AK43" s="281"/>
      <c r="AL43" s="281"/>
      <c r="AM43" s="281"/>
      <c r="AN43" s="281">
        <f t="shared" si="0"/>
        <v>393.23599999999999</v>
      </c>
    </row>
    <row r="44" spans="1:41">
      <c r="A44" s="286">
        <v>1800</v>
      </c>
      <c r="B44" s="286" t="s">
        <v>161</v>
      </c>
      <c r="C44" s="281"/>
      <c r="D44" s="281"/>
      <c r="E44" s="281"/>
      <c r="F44" s="281"/>
      <c r="G44" s="286">
        <v>18.024999999999999</v>
      </c>
      <c r="H44" s="281"/>
      <c r="I44" s="281"/>
      <c r="J44" s="281"/>
      <c r="K44" s="281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1"/>
      <c r="AI44" s="281"/>
      <c r="AJ44" s="281"/>
      <c r="AK44" s="281"/>
      <c r="AL44" s="281"/>
      <c r="AM44" s="281"/>
      <c r="AN44" s="281">
        <f t="shared" si="0"/>
        <v>18.024999999999999</v>
      </c>
    </row>
    <row r="45" spans="1:41" s="291" customFormat="1">
      <c r="A45" s="286">
        <v>1810</v>
      </c>
      <c r="B45" s="286" t="s">
        <v>162</v>
      </c>
      <c r="C45" s="290"/>
      <c r="D45" s="290"/>
      <c r="E45" s="290"/>
      <c r="F45" s="290"/>
      <c r="G45" s="286">
        <v>10.263999999999999</v>
      </c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0"/>
      <c r="AJ45" s="290"/>
      <c r="AK45" s="290"/>
      <c r="AL45" s="290"/>
      <c r="AM45" s="290"/>
      <c r="AN45" s="281">
        <f t="shared" si="0"/>
        <v>10.263999999999999</v>
      </c>
    </row>
    <row r="46" spans="1:41">
      <c r="A46" s="286">
        <v>1830</v>
      </c>
      <c r="B46" s="286" t="s">
        <v>163</v>
      </c>
      <c r="C46" s="281"/>
      <c r="D46" s="281"/>
      <c r="E46" s="281"/>
      <c r="F46" s="281"/>
      <c r="G46" s="286">
        <v>166.398</v>
      </c>
      <c r="H46" s="281"/>
      <c r="I46" s="281"/>
      <c r="J46" s="281"/>
      <c r="K46" s="281"/>
      <c r="L46" s="281"/>
      <c r="M46" s="281"/>
      <c r="N46" s="281"/>
      <c r="O46" s="281"/>
      <c r="P46" s="287">
        <v>34.722000000000001</v>
      </c>
      <c r="Q46" s="281"/>
      <c r="R46" s="281"/>
      <c r="S46" s="281"/>
      <c r="T46" s="287">
        <v>2.5259999999999998</v>
      </c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>
        <v>2.1869999999999998</v>
      </c>
      <c r="AG46" s="281"/>
      <c r="AH46" s="288">
        <v>2.1869999999999998</v>
      </c>
      <c r="AI46" s="281"/>
      <c r="AJ46" s="281"/>
      <c r="AK46" s="281"/>
      <c r="AL46" s="281"/>
      <c r="AM46" s="281"/>
      <c r="AN46" s="281">
        <f t="shared" si="0"/>
        <v>208.02000000000004</v>
      </c>
    </row>
    <row r="47" spans="1:41">
      <c r="A47" s="286">
        <v>1840</v>
      </c>
      <c r="B47" s="286" t="s">
        <v>164</v>
      </c>
      <c r="C47" s="281"/>
      <c r="D47" s="281"/>
      <c r="E47" s="281"/>
      <c r="F47" s="281"/>
      <c r="G47" s="286">
        <v>47.872</v>
      </c>
      <c r="H47" s="281"/>
      <c r="I47" s="281"/>
      <c r="J47" s="281"/>
      <c r="K47" s="281"/>
      <c r="L47" s="281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  <c r="AG47" s="281"/>
      <c r="AH47" s="281"/>
      <c r="AI47" s="281"/>
      <c r="AJ47" s="281"/>
      <c r="AK47" s="281"/>
      <c r="AL47" s="281"/>
      <c r="AM47" s="281"/>
      <c r="AN47" s="281">
        <f t="shared" si="0"/>
        <v>47.872</v>
      </c>
    </row>
    <row r="48" spans="1:41">
      <c r="A48" s="286">
        <v>1850</v>
      </c>
      <c r="B48" s="286" t="s">
        <v>165</v>
      </c>
      <c r="C48" s="281"/>
      <c r="D48" s="281"/>
      <c r="E48" s="287">
        <v>11.01</v>
      </c>
      <c r="F48" s="281"/>
      <c r="G48" s="286">
        <v>215.39400000000001</v>
      </c>
      <c r="H48" s="281"/>
      <c r="I48" s="281"/>
      <c r="J48" s="281"/>
      <c r="K48" s="281"/>
      <c r="L48" s="281"/>
      <c r="M48" s="287">
        <v>3.0830000000000002</v>
      </c>
      <c r="N48" s="281"/>
      <c r="O48" s="281"/>
      <c r="P48" s="287">
        <v>67.503</v>
      </c>
      <c r="Q48" s="281"/>
      <c r="R48" s="281">
        <v>10.57</v>
      </c>
      <c r="S48" s="281"/>
      <c r="T48" s="287">
        <v>11.848000000000001</v>
      </c>
      <c r="U48" s="287">
        <v>46.094000000000001</v>
      </c>
      <c r="V48" s="287">
        <v>9.1910000000000007</v>
      </c>
      <c r="W48" s="281"/>
      <c r="X48" s="287">
        <v>3.633</v>
      </c>
      <c r="Y48" s="281"/>
      <c r="Z48" s="281"/>
      <c r="AA48" s="281"/>
      <c r="AB48" s="281"/>
      <c r="AC48" s="281"/>
      <c r="AD48" s="287">
        <v>4.5860000000000003</v>
      </c>
      <c r="AE48" s="281"/>
      <c r="AF48" s="287">
        <v>2.5459999999999998</v>
      </c>
      <c r="AG48" s="292"/>
      <c r="AH48" s="288">
        <v>2.5459999999999998</v>
      </c>
      <c r="AI48" s="281"/>
      <c r="AJ48" s="281"/>
      <c r="AK48" s="288">
        <v>6</v>
      </c>
      <c r="AL48" s="281"/>
      <c r="AM48" s="281"/>
      <c r="AN48" s="281">
        <f t="shared" si="0"/>
        <v>394.00399999999996</v>
      </c>
    </row>
    <row r="49" spans="1:40">
      <c r="A49" s="286">
        <v>1910</v>
      </c>
      <c r="B49" s="286" t="s">
        <v>166</v>
      </c>
      <c r="C49" s="281"/>
      <c r="D49" s="281"/>
      <c r="E49" s="281"/>
      <c r="F49" s="281"/>
      <c r="G49" s="286">
        <v>14.949</v>
      </c>
      <c r="H49" s="281"/>
      <c r="I49" s="281"/>
      <c r="J49" s="281"/>
      <c r="K49" s="281"/>
      <c r="L49" s="281"/>
      <c r="M49" s="281"/>
      <c r="N49" s="281"/>
      <c r="O49" s="281"/>
      <c r="P49" s="281">
        <v>18.858000000000001</v>
      </c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  <c r="AG49" s="281"/>
      <c r="AH49" s="281"/>
      <c r="AI49" s="281"/>
      <c r="AJ49" s="281"/>
      <c r="AK49" s="293"/>
      <c r="AL49" s="281"/>
      <c r="AM49" s="281"/>
      <c r="AN49" s="281">
        <f t="shared" si="0"/>
        <v>33.807000000000002</v>
      </c>
    </row>
    <row r="50" spans="1:40" ht="16.5">
      <c r="A50" s="286">
        <v>1920</v>
      </c>
      <c r="B50" s="286" t="s">
        <v>167</v>
      </c>
      <c r="C50" s="287">
        <v>46.381</v>
      </c>
      <c r="D50" s="287">
        <v>96.385999999999996</v>
      </c>
      <c r="E50" s="287">
        <v>100.371</v>
      </c>
      <c r="F50" s="287">
        <v>11.156000000000001</v>
      </c>
      <c r="G50" s="286">
        <v>1761.164</v>
      </c>
      <c r="H50" s="287">
        <v>8.9990000000000006</v>
      </c>
      <c r="I50" s="287">
        <v>74.231999999999999</v>
      </c>
      <c r="J50" s="287">
        <v>38.378</v>
      </c>
      <c r="K50" s="281"/>
      <c r="L50" s="287">
        <v>11.18</v>
      </c>
      <c r="M50" s="281"/>
      <c r="N50" s="287">
        <v>25.035</v>
      </c>
      <c r="O50" s="287">
        <v>20.373999999999999</v>
      </c>
      <c r="P50" s="287">
        <v>171.39</v>
      </c>
      <c r="Q50" s="286">
        <v>40.773000000000003</v>
      </c>
      <c r="R50" s="281">
        <v>25.814</v>
      </c>
      <c r="S50" s="287">
        <v>13.358000000000001</v>
      </c>
      <c r="T50" s="287">
        <v>52.482999999999997</v>
      </c>
      <c r="U50" s="287">
        <v>102.946</v>
      </c>
      <c r="V50" s="287">
        <v>35.299999999999997</v>
      </c>
      <c r="W50" s="287">
        <v>11.673</v>
      </c>
      <c r="X50" s="287">
        <v>8.0050000000000008</v>
      </c>
      <c r="Y50" s="287">
        <v>13.46</v>
      </c>
      <c r="Z50" s="287">
        <v>30.22</v>
      </c>
      <c r="AA50" s="287">
        <v>6.3369999999999997</v>
      </c>
      <c r="AB50" s="287">
        <v>55.485999999999997</v>
      </c>
      <c r="AC50" s="287">
        <v>1.9670000000000001</v>
      </c>
      <c r="AD50" s="288">
        <v>11.677</v>
      </c>
      <c r="AE50" s="281"/>
      <c r="AF50" s="288">
        <v>173.39</v>
      </c>
      <c r="AG50" s="281"/>
      <c r="AH50" s="287">
        <v>178.93199999999999</v>
      </c>
      <c r="AI50" s="287">
        <v>5.37</v>
      </c>
      <c r="AJ50" s="287">
        <v>39.548999999999999</v>
      </c>
      <c r="AK50" s="287">
        <v>71.775999999999996</v>
      </c>
      <c r="AL50" s="287">
        <v>53.755000000000003</v>
      </c>
      <c r="AM50" s="281"/>
      <c r="AN50" s="281">
        <f t="shared" si="0"/>
        <v>3297.3169999999996</v>
      </c>
    </row>
    <row r="51" spans="1:40">
      <c r="A51" s="286">
        <v>2000</v>
      </c>
      <c r="B51" s="286" t="s">
        <v>168</v>
      </c>
      <c r="C51" s="281"/>
      <c r="D51" s="281"/>
      <c r="E51" s="281"/>
      <c r="F51" s="281"/>
      <c r="G51" s="286">
        <v>2.1040000000000001</v>
      </c>
      <c r="H51" s="281"/>
      <c r="I51" s="281"/>
      <c r="J51" s="281"/>
      <c r="K51" s="281"/>
      <c r="L51" s="281"/>
      <c r="M51" s="281"/>
      <c r="N51" s="281"/>
      <c r="O51" s="281"/>
      <c r="P51" s="281"/>
      <c r="Q51" s="281"/>
      <c r="R51" s="281"/>
      <c r="S51" s="281"/>
      <c r="T51" s="281"/>
      <c r="U51" s="281"/>
      <c r="V51" s="281"/>
      <c r="W51" s="281"/>
      <c r="X51" s="281"/>
      <c r="Y51" s="287">
        <v>335.67399999999998</v>
      </c>
      <c r="Z51" s="281"/>
      <c r="AA51" s="281"/>
      <c r="AB51" s="287">
        <v>11.754</v>
      </c>
      <c r="AC51" s="281"/>
      <c r="AD51" s="281"/>
      <c r="AE51" s="281"/>
      <c r="AF51" s="281"/>
      <c r="AG51" s="281"/>
      <c r="AH51" s="281"/>
      <c r="AI51" s="281"/>
      <c r="AJ51" s="281"/>
      <c r="AK51" s="293"/>
      <c r="AL51" s="281"/>
      <c r="AM51" s="281"/>
      <c r="AN51" s="281">
        <f t="shared" si="0"/>
        <v>349.53199999999998</v>
      </c>
    </row>
    <row r="52" spans="1:40">
      <c r="A52" s="286">
        <v>2010</v>
      </c>
      <c r="B52" s="286" t="s">
        <v>169</v>
      </c>
      <c r="C52" s="281"/>
      <c r="D52" s="281"/>
      <c r="E52" s="281"/>
      <c r="F52" s="281"/>
      <c r="G52" s="286">
        <v>211.05699999999999</v>
      </c>
      <c r="H52" s="281"/>
      <c r="I52" s="281"/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8">
        <v>2.6320000000000001</v>
      </c>
      <c r="AJ52" s="281"/>
      <c r="AK52" s="293"/>
      <c r="AL52" s="281"/>
      <c r="AM52" s="281"/>
      <c r="AN52" s="281">
        <f t="shared" si="0"/>
        <v>213.68899999999999</v>
      </c>
    </row>
    <row r="53" spans="1:40">
      <c r="A53" s="286">
        <v>2020</v>
      </c>
      <c r="B53" s="286" t="s">
        <v>170</v>
      </c>
      <c r="C53" s="281"/>
      <c r="D53" s="281"/>
      <c r="E53" s="281"/>
      <c r="F53" s="281"/>
      <c r="G53" s="286">
        <v>159.06100000000001</v>
      </c>
      <c r="H53" s="287">
        <v>28.741</v>
      </c>
      <c r="I53" s="281"/>
      <c r="J53" s="281"/>
      <c r="K53" s="281"/>
      <c r="L53" s="281"/>
      <c r="M53" s="281"/>
      <c r="N53" s="287">
        <v>1.2709999999999999</v>
      </c>
      <c r="O53" s="287">
        <v>5.5549999999999997</v>
      </c>
      <c r="P53" s="281">
        <v>7.9000000000000001E-2</v>
      </c>
      <c r="Q53" s="281"/>
      <c r="R53" s="281"/>
      <c r="S53" s="287">
        <v>1.2430000000000001</v>
      </c>
      <c r="T53" s="287">
        <v>90.667000000000002</v>
      </c>
      <c r="U53" s="281"/>
      <c r="V53" s="281"/>
      <c r="W53" s="287">
        <v>2.4359999999999999</v>
      </c>
      <c r="X53" s="281"/>
      <c r="Y53" s="281"/>
      <c r="Z53" s="287">
        <v>5.2270000000000003</v>
      </c>
      <c r="AA53" s="281"/>
      <c r="AB53" s="281"/>
      <c r="AC53" s="281"/>
      <c r="AD53" s="281"/>
      <c r="AE53" s="281"/>
      <c r="AF53" s="281"/>
      <c r="AG53" s="281"/>
      <c r="AH53" s="281"/>
      <c r="AI53" s="281"/>
      <c r="AJ53" s="281"/>
      <c r="AK53" s="293"/>
      <c r="AL53" s="281"/>
      <c r="AM53" s="281"/>
      <c r="AN53" s="281">
        <f t="shared" si="0"/>
        <v>294.27999999999997</v>
      </c>
    </row>
    <row r="54" spans="1:40" ht="16.5">
      <c r="A54" s="286">
        <v>2030</v>
      </c>
      <c r="B54" s="286" t="s">
        <v>171</v>
      </c>
      <c r="C54" s="281"/>
      <c r="D54" s="281"/>
      <c r="E54" s="281"/>
      <c r="F54" s="281"/>
      <c r="G54" s="286">
        <v>3.1760000000000002</v>
      </c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1"/>
      <c r="AK54" s="293"/>
      <c r="AL54" s="281"/>
      <c r="AM54" s="281"/>
      <c r="AN54" s="281">
        <f t="shared" si="0"/>
        <v>3.1760000000000002</v>
      </c>
    </row>
    <row r="55" spans="1:40" ht="16.5">
      <c r="A55" s="286">
        <v>2040</v>
      </c>
      <c r="B55" s="286" t="s">
        <v>172</v>
      </c>
      <c r="C55" s="287">
        <v>2.8460000000000001</v>
      </c>
      <c r="D55" s="281"/>
      <c r="E55" s="281"/>
      <c r="F55" s="281"/>
      <c r="G55" s="286">
        <v>17.757999999999999</v>
      </c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7">
        <v>1.476</v>
      </c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81"/>
      <c r="AH55" s="281"/>
      <c r="AI55" s="281"/>
      <c r="AJ55" s="281"/>
      <c r="AK55" s="293"/>
      <c r="AL55" s="281"/>
      <c r="AM55" s="281"/>
      <c r="AN55" s="281">
        <f t="shared" si="0"/>
        <v>22.08</v>
      </c>
    </row>
    <row r="56" spans="1:40">
      <c r="A56" s="286">
        <v>2100</v>
      </c>
      <c r="B56" s="286" t="s">
        <v>173</v>
      </c>
      <c r="C56" s="281"/>
      <c r="D56" s="281"/>
      <c r="E56" s="281"/>
      <c r="F56" s="281"/>
      <c r="G56" s="286">
        <v>134.422</v>
      </c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93"/>
      <c r="AL56" s="281"/>
      <c r="AM56" s="281"/>
      <c r="AN56" s="281">
        <f t="shared" si="0"/>
        <v>134.422</v>
      </c>
    </row>
    <row r="57" spans="1:40">
      <c r="A57" s="286">
        <v>2110</v>
      </c>
      <c r="B57" s="286" t="s">
        <v>174</v>
      </c>
      <c r="C57" s="286">
        <v>96.06</v>
      </c>
      <c r="D57" s="281"/>
      <c r="E57" s="281"/>
      <c r="F57" s="281"/>
      <c r="G57" s="286">
        <v>1741.7380000000001</v>
      </c>
      <c r="H57" s="281"/>
      <c r="I57" s="281"/>
      <c r="J57" s="281"/>
      <c r="K57" s="281"/>
      <c r="L57" s="281"/>
      <c r="M57" s="281"/>
      <c r="N57" s="281"/>
      <c r="O57" s="281"/>
      <c r="P57" s="281">
        <v>218.7</v>
      </c>
      <c r="Q57" s="281"/>
      <c r="R57" s="281"/>
      <c r="S57" s="281"/>
      <c r="T57" s="287">
        <v>220.14500000000001</v>
      </c>
      <c r="U57" s="281"/>
      <c r="V57" s="281"/>
      <c r="W57" s="281"/>
      <c r="X57" s="281"/>
      <c r="Y57" s="281"/>
      <c r="Z57" s="281"/>
      <c r="AA57" s="281"/>
      <c r="AB57" s="281"/>
      <c r="AC57" s="281"/>
      <c r="AD57" s="281"/>
      <c r="AE57" s="281"/>
      <c r="AF57" s="281">
        <v>247.23099999999999</v>
      </c>
      <c r="AG57" s="281"/>
      <c r="AH57" s="281"/>
      <c r="AI57" s="288"/>
      <c r="AJ57" s="281"/>
      <c r="AK57" s="293"/>
      <c r="AL57" s="281"/>
      <c r="AM57" s="281"/>
      <c r="AN57" s="281">
        <f t="shared" si="0"/>
        <v>2523.8739999999998</v>
      </c>
    </row>
    <row r="58" spans="1:40">
      <c r="A58" s="286">
        <v>2120</v>
      </c>
      <c r="B58" s="286" t="s">
        <v>175</v>
      </c>
      <c r="C58" s="286">
        <v>0.67400000000000004</v>
      </c>
      <c r="D58" s="281"/>
      <c r="E58" s="281"/>
      <c r="F58" s="281"/>
      <c r="G58" s="286">
        <v>13.468999999999999</v>
      </c>
      <c r="H58" s="281"/>
      <c r="I58" s="281"/>
      <c r="J58" s="281"/>
      <c r="K58" s="281"/>
      <c r="L58" s="281"/>
      <c r="M58" s="281"/>
      <c r="N58" s="281"/>
      <c r="O58" s="281"/>
      <c r="P58" s="281">
        <v>0.14299999999999999</v>
      </c>
      <c r="Q58" s="281"/>
      <c r="R58" s="281"/>
      <c r="S58" s="281"/>
      <c r="T58" s="281"/>
      <c r="U58" s="281"/>
      <c r="V58" s="281"/>
      <c r="W58" s="281"/>
      <c r="X58" s="281"/>
      <c r="Y58" s="281"/>
      <c r="Z58" s="281"/>
      <c r="AA58" s="281"/>
      <c r="AB58" s="281"/>
      <c r="AC58" s="281"/>
      <c r="AD58" s="281"/>
      <c r="AE58" s="281"/>
      <c r="AF58" s="281">
        <v>0.56200000000000006</v>
      </c>
      <c r="AG58" s="281"/>
      <c r="AH58" s="281"/>
      <c r="AI58" s="281"/>
      <c r="AJ58" s="281"/>
      <c r="AK58" s="293"/>
      <c r="AL58" s="281"/>
      <c r="AM58" s="281"/>
      <c r="AN58" s="281">
        <f t="shared" si="0"/>
        <v>14.847999999999999</v>
      </c>
    </row>
    <row r="59" spans="1:40">
      <c r="A59" s="286">
        <v>2130</v>
      </c>
      <c r="B59" s="286" t="s">
        <v>176</v>
      </c>
      <c r="C59" s="281"/>
      <c r="D59" s="281"/>
      <c r="E59" s="281"/>
      <c r="F59" s="281"/>
      <c r="G59" s="286">
        <v>108.58</v>
      </c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  <c r="AC59" s="281"/>
      <c r="AD59" s="281"/>
      <c r="AE59" s="281"/>
      <c r="AF59" s="281"/>
      <c r="AG59" s="281"/>
      <c r="AH59" s="281"/>
      <c r="AI59" s="281"/>
      <c r="AJ59" s="281"/>
      <c r="AK59" s="293"/>
      <c r="AL59" s="281"/>
      <c r="AM59" s="281"/>
      <c r="AN59" s="281">
        <f t="shared" si="0"/>
        <v>108.58</v>
      </c>
    </row>
    <row r="60" spans="1:40">
      <c r="A60" s="286">
        <v>2140</v>
      </c>
      <c r="B60" s="286" t="s">
        <v>177</v>
      </c>
      <c r="C60" s="281"/>
      <c r="D60" s="281"/>
      <c r="E60" s="281"/>
      <c r="F60" s="281"/>
      <c r="G60" s="286">
        <v>11.16</v>
      </c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6">
        <v>6.3090000000000002</v>
      </c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>
        <v>2.7970000000000002</v>
      </c>
      <c r="AG60" s="281"/>
      <c r="AH60" s="281"/>
      <c r="AI60" s="281"/>
      <c r="AJ60" s="281"/>
      <c r="AK60" s="293"/>
      <c r="AL60" s="281"/>
      <c r="AM60" s="281"/>
      <c r="AN60" s="281">
        <f t="shared" si="0"/>
        <v>20.266000000000002</v>
      </c>
    </row>
    <row r="61" spans="1:40">
      <c r="A61" s="286">
        <v>2150</v>
      </c>
      <c r="B61" s="286" t="s">
        <v>178</v>
      </c>
      <c r="C61" s="287">
        <v>4.5679999999999996</v>
      </c>
      <c r="D61" s="281"/>
      <c r="E61" s="281"/>
      <c r="F61" s="281"/>
      <c r="G61" s="286">
        <v>51.281999999999996</v>
      </c>
      <c r="H61" s="281"/>
      <c r="I61" s="281"/>
      <c r="J61" s="281"/>
      <c r="K61" s="281"/>
      <c r="L61" s="281"/>
      <c r="M61" s="281"/>
      <c r="N61" s="281"/>
      <c r="O61" s="281"/>
      <c r="P61" s="281"/>
      <c r="Q61" s="281"/>
      <c r="R61" s="281"/>
      <c r="S61" s="281"/>
      <c r="T61" s="286">
        <v>0.55200000000000005</v>
      </c>
      <c r="U61" s="281"/>
      <c r="V61" s="281"/>
      <c r="W61" s="281"/>
      <c r="X61" s="281"/>
      <c r="Y61" s="281"/>
      <c r="Z61" s="281"/>
      <c r="AA61" s="281"/>
      <c r="AB61" s="281"/>
      <c r="AC61" s="281"/>
      <c r="AD61" s="281"/>
      <c r="AE61" s="281"/>
      <c r="AF61" s="281"/>
      <c r="AG61" s="281"/>
      <c r="AH61" s="281"/>
      <c r="AI61" s="281"/>
      <c r="AJ61" s="281"/>
      <c r="AK61" s="293"/>
      <c r="AL61" s="281"/>
      <c r="AM61" s="281"/>
      <c r="AN61" s="281">
        <f t="shared" si="0"/>
        <v>56.401999999999994</v>
      </c>
    </row>
    <row r="62" spans="1:40">
      <c r="A62" s="286">
        <v>2160</v>
      </c>
      <c r="B62" s="286" t="s">
        <v>179</v>
      </c>
      <c r="C62" s="281"/>
      <c r="D62" s="281"/>
      <c r="E62" s="281"/>
      <c r="F62" s="281"/>
      <c r="G62" s="286">
        <v>1.34</v>
      </c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281"/>
      <c r="AM62" s="281"/>
      <c r="AN62" s="281">
        <f t="shared" si="0"/>
        <v>1.34</v>
      </c>
    </row>
    <row r="63" spans="1:40">
      <c r="A63" s="286">
        <v>2170</v>
      </c>
      <c r="B63" s="286" t="s">
        <v>180</v>
      </c>
      <c r="C63" s="281"/>
      <c r="D63" s="281"/>
      <c r="E63" s="281"/>
      <c r="F63" s="281"/>
      <c r="G63" s="286">
        <v>181.357</v>
      </c>
      <c r="H63" s="281"/>
      <c r="I63" s="281"/>
      <c r="J63" s="281"/>
      <c r="K63" s="281"/>
      <c r="L63" s="281"/>
      <c r="M63" s="281"/>
      <c r="N63" s="281"/>
      <c r="O63" s="281"/>
      <c r="P63" s="287">
        <v>285.06299999999999</v>
      </c>
      <c r="Q63" s="287">
        <v>63.773000000000003</v>
      </c>
      <c r="R63" s="281"/>
      <c r="S63" s="287">
        <v>18.001999999999999</v>
      </c>
      <c r="T63" s="281"/>
      <c r="U63" s="281"/>
      <c r="V63" s="281"/>
      <c r="W63" s="287">
        <v>67.384</v>
      </c>
      <c r="X63" s="281"/>
      <c r="Y63" s="281"/>
      <c r="Z63" s="281"/>
      <c r="AA63" s="281"/>
      <c r="AB63" s="281"/>
      <c r="AC63" s="281"/>
      <c r="AD63" s="281"/>
      <c r="AE63" s="281"/>
      <c r="AF63" s="288">
        <v>428.38099999999997</v>
      </c>
      <c r="AG63" s="281"/>
      <c r="AH63" s="288">
        <v>415.32600000000002</v>
      </c>
      <c r="AI63" s="281"/>
      <c r="AJ63" s="286">
        <v>27.527999999999999</v>
      </c>
      <c r="AK63" s="281"/>
      <c r="AL63" s="281"/>
      <c r="AM63" s="281"/>
      <c r="AN63" s="281">
        <f t="shared" si="0"/>
        <v>1486.8140000000001</v>
      </c>
    </row>
    <row r="64" spans="1:40">
      <c r="A64" s="286">
        <v>2180</v>
      </c>
      <c r="B64" s="286" t="s">
        <v>181</v>
      </c>
      <c r="C64" s="281"/>
      <c r="D64" s="281"/>
      <c r="E64" s="281"/>
      <c r="F64" s="281"/>
      <c r="G64" s="286">
        <v>1.9790000000000001</v>
      </c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>
        <f t="shared" si="0"/>
        <v>1.9790000000000001</v>
      </c>
    </row>
    <row r="65" spans="1:40">
      <c r="A65" s="286">
        <v>2190</v>
      </c>
      <c r="B65" s="286" t="s">
        <v>182</v>
      </c>
      <c r="C65" s="281"/>
      <c r="D65" s="281"/>
      <c r="E65" s="281"/>
      <c r="F65" s="281"/>
      <c r="G65" s="286">
        <v>142.86500000000001</v>
      </c>
      <c r="H65" s="281"/>
      <c r="I65" s="281"/>
      <c r="J65" s="281"/>
      <c r="K65" s="281"/>
      <c r="L65" s="281"/>
      <c r="M65" s="281"/>
      <c r="N65" s="281"/>
      <c r="O65" s="281"/>
      <c r="P65" s="281">
        <v>3.0659999999999998</v>
      </c>
      <c r="Q65" s="281"/>
      <c r="R65" s="281"/>
      <c r="S65" s="281"/>
      <c r="T65" s="281" t="s">
        <v>1323</v>
      </c>
      <c r="U65" s="281"/>
      <c r="V65" s="281"/>
      <c r="W65" s="281"/>
      <c r="X65" s="281"/>
      <c r="Y65" s="281"/>
      <c r="Z65" s="281"/>
      <c r="AA65" s="281"/>
      <c r="AB65" s="281"/>
      <c r="AC65" s="281"/>
      <c r="AD65" s="281"/>
      <c r="AE65" s="281"/>
      <c r="AF65" s="281"/>
      <c r="AG65" s="281"/>
      <c r="AH65" s="281"/>
      <c r="AI65" s="281"/>
      <c r="AJ65" s="281"/>
      <c r="AK65" s="281"/>
      <c r="AL65" s="281"/>
      <c r="AM65" s="281"/>
      <c r="AN65" s="281">
        <f t="shared" si="0"/>
        <v>145.93100000000001</v>
      </c>
    </row>
    <row r="66" spans="1:40">
      <c r="A66" s="286">
        <v>2210</v>
      </c>
      <c r="B66" s="286" t="s">
        <v>183</v>
      </c>
      <c r="C66" s="281"/>
      <c r="D66" s="281"/>
      <c r="E66" s="281"/>
      <c r="F66" s="281"/>
      <c r="G66" s="286">
        <v>302.52100000000002</v>
      </c>
      <c r="H66" s="281"/>
      <c r="I66" s="281"/>
      <c r="J66" s="281"/>
      <c r="K66" s="281"/>
      <c r="L66" s="281"/>
      <c r="M66" s="281"/>
      <c r="N66" s="281"/>
      <c r="O66" s="281"/>
      <c r="P66" s="281">
        <v>186.898</v>
      </c>
      <c r="Q66" s="281"/>
      <c r="R66" s="281"/>
      <c r="S66" s="281"/>
      <c r="T66" s="281">
        <v>221.798</v>
      </c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>
        <v>210.54599999999999</v>
      </c>
      <c r="AG66" s="281"/>
      <c r="AH66" s="281"/>
      <c r="AI66" s="281"/>
      <c r="AJ66" s="281"/>
      <c r="AK66" s="293"/>
      <c r="AL66" s="281"/>
      <c r="AM66" s="281"/>
      <c r="AN66" s="281">
        <f t="shared" si="0"/>
        <v>921.76299999999992</v>
      </c>
    </row>
    <row r="67" spans="1:40">
      <c r="A67" s="286">
        <v>2240</v>
      </c>
      <c r="B67" s="286" t="s">
        <v>184</v>
      </c>
      <c r="C67" s="281"/>
      <c r="D67" s="281"/>
      <c r="E67" s="281"/>
      <c r="F67" s="281"/>
      <c r="G67" s="286">
        <v>3.7850000000000001</v>
      </c>
      <c r="H67" s="281"/>
      <c r="I67" s="281"/>
      <c r="J67" s="281"/>
      <c r="K67" s="281"/>
      <c r="L67" s="281"/>
      <c r="M67" s="281"/>
      <c r="N67" s="281"/>
      <c r="O67" s="281"/>
      <c r="P67" s="281">
        <v>0.08</v>
      </c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7">
        <v>9.7579999999999991</v>
      </c>
      <c r="AC67" s="281"/>
      <c r="AD67" s="281"/>
      <c r="AE67" s="281"/>
      <c r="AF67" s="281"/>
      <c r="AG67" s="281"/>
      <c r="AH67" s="281"/>
      <c r="AI67" s="281"/>
      <c r="AJ67" s="281"/>
      <c r="AK67" s="293"/>
      <c r="AL67" s="281"/>
      <c r="AM67" s="281"/>
      <c r="AN67" s="281">
        <f t="shared" si="0"/>
        <v>13.622999999999999</v>
      </c>
    </row>
    <row r="68" spans="1:40">
      <c r="A68" s="286">
        <v>2250</v>
      </c>
      <c r="B68" s="286" t="s">
        <v>185</v>
      </c>
      <c r="C68" s="281"/>
      <c r="D68" s="281"/>
      <c r="E68" s="281"/>
      <c r="F68" s="281"/>
      <c r="G68" s="286">
        <v>41.8</v>
      </c>
      <c r="H68" s="281"/>
      <c r="I68" s="281"/>
      <c r="J68" s="281"/>
      <c r="K68" s="281"/>
      <c r="L68" s="281"/>
      <c r="M68" s="281"/>
      <c r="N68" s="281"/>
      <c r="O68" s="281"/>
      <c r="P68" s="287">
        <v>1.0289999999999999</v>
      </c>
      <c r="Q68" s="281"/>
      <c r="R68" s="281"/>
      <c r="S68" s="281"/>
      <c r="T68" s="287">
        <v>2.0710000000000002</v>
      </c>
      <c r="U68" s="287">
        <v>6.1829999999999998</v>
      </c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>
        <v>4.3979999999999997</v>
      </c>
      <c r="AG68" s="281"/>
      <c r="AH68" s="288">
        <v>4.399</v>
      </c>
      <c r="AI68" s="281"/>
      <c r="AJ68" s="281"/>
      <c r="AK68" s="293"/>
      <c r="AL68" s="281"/>
      <c r="AM68" s="281"/>
      <c r="AN68" s="281">
        <f t="shared" si="0"/>
        <v>59.879999999999995</v>
      </c>
    </row>
    <row r="69" spans="1:40">
      <c r="A69" s="286">
        <v>2270</v>
      </c>
      <c r="B69" s="286" t="s">
        <v>186</v>
      </c>
      <c r="C69" s="281"/>
      <c r="D69" s="281"/>
      <c r="E69" s="281"/>
      <c r="F69" s="281"/>
      <c r="G69" s="286">
        <v>2.8250000000000002</v>
      </c>
      <c r="H69" s="281"/>
      <c r="I69" s="281"/>
      <c r="J69" s="281"/>
      <c r="K69" s="281"/>
      <c r="L69" s="281"/>
      <c r="M69" s="281"/>
      <c r="N69" s="281"/>
      <c r="O69" s="281"/>
      <c r="P69" s="287">
        <v>29.695</v>
      </c>
      <c r="Q69" s="287">
        <v>11.954000000000001</v>
      </c>
      <c r="R69" s="281"/>
      <c r="S69" s="287">
        <v>5.8490000000000002</v>
      </c>
      <c r="T69" s="281"/>
      <c r="U69" s="281"/>
      <c r="V69" s="281"/>
      <c r="W69" s="287">
        <v>2.3940000000000001</v>
      </c>
      <c r="X69" s="281"/>
      <c r="Y69" s="281"/>
      <c r="Z69" s="281"/>
      <c r="AA69" s="281"/>
      <c r="AB69" s="281"/>
      <c r="AC69" s="281"/>
      <c r="AD69" s="281"/>
      <c r="AE69" s="281"/>
      <c r="AF69" s="288">
        <v>109.919</v>
      </c>
      <c r="AG69" s="281"/>
      <c r="AH69" s="287">
        <v>109.932</v>
      </c>
      <c r="AI69" s="281"/>
      <c r="AJ69" s="281"/>
      <c r="AK69" s="293"/>
      <c r="AL69" s="281"/>
      <c r="AM69" s="281"/>
      <c r="AN69" s="281">
        <f t="shared" si="0"/>
        <v>272.56799999999998</v>
      </c>
    </row>
    <row r="70" spans="1:40">
      <c r="A70" s="286">
        <v>2280</v>
      </c>
      <c r="B70" s="286" t="s">
        <v>187</v>
      </c>
      <c r="C70" s="281"/>
      <c r="D70" s="281"/>
      <c r="E70" s="281"/>
      <c r="F70" s="281"/>
      <c r="G70" s="286">
        <v>68.075999999999993</v>
      </c>
      <c r="H70" s="281"/>
      <c r="I70" s="281"/>
      <c r="J70" s="281"/>
      <c r="K70" s="281"/>
      <c r="L70" s="281"/>
      <c r="M70" s="281"/>
      <c r="N70" s="281"/>
      <c r="O70" s="281"/>
      <c r="P70" s="281">
        <v>8.9990000000000006</v>
      </c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>
        <v>2.7850000000000001</v>
      </c>
      <c r="AG70" s="281"/>
      <c r="AH70" s="281"/>
      <c r="AI70" s="281"/>
      <c r="AJ70" s="281"/>
      <c r="AK70" s="293"/>
      <c r="AL70" s="281"/>
      <c r="AM70" s="281"/>
      <c r="AN70" s="281">
        <f t="shared" ref="AN70:AN80" si="1">SUM(C70:AM70)</f>
        <v>79.859999999999985</v>
      </c>
    </row>
    <row r="71" spans="1:40">
      <c r="A71" s="286">
        <v>2310</v>
      </c>
      <c r="B71" s="286" t="s">
        <v>188</v>
      </c>
      <c r="C71" s="287">
        <v>17.07</v>
      </c>
      <c r="D71" s="281"/>
      <c r="E71" s="281"/>
      <c r="F71" s="281"/>
      <c r="G71" s="286">
        <v>254.37899999999999</v>
      </c>
      <c r="H71" s="281"/>
      <c r="I71" s="281"/>
      <c r="J71" s="281"/>
      <c r="K71" s="281"/>
      <c r="L71" s="281"/>
      <c r="M71" s="281"/>
      <c r="N71" s="281"/>
      <c r="O71" s="281"/>
      <c r="P71" s="287">
        <v>11.029</v>
      </c>
      <c r="Q71" s="287">
        <v>84.730999999999995</v>
      </c>
      <c r="R71" s="281"/>
      <c r="S71" s="281"/>
      <c r="T71" s="286">
        <v>3.0070000000000001</v>
      </c>
      <c r="U71" s="281"/>
      <c r="V71" s="281"/>
      <c r="W71" s="281"/>
      <c r="X71" s="281"/>
      <c r="Y71" s="281"/>
      <c r="Z71" s="281"/>
      <c r="AA71" s="281"/>
      <c r="AB71" s="281"/>
      <c r="AC71" s="281"/>
      <c r="AD71" s="281"/>
      <c r="AE71" s="281"/>
      <c r="AF71" s="281">
        <v>19.195</v>
      </c>
      <c r="AG71" s="281"/>
      <c r="AH71" s="281"/>
      <c r="AI71" s="281"/>
      <c r="AJ71" s="281"/>
      <c r="AK71" s="293"/>
      <c r="AL71" s="281"/>
      <c r="AM71" s="281"/>
      <c r="AN71" s="281">
        <f t="shared" si="1"/>
        <v>389.411</v>
      </c>
    </row>
    <row r="72" spans="1:40">
      <c r="A72" s="286">
        <v>2460</v>
      </c>
      <c r="B72" s="286" t="s">
        <v>189</v>
      </c>
      <c r="C72" s="287">
        <v>1.603</v>
      </c>
      <c r="D72" s="281"/>
      <c r="E72" s="281"/>
      <c r="F72" s="281"/>
      <c r="G72" s="286"/>
      <c r="H72" s="281"/>
      <c r="I72" s="281"/>
      <c r="J72" s="281"/>
      <c r="K72" s="281"/>
      <c r="L72" s="281"/>
      <c r="M72" s="281"/>
      <c r="N72" s="281"/>
      <c r="O72" s="281"/>
      <c r="P72" s="281">
        <v>0.33</v>
      </c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>
        <v>0.2</v>
      </c>
      <c r="AG72" s="281"/>
      <c r="AH72" s="281"/>
      <c r="AI72" s="281"/>
      <c r="AJ72" s="281"/>
      <c r="AK72" s="293"/>
      <c r="AL72" s="281"/>
      <c r="AM72" s="281"/>
      <c r="AN72" s="281">
        <f t="shared" si="1"/>
        <v>2.133</v>
      </c>
    </row>
    <row r="73" spans="1:40">
      <c r="A73" s="286">
        <v>2400</v>
      </c>
      <c r="B73" s="286" t="s">
        <v>190</v>
      </c>
      <c r="C73" s="281"/>
      <c r="D73" s="281"/>
      <c r="E73" s="281"/>
      <c r="F73" s="281"/>
      <c r="G73" s="286">
        <v>4.5330000000000004</v>
      </c>
      <c r="H73" s="281"/>
      <c r="I73" s="281"/>
      <c r="J73" s="281"/>
      <c r="K73" s="281"/>
      <c r="L73" s="281"/>
      <c r="M73" s="281"/>
      <c r="N73" s="281"/>
      <c r="O73" s="281"/>
      <c r="P73" s="281"/>
      <c r="Q73" s="281"/>
      <c r="R73" s="281"/>
      <c r="S73" s="281"/>
      <c r="T73" s="281"/>
      <c r="U73" s="281"/>
      <c r="V73" s="281"/>
      <c r="W73" s="281"/>
      <c r="X73" s="281"/>
      <c r="Y73" s="281"/>
      <c r="Z73" s="281"/>
      <c r="AA73" s="281"/>
      <c r="AB73" s="281"/>
      <c r="AC73" s="281"/>
      <c r="AD73" s="281"/>
      <c r="AE73" s="281"/>
      <c r="AF73" s="281"/>
      <c r="AG73" s="281"/>
      <c r="AH73" s="281"/>
      <c r="AI73" s="281"/>
      <c r="AJ73" s="281"/>
      <c r="AK73" s="293"/>
      <c r="AL73" s="281"/>
      <c r="AM73" s="281"/>
      <c r="AN73" s="281">
        <f t="shared" si="1"/>
        <v>4.5330000000000004</v>
      </c>
    </row>
    <row r="74" spans="1:40">
      <c r="A74" s="286">
        <v>2410</v>
      </c>
      <c r="B74" s="286" t="s">
        <v>191</v>
      </c>
      <c r="C74" s="281"/>
      <c r="D74" s="281"/>
      <c r="E74" s="281"/>
      <c r="F74" s="281"/>
      <c r="G74" s="286">
        <v>7.4859999999999998</v>
      </c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1"/>
      <c r="AI74" s="281"/>
      <c r="AJ74" s="281"/>
      <c r="AK74" s="293"/>
      <c r="AL74" s="281"/>
      <c r="AM74" s="281"/>
      <c r="AN74" s="281">
        <f t="shared" si="1"/>
        <v>7.4859999999999998</v>
      </c>
    </row>
    <row r="75" spans="1:40">
      <c r="A75" s="289">
        <v>2420</v>
      </c>
      <c r="B75" s="289" t="s">
        <v>192</v>
      </c>
      <c r="C75" s="287">
        <v>5.7000000000000002E-2</v>
      </c>
      <c r="D75" s="281"/>
      <c r="E75" s="281"/>
      <c r="F75" s="281"/>
      <c r="G75" s="286">
        <v>30.684999999999999</v>
      </c>
      <c r="H75" s="281"/>
      <c r="I75" s="281"/>
      <c r="J75" s="281"/>
      <c r="K75" s="281"/>
      <c r="L75" s="281"/>
      <c r="M75" s="281"/>
      <c r="N75" s="281"/>
      <c r="O75" s="281"/>
      <c r="P75" s="281"/>
      <c r="Q75" s="281"/>
      <c r="R75" s="281"/>
      <c r="S75" s="281"/>
      <c r="T75" s="287">
        <v>0.86899999999999999</v>
      </c>
      <c r="U75" s="281"/>
      <c r="V75" s="281"/>
      <c r="W75" s="281"/>
      <c r="X75" s="281"/>
      <c r="Y75" s="281"/>
      <c r="Z75" s="281"/>
      <c r="AA75" s="281"/>
      <c r="AB75" s="281"/>
      <c r="AC75" s="281"/>
      <c r="AD75" s="281"/>
      <c r="AE75" s="281"/>
      <c r="AF75" s="281">
        <v>4.3819999999999997</v>
      </c>
      <c r="AG75" s="281"/>
      <c r="AH75" s="281"/>
      <c r="AI75" s="281"/>
      <c r="AJ75" s="281"/>
      <c r="AK75" s="293"/>
      <c r="AL75" s="281"/>
      <c r="AM75" s="281"/>
      <c r="AN75" s="281">
        <f t="shared" si="1"/>
        <v>35.992999999999995</v>
      </c>
    </row>
    <row r="76" spans="1:40">
      <c r="A76" s="286">
        <v>3800</v>
      </c>
      <c r="B76" s="286" t="s">
        <v>193</v>
      </c>
      <c r="C76" s="292"/>
      <c r="D76" s="281"/>
      <c r="E76" s="281"/>
      <c r="F76" s="281"/>
      <c r="G76" s="286"/>
      <c r="H76" s="281"/>
      <c r="I76" s="281"/>
      <c r="J76" s="281"/>
      <c r="K76" s="281"/>
      <c r="L76" s="281"/>
      <c r="M76" s="281"/>
      <c r="N76" s="281"/>
      <c r="O76" s="281"/>
      <c r="P76" s="281">
        <v>19.391999999999999</v>
      </c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94"/>
      <c r="AD76" s="294"/>
      <c r="AE76" s="294"/>
      <c r="AF76" s="294">
        <v>48.716000000000001</v>
      </c>
      <c r="AG76" s="294"/>
      <c r="AH76" s="288">
        <v>48.722000000000001</v>
      </c>
      <c r="AI76" s="294"/>
      <c r="AJ76" s="294"/>
      <c r="AK76" s="295"/>
      <c r="AL76" s="281"/>
      <c r="AM76" s="281"/>
      <c r="AN76" s="281">
        <f t="shared" si="1"/>
        <v>116.83000000000001</v>
      </c>
    </row>
    <row r="77" spans="1:40" ht="16.5">
      <c r="A77" s="284">
        <v>3810</v>
      </c>
      <c r="B77" s="284" t="s">
        <v>194</v>
      </c>
      <c r="C77" s="287">
        <v>2.9340000000000002</v>
      </c>
      <c r="D77" s="281"/>
      <c r="E77" s="281"/>
      <c r="F77" s="281"/>
      <c r="G77" s="286">
        <v>1.823</v>
      </c>
      <c r="H77" s="281"/>
      <c r="I77" s="281"/>
      <c r="J77" s="281"/>
      <c r="K77" s="281"/>
      <c r="L77" s="281"/>
      <c r="M77" s="281"/>
      <c r="N77" s="281"/>
      <c r="O77" s="281"/>
      <c r="P77" s="281"/>
      <c r="Q77" s="281"/>
      <c r="R77" s="281"/>
      <c r="S77" s="281"/>
      <c r="T77" s="281"/>
      <c r="U77" s="281"/>
      <c r="V77" s="281"/>
      <c r="W77" s="281"/>
      <c r="X77" s="281"/>
      <c r="Y77" s="281"/>
      <c r="Z77" s="281"/>
      <c r="AA77" s="281"/>
      <c r="AB77" s="281"/>
      <c r="AC77" s="281"/>
      <c r="AD77" s="281"/>
      <c r="AE77" s="281"/>
      <c r="AF77" s="281"/>
      <c r="AG77" s="281"/>
      <c r="AH77" s="281"/>
      <c r="AI77" s="281"/>
      <c r="AJ77" s="281"/>
      <c r="AK77" s="293"/>
      <c r="AL77" s="281"/>
      <c r="AM77" s="281"/>
      <c r="AN77" s="281">
        <f t="shared" si="1"/>
        <v>4.7569999999999997</v>
      </c>
    </row>
    <row r="78" spans="1:40">
      <c r="A78" s="286">
        <v>3630</v>
      </c>
      <c r="B78" s="286" t="s">
        <v>195</v>
      </c>
      <c r="C78" s="281"/>
      <c r="D78" s="281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6"/>
      <c r="Q78" s="281"/>
      <c r="R78" s="281"/>
      <c r="S78" s="281"/>
      <c r="T78" s="286"/>
      <c r="U78" s="287">
        <v>49.19</v>
      </c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1"/>
      <c r="AI78" s="281"/>
      <c r="AJ78" s="281"/>
      <c r="AK78" s="293"/>
      <c r="AL78" s="281"/>
      <c r="AM78" s="281"/>
      <c r="AN78" s="281">
        <f t="shared" si="1"/>
        <v>49.19</v>
      </c>
    </row>
    <row r="79" spans="1:40">
      <c r="A79" s="289">
        <v>3650</v>
      </c>
      <c r="B79" s="289" t="s">
        <v>196</v>
      </c>
      <c r="C79" s="282"/>
      <c r="D79" s="296"/>
      <c r="E79" s="296"/>
      <c r="F79" s="282"/>
      <c r="G79" s="282"/>
      <c r="H79" s="282"/>
      <c r="I79" s="296"/>
      <c r="J79" s="282"/>
      <c r="K79" s="282"/>
      <c r="L79" s="296"/>
      <c r="M79" s="282"/>
      <c r="N79" s="282"/>
      <c r="O79" s="282"/>
      <c r="P79" s="296"/>
      <c r="Q79" s="282"/>
      <c r="R79" s="282"/>
      <c r="S79" s="282"/>
      <c r="T79" s="289"/>
      <c r="U79" s="282"/>
      <c r="V79" s="282"/>
      <c r="W79" s="282"/>
      <c r="X79" s="296"/>
      <c r="Y79" s="282"/>
      <c r="Z79" s="296"/>
      <c r="AA79" s="282"/>
      <c r="AB79" s="296"/>
      <c r="AC79" s="296"/>
      <c r="AD79" s="282"/>
      <c r="AE79" s="282"/>
      <c r="AF79" s="287"/>
      <c r="AG79" s="288"/>
      <c r="AH79" s="282"/>
      <c r="AI79" s="287"/>
      <c r="AJ79" s="288"/>
      <c r="AK79" s="281"/>
      <c r="AL79" s="281">
        <v>162.67599999999999</v>
      </c>
      <c r="AM79" s="282"/>
      <c r="AN79" s="282">
        <f t="shared" si="1"/>
        <v>162.67599999999999</v>
      </c>
    </row>
    <row r="80" spans="1:40">
      <c r="A80" s="286">
        <v>3680</v>
      </c>
      <c r="B80" s="286" t="s">
        <v>197</v>
      </c>
      <c r="C80" s="281"/>
      <c r="D80" s="281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7"/>
      <c r="AL80" s="281"/>
      <c r="AM80" s="281"/>
      <c r="AN80" s="281">
        <f t="shared" si="1"/>
        <v>0</v>
      </c>
    </row>
    <row r="81" spans="1:39" ht="23.25" customHeight="1">
      <c r="A81" s="423"/>
      <c r="B81" s="795" t="s">
        <v>198</v>
      </c>
      <c r="C81" s="795"/>
      <c r="D81" s="795"/>
      <c r="E81" s="795"/>
      <c r="F81" s="795"/>
      <c r="G81" s="795"/>
      <c r="H81" s="795"/>
      <c r="I81" s="795"/>
      <c r="J81" s="795"/>
      <c r="K81" s="795"/>
      <c r="L81" s="795"/>
      <c r="M81" s="795"/>
      <c r="N81" s="795"/>
      <c r="O81" s="795"/>
      <c r="P81" s="795"/>
      <c r="Q81" s="795"/>
      <c r="R81" s="795"/>
      <c r="S81" s="795"/>
      <c r="T81" s="795"/>
      <c r="U81" s="795"/>
      <c r="V81" s="795"/>
      <c r="W81" s="795"/>
      <c r="X81" s="795"/>
      <c r="Y81" s="795"/>
      <c r="Z81" s="795"/>
      <c r="AA81" s="795"/>
      <c r="AB81" s="795"/>
      <c r="AC81" s="795"/>
      <c r="AD81" s="795"/>
      <c r="AE81" s="795"/>
      <c r="AF81" s="795"/>
      <c r="AG81" s="795"/>
      <c r="AH81" s="795"/>
      <c r="AJ81" s="796"/>
      <c r="AK81" s="796"/>
      <c r="AL81" s="796"/>
      <c r="AM81" s="796"/>
    </row>
    <row r="82" spans="1:39">
      <c r="B82" s="797"/>
      <c r="C82" s="797"/>
      <c r="D82" s="797"/>
      <c r="E82" s="797"/>
      <c r="F82" s="797"/>
    </row>
    <row r="83" spans="1:39">
      <c r="B83" s="797"/>
      <c r="C83" s="797"/>
      <c r="D83" s="797"/>
      <c r="E83" s="797"/>
      <c r="F83" s="797"/>
    </row>
    <row r="84" spans="1:39">
      <c r="B84" s="421"/>
      <c r="C84" s="421"/>
      <c r="D84" s="421"/>
      <c r="E84" s="421"/>
      <c r="F84" s="421"/>
    </row>
    <row r="85" spans="1:39">
      <c r="B85" s="793" t="s">
        <v>1589</v>
      </c>
      <c r="C85" s="793"/>
      <c r="D85" s="793"/>
      <c r="E85" s="793"/>
      <c r="F85" s="793"/>
    </row>
    <row r="86" spans="1:39">
      <c r="B86" s="793" t="s">
        <v>1590</v>
      </c>
      <c r="C86" s="793"/>
      <c r="D86" s="793"/>
      <c r="E86" s="793"/>
      <c r="F86" s="793"/>
    </row>
    <row r="87" spans="1:39">
      <c r="B87" s="793" t="s">
        <v>1591</v>
      </c>
      <c r="C87" s="793"/>
      <c r="D87" s="793"/>
      <c r="E87" s="793"/>
      <c r="F87" s="793"/>
    </row>
    <row r="88" spans="1:39" ht="9" customHeight="1">
      <c r="B88" s="421"/>
      <c r="C88" s="421"/>
      <c r="D88" s="421"/>
      <c r="E88" s="421"/>
      <c r="F88" s="421"/>
    </row>
    <row r="89" spans="1:39">
      <c r="B89" s="421"/>
      <c r="C89" s="421"/>
      <c r="D89" s="421"/>
      <c r="E89" s="421"/>
      <c r="F89" s="421"/>
    </row>
    <row r="90" spans="1:39">
      <c r="B90" s="421"/>
      <c r="C90" s="421"/>
      <c r="D90" s="421"/>
      <c r="E90" s="421"/>
      <c r="F90" s="421"/>
    </row>
    <row r="91" spans="1:39">
      <c r="B91" s="421"/>
      <c r="C91" s="421"/>
      <c r="D91" s="421"/>
      <c r="E91" s="421"/>
      <c r="F91" s="421"/>
    </row>
    <row r="226" spans="5:5" ht="15">
      <c r="E226" s="297"/>
    </row>
  </sheetData>
  <mergeCells count="9">
    <mergeCell ref="R1:T1"/>
    <mergeCell ref="B87:F87"/>
    <mergeCell ref="B2:U2"/>
    <mergeCell ref="B81:AH81"/>
    <mergeCell ref="AJ81:AM81"/>
    <mergeCell ref="B82:F82"/>
    <mergeCell ref="B83:F83"/>
    <mergeCell ref="B85:F85"/>
    <mergeCell ref="B86:F86"/>
  </mergeCells>
  <pageMargins left="0.70866141732283472" right="0" top="0.11811023622047245" bottom="0" header="0" footer="0"/>
  <pageSetup paperSize="8" scale="89" fitToHeight="2" orientation="landscape" copies="4" r:id="rId1"/>
  <rowBreaks count="1" manualBreakCount="1">
    <brk id="54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H212"/>
  <sheetViews>
    <sheetView topLeftCell="A43" zoomScaleNormal="100" workbookViewId="0">
      <selection activeCell="B49" sqref="B49"/>
    </sheetView>
  </sheetViews>
  <sheetFormatPr defaultRowHeight="15.75"/>
  <cols>
    <col min="1" max="1" width="9.28515625" style="109" bestFit="1" customWidth="1"/>
    <col min="2" max="2" width="33.5703125" style="109" customWidth="1"/>
    <col min="3" max="3" width="7.28515625" style="237" bestFit="1" customWidth="1"/>
    <col min="4" max="4" width="13.7109375" style="237" customWidth="1"/>
    <col min="5" max="5" width="9.140625" style="238" customWidth="1"/>
    <col min="6" max="6" width="11" style="237" customWidth="1"/>
    <col min="7" max="16384" width="9.140625" style="109"/>
  </cols>
  <sheetData>
    <row r="1" spans="1:6">
      <c r="F1" s="239" t="s">
        <v>1320</v>
      </c>
    </row>
    <row r="2" spans="1:6">
      <c r="A2" s="802"/>
      <c r="B2" s="802"/>
      <c r="E2" s="803"/>
      <c r="F2" s="803"/>
    </row>
    <row r="3" spans="1:6">
      <c r="A3" s="801" t="s">
        <v>614</v>
      </c>
      <c r="B3" s="801"/>
      <c r="C3" s="801"/>
      <c r="D3" s="801"/>
      <c r="E3" s="801"/>
      <c r="F3" s="801"/>
    </row>
    <row r="4" spans="1:6">
      <c r="A4" s="420"/>
      <c r="B4" s="420"/>
      <c r="C4" s="420"/>
      <c r="D4" s="420"/>
      <c r="E4" s="420"/>
      <c r="F4" s="420"/>
    </row>
    <row r="5" spans="1:6">
      <c r="A5" s="801" t="s">
        <v>615</v>
      </c>
      <c r="B5" s="801"/>
      <c r="C5" s="801"/>
      <c r="D5" s="801"/>
      <c r="E5" s="801"/>
      <c r="F5" s="801"/>
    </row>
    <row r="6" spans="1:6">
      <c r="A6" s="801" t="s">
        <v>616</v>
      </c>
      <c r="B6" s="801"/>
      <c r="C6" s="801"/>
      <c r="D6" s="801"/>
      <c r="E6" s="801"/>
      <c r="F6" s="801"/>
    </row>
    <row r="8" spans="1:6">
      <c r="A8" s="240" t="s">
        <v>260</v>
      </c>
      <c r="B8" s="240" t="s">
        <v>1003</v>
      </c>
      <c r="C8" s="241" t="s">
        <v>617</v>
      </c>
      <c r="D8" s="241" t="s">
        <v>618</v>
      </c>
      <c r="E8" s="242" t="s">
        <v>619</v>
      </c>
      <c r="F8" s="242" t="s">
        <v>620</v>
      </c>
    </row>
    <row r="9" spans="1:6">
      <c r="A9" s="243">
        <v>1</v>
      </c>
      <c r="B9" s="244" t="s">
        <v>68</v>
      </c>
      <c r="C9" s="245">
        <v>384</v>
      </c>
      <c r="D9" s="246">
        <v>85</v>
      </c>
      <c r="E9" s="247">
        <f t="shared" ref="E9:E45" si="0">C9*D9</f>
        <v>32640</v>
      </c>
      <c r="F9" s="248">
        <f>E9/1000</f>
        <v>32.64</v>
      </c>
    </row>
    <row r="10" spans="1:6">
      <c r="A10" s="243">
        <v>2</v>
      </c>
      <c r="B10" s="249" t="s">
        <v>69</v>
      </c>
      <c r="C10" s="245">
        <v>227</v>
      </c>
      <c r="D10" s="246">
        <v>85</v>
      </c>
      <c r="E10" s="247">
        <f t="shared" si="0"/>
        <v>19295</v>
      </c>
      <c r="F10" s="248">
        <f t="shared" ref="F10:F45" si="1">E10/1000</f>
        <v>19.295000000000002</v>
      </c>
    </row>
    <row r="11" spans="1:6">
      <c r="A11" s="243">
        <v>3</v>
      </c>
      <c r="B11" s="249" t="s">
        <v>70</v>
      </c>
      <c r="C11" s="245">
        <v>219</v>
      </c>
      <c r="D11" s="246">
        <v>80</v>
      </c>
      <c r="E11" s="247">
        <f t="shared" si="0"/>
        <v>17520</v>
      </c>
      <c r="F11" s="248">
        <f t="shared" si="1"/>
        <v>17.52</v>
      </c>
    </row>
    <row r="12" spans="1:6">
      <c r="A12" s="243">
        <v>4</v>
      </c>
      <c r="B12" s="250" t="s">
        <v>71</v>
      </c>
      <c r="C12" s="245">
        <v>43</v>
      </c>
      <c r="D12" s="246">
        <v>70</v>
      </c>
      <c r="E12" s="247">
        <f t="shared" si="0"/>
        <v>3010</v>
      </c>
      <c r="F12" s="248">
        <f t="shared" si="1"/>
        <v>3.01</v>
      </c>
    </row>
    <row r="13" spans="1:6">
      <c r="A13" s="243">
        <v>5</v>
      </c>
      <c r="B13" s="249" t="s">
        <v>72</v>
      </c>
      <c r="C13" s="245">
        <v>152</v>
      </c>
      <c r="D13" s="246">
        <v>70</v>
      </c>
      <c r="E13" s="247">
        <f t="shared" si="0"/>
        <v>10640</v>
      </c>
      <c r="F13" s="248">
        <f t="shared" si="1"/>
        <v>10.64</v>
      </c>
    </row>
    <row r="14" spans="1:6">
      <c r="A14" s="243">
        <v>6</v>
      </c>
      <c r="B14" s="249" t="s">
        <v>73</v>
      </c>
      <c r="C14" s="245">
        <v>123</v>
      </c>
      <c r="D14" s="246">
        <v>70</v>
      </c>
      <c r="E14" s="247">
        <f t="shared" si="0"/>
        <v>8610</v>
      </c>
      <c r="F14" s="248">
        <f t="shared" si="1"/>
        <v>8.61</v>
      </c>
    </row>
    <row r="15" spans="1:6">
      <c r="A15" s="243">
        <v>7</v>
      </c>
      <c r="B15" s="249" t="s">
        <v>74</v>
      </c>
      <c r="C15" s="245">
        <v>143</v>
      </c>
      <c r="D15" s="246">
        <v>70</v>
      </c>
      <c r="E15" s="247">
        <f t="shared" si="0"/>
        <v>10010</v>
      </c>
      <c r="F15" s="248">
        <f t="shared" si="1"/>
        <v>10.01</v>
      </c>
    </row>
    <row r="16" spans="1:6">
      <c r="A16" s="243">
        <v>8</v>
      </c>
      <c r="B16" s="249" t="s">
        <v>75</v>
      </c>
      <c r="C16" s="245">
        <v>127</v>
      </c>
      <c r="D16" s="246">
        <v>70</v>
      </c>
      <c r="E16" s="247">
        <f t="shared" si="0"/>
        <v>8890</v>
      </c>
      <c r="F16" s="248">
        <f t="shared" si="1"/>
        <v>8.89</v>
      </c>
    </row>
    <row r="17" spans="1:6">
      <c r="A17" s="243">
        <v>9</v>
      </c>
      <c r="B17" s="249" t="s">
        <v>470</v>
      </c>
      <c r="C17" s="245">
        <v>218</v>
      </c>
      <c r="D17" s="246">
        <v>70</v>
      </c>
      <c r="E17" s="247">
        <f t="shared" si="0"/>
        <v>15260</v>
      </c>
      <c r="F17" s="248">
        <f t="shared" si="1"/>
        <v>15.26</v>
      </c>
    </row>
    <row r="18" spans="1:6">
      <c r="A18" s="243">
        <v>10</v>
      </c>
      <c r="B18" s="249" t="s">
        <v>76</v>
      </c>
      <c r="C18" s="245">
        <v>101</v>
      </c>
      <c r="D18" s="246">
        <v>70</v>
      </c>
      <c r="E18" s="247">
        <f t="shared" si="0"/>
        <v>7070</v>
      </c>
      <c r="F18" s="248">
        <f t="shared" si="1"/>
        <v>7.07</v>
      </c>
    </row>
    <row r="19" spans="1:6">
      <c r="A19" s="243">
        <v>11</v>
      </c>
      <c r="B19" s="249" t="s">
        <v>77</v>
      </c>
      <c r="C19" s="245">
        <v>105</v>
      </c>
      <c r="D19" s="246">
        <v>70</v>
      </c>
      <c r="E19" s="247">
        <f t="shared" si="0"/>
        <v>7350</v>
      </c>
      <c r="F19" s="248">
        <f t="shared" si="1"/>
        <v>7.35</v>
      </c>
    </row>
    <row r="20" spans="1:6">
      <c r="A20" s="243">
        <v>12</v>
      </c>
      <c r="B20" s="250" t="s">
        <v>621</v>
      </c>
      <c r="C20" s="245">
        <v>79</v>
      </c>
      <c r="D20" s="246">
        <v>70</v>
      </c>
      <c r="E20" s="247">
        <f t="shared" si="0"/>
        <v>5530</v>
      </c>
      <c r="F20" s="248">
        <f t="shared" si="1"/>
        <v>5.53</v>
      </c>
    </row>
    <row r="21" spans="1:6">
      <c r="A21" s="243">
        <v>13</v>
      </c>
      <c r="B21" s="244" t="s">
        <v>78</v>
      </c>
      <c r="C21" s="251">
        <v>380</v>
      </c>
      <c r="D21" s="246">
        <v>90</v>
      </c>
      <c r="E21" s="247">
        <f t="shared" si="0"/>
        <v>34200</v>
      </c>
      <c r="F21" s="248">
        <f t="shared" si="1"/>
        <v>34.200000000000003</v>
      </c>
    </row>
    <row r="22" spans="1:6">
      <c r="A22" s="243">
        <v>14</v>
      </c>
      <c r="B22" s="249" t="s">
        <v>79</v>
      </c>
      <c r="C22" s="245">
        <v>180</v>
      </c>
      <c r="D22" s="246">
        <v>70</v>
      </c>
      <c r="E22" s="247">
        <f t="shared" si="0"/>
        <v>12600</v>
      </c>
      <c r="F22" s="248">
        <f t="shared" si="1"/>
        <v>12.6</v>
      </c>
    </row>
    <row r="23" spans="1:6">
      <c r="A23" s="243">
        <v>15</v>
      </c>
      <c r="B23" s="249" t="s">
        <v>80</v>
      </c>
      <c r="C23" s="245">
        <v>61</v>
      </c>
      <c r="D23" s="246">
        <v>70</v>
      </c>
      <c r="E23" s="247">
        <f t="shared" si="0"/>
        <v>4270</v>
      </c>
      <c r="F23" s="248">
        <f t="shared" si="1"/>
        <v>4.2699999999999996</v>
      </c>
    </row>
    <row r="24" spans="1:6">
      <c r="A24" s="243">
        <v>16</v>
      </c>
      <c r="B24" s="244" t="s">
        <v>81</v>
      </c>
      <c r="C24" s="251">
        <v>427</v>
      </c>
      <c r="D24" s="246">
        <v>85</v>
      </c>
      <c r="E24" s="247">
        <f t="shared" si="0"/>
        <v>36295</v>
      </c>
      <c r="F24" s="248">
        <f t="shared" si="1"/>
        <v>36.295000000000002</v>
      </c>
    </row>
    <row r="25" spans="1:6">
      <c r="A25" s="243">
        <v>17</v>
      </c>
      <c r="B25" s="249" t="s">
        <v>464</v>
      </c>
      <c r="C25" s="245">
        <v>180</v>
      </c>
      <c r="D25" s="246">
        <v>70</v>
      </c>
      <c r="E25" s="247">
        <f t="shared" si="0"/>
        <v>12600</v>
      </c>
      <c r="F25" s="248">
        <f t="shared" si="1"/>
        <v>12.6</v>
      </c>
    </row>
    <row r="26" spans="1:6">
      <c r="A26" s="243">
        <v>18</v>
      </c>
      <c r="B26" s="250" t="s">
        <v>82</v>
      </c>
      <c r="C26" s="245">
        <v>329</v>
      </c>
      <c r="D26" s="246">
        <v>70</v>
      </c>
      <c r="E26" s="247">
        <f t="shared" si="0"/>
        <v>23030</v>
      </c>
      <c r="F26" s="248">
        <f t="shared" si="1"/>
        <v>23.03</v>
      </c>
    </row>
    <row r="27" spans="1:6">
      <c r="A27" s="243">
        <v>19</v>
      </c>
      <c r="B27" s="249" t="s">
        <v>622</v>
      </c>
      <c r="C27" s="245">
        <v>164</v>
      </c>
      <c r="D27" s="246">
        <v>70</v>
      </c>
      <c r="E27" s="247">
        <f t="shared" si="0"/>
        <v>11480</v>
      </c>
      <c r="F27" s="248">
        <f t="shared" si="1"/>
        <v>11.48</v>
      </c>
    </row>
    <row r="28" spans="1:6">
      <c r="A28" s="243">
        <v>20</v>
      </c>
      <c r="B28" s="249" t="s">
        <v>83</v>
      </c>
      <c r="C28" s="245">
        <v>146</v>
      </c>
      <c r="D28" s="246">
        <v>70</v>
      </c>
      <c r="E28" s="247">
        <f t="shared" si="0"/>
        <v>10220</v>
      </c>
      <c r="F28" s="248">
        <f t="shared" si="1"/>
        <v>10.220000000000001</v>
      </c>
    </row>
    <row r="29" spans="1:6">
      <c r="A29" s="243">
        <v>21</v>
      </c>
      <c r="B29" s="249" t="s">
        <v>466</v>
      </c>
      <c r="C29" s="245">
        <v>111</v>
      </c>
      <c r="D29" s="246">
        <v>70</v>
      </c>
      <c r="E29" s="247">
        <f t="shared" si="0"/>
        <v>7770</v>
      </c>
      <c r="F29" s="248">
        <f t="shared" si="1"/>
        <v>7.77</v>
      </c>
    </row>
    <row r="30" spans="1:6">
      <c r="A30" s="243">
        <v>22</v>
      </c>
      <c r="B30" s="249" t="s">
        <v>84</v>
      </c>
      <c r="C30" s="245">
        <v>319</v>
      </c>
      <c r="D30" s="246">
        <v>85</v>
      </c>
      <c r="E30" s="247">
        <f t="shared" si="0"/>
        <v>27115</v>
      </c>
      <c r="F30" s="248">
        <f t="shared" si="1"/>
        <v>27.114999999999998</v>
      </c>
    </row>
    <row r="31" spans="1:6">
      <c r="A31" s="243">
        <v>23</v>
      </c>
      <c r="B31" s="249" t="s">
        <v>85</v>
      </c>
      <c r="C31" s="245">
        <v>170</v>
      </c>
      <c r="D31" s="246">
        <v>70</v>
      </c>
      <c r="E31" s="247">
        <f t="shared" si="0"/>
        <v>11900</v>
      </c>
      <c r="F31" s="248">
        <f t="shared" si="1"/>
        <v>11.9</v>
      </c>
    </row>
    <row r="32" spans="1:6">
      <c r="A32" s="243">
        <v>24</v>
      </c>
      <c r="B32" s="249" t="s">
        <v>86</v>
      </c>
      <c r="C32" s="245">
        <v>230</v>
      </c>
      <c r="D32" s="246">
        <v>70</v>
      </c>
      <c r="E32" s="247">
        <f t="shared" si="0"/>
        <v>16100</v>
      </c>
      <c r="F32" s="248">
        <f t="shared" si="1"/>
        <v>16.100000000000001</v>
      </c>
    </row>
    <row r="33" spans="1:6">
      <c r="A33" s="243">
        <v>25</v>
      </c>
      <c r="B33" s="249" t="s">
        <v>87</v>
      </c>
      <c r="C33" s="245">
        <v>213</v>
      </c>
      <c r="D33" s="246">
        <v>70</v>
      </c>
      <c r="E33" s="247">
        <f t="shared" si="0"/>
        <v>14910</v>
      </c>
      <c r="F33" s="248">
        <f t="shared" si="1"/>
        <v>14.91</v>
      </c>
    </row>
    <row r="34" spans="1:6">
      <c r="A34" s="243">
        <v>26</v>
      </c>
      <c r="B34" s="249" t="s">
        <v>88</v>
      </c>
      <c r="C34" s="245">
        <v>232</v>
      </c>
      <c r="D34" s="246">
        <v>70</v>
      </c>
      <c r="E34" s="247">
        <f t="shared" si="0"/>
        <v>16240</v>
      </c>
      <c r="F34" s="248">
        <f t="shared" si="1"/>
        <v>16.239999999999998</v>
      </c>
    </row>
    <row r="35" spans="1:6">
      <c r="A35" s="243">
        <v>27</v>
      </c>
      <c r="B35" s="250" t="s">
        <v>89</v>
      </c>
      <c r="C35" s="245">
        <v>101</v>
      </c>
      <c r="D35" s="246">
        <v>70</v>
      </c>
      <c r="E35" s="247">
        <f t="shared" si="0"/>
        <v>7070</v>
      </c>
      <c r="F35" s="248">
        <f t="shared" si="1"/>
        <v>7.07</v>
      </c>
    </row>
    <row r="36" spans="1:6">
      <c r="A36" s="243">
        <v>28</v>
      </c>
      <c r="B36" s="249" t="s">
        <v>90</v>
      </c>
      <c r="C36" s="245">
        <v>91</v>
      </c>
      <c r="D36" s="246">
        <v>70</v>
      </c>
      <c r="E36" s="247">
        <f t="shared" si="0"/>
        <v>6370</v>
      </c>
      <c r="F36" s="248">
        <f t="shared" si="1"/>
        <v>6.37</v>
      </c>
    </row>
    <row r="37" spans="1:6">
      <c r="A37" s="243">
        <v>29</v>
      </c>
      <c r="B37" s="249" t="s">
        <v>91</v>
      </c>
      <c r="C37" s="251">
        <v>942</v>
      </c>
      <c r="D37" s="246">
        <v>70</v>
      </c>
      <c r="E37" s="247">
        <f t="shared" si="0"/>
        <v>65940</v>
      </c>
      <c r="F37" s="248">
        <f t="shared" si="1"/>
        <v>65.94</v>
      </c>
    </row>
    <row r="38" spans="1:6">
      <c r="A38" s="243">
        <v>30</v>
      </c>
      <c r="B38" s="249" t="s">
        <v>92</v>
      </c>
      <c r="C38" s="251">
        <v>200</v>
      </c>
      <c r="D38" s="246">
        <v>70</v>
      </c>
      <c r="E38" s="247">
        <f t="shared" si="0"/>
        <v>14000</v>
      </c>
      <c r="F38" s="248">
        <f t="shared" si="1"/>
        <v>14</v>
      </c>
    </row>
    <row r="39" spans="1:6">
      <c r="A39" s="243">
        <v>31</v>
      </c>
      <c r="B39" s="249" t="s">
        <v>93</v>
      </c>
      <c r="C39" s="251">
        <v>410</v>
      </c>
      <c r="D39" s="246">
        <v>70</v>
      </c>
      <c r="E39" s="247">
        <f t="shared" si="0"/>
        <v>28700</v>
      </c>
      <c r="F39" s="248">
        <f t="shared" si="1"/>
        <v>28.7</v>
      </c>
    </row>
    <row r="40" spans="1:6">
      <c r="A40" s="243">
        <v>32</v>
      </c>
      <c r="B40" s="249" t="s">
        <v>94</v>
      </c>
      <c r="C40" s="245">
        <v>253</v>
      </c>
      <c r="D40" s="246">
        <v>80</v>
      </c>
      <c r="E40" s="247">
        <f t="shared" si="0"/>
        <v>20240</v>
      </c>
      <c r="F40" s="248">
        <f t="shared" si="1"/>
        <v>20.239999999999998</v>
      </c>
    </row>
    <row r="41" spans="1:6">
      <c r="A41" s="243">
        <v>33</v>
      </c>
      <c r="B41" s="249" t="s">
        <v>623</v>
      </c>
      <c r="C41" s="245">
        <v>171</v>
      </c>
      <c r="D41" s="246">
        <v>70</v>
      </c>
      <c r="E41" s="247">
        <f t="shared" si="0"/>
        <v>11970</v>
      </c>
      <c r="F41" s="248">
        <f t="shared" si="1"/>
        <v>11.97</v>
      </c>
    </row>
    <row r="42" spans="1:6">
      <c r="A42" s="243">
        <v>34</v>
      </c>
      <c r="B42" s="249" t="s">
        <v>95</v>
      </c>
      <c r="C42" s="245">
        <v>81</v>
      </c>
      <c r="D42" s="246">
        <v>70</v>
      </c>
      <c r="E42" s="247">
        <f t="shared" si="0"/>
        <v>5670</v>
      </c>
      <c r="F42" s="248">
        <f t="shared" si="1"/>
        <v>5.67</v>
      </c>
    </row>
    <row r="43" spans="1:6">
      <c r="A43" s="243">
        <v>35</v>
      </c>
      <c r="B43" s="250" t="s">
        <v>96</v>
      </c>
      <c r="C43" s="245">
        <v>215</v>
      </c>
      <c r="D43" s="246">
        <v>70</v>
      </c>
      <c r="E43" s="247">
        <f t="shared" si="0"/>
        <v>15050</v>
      </c>
      <c r="F43" s="248">
        <f t="shared" si="1"/>
        <v>15.05</v>
      </c>
    </row>
    <row r="44" spans="1:6">
      <c r="A44" s="243">
        <v>36</v>
      </c>
      <c r="B44" s="249" t="s">
        <v>97</v>
      </c>
      <c r="C44" s="245">
        <v>72</v>
      </c>
      <c r="D44" s="246">
        <v>70</v>
      </c>
      <c r="E44" s="247">
        <f t="shared" si="0"/>
        <v>5040</v>
      </c>
      <c r="F44" s="248">
        <f t="shared" si="1"/>
        <v>5.04</v>
      </c>
    </row>
    <row r="45" spans="1:6">
      <c r="A45" s="243">
        <v>37</v>
      </c>
      <c r="B45" s="252" t="s">
        <v>98</v>
      </c>
      <c r="C45" s="245">
        <v>7631</v>
      </c>
      <c r="D45" s="246">
        <v>95</v>
      </c>
      <c r="E45" s="247">
        <f t="shared" si="0"/>
        <v>724945</v>
      </c>
      <c r="F45" s="248">
        <f t="shared" si="1"/>
        <v>724.94500000000005</v>
      </c>
    </row>
    <row r="46" spans="1:6">
      <c r="A46" s="253"/>
      <c r="B46" s="254"/>
      <c r="C46" s="246"/>
      <c r="D46" s="246"/>
      <c r="E46" s="247"/>
      <c r="F46" s="255"/>
    </row>
    <row r="47" spans="1:6">
      <c r="A47" s="798" t="s">
        <v>624</v>
      </c>
      <c r="B47" s="799"/>
      <c r="C47" s="256">
        <f>SUM(C9:C46)</f>
        <v>15230</v>
      </c>
      <c r="D47" s="257"/>
      <c r="E47" s="247"/>
      <c r="F47" s="258">
        <f>SUM(F9:F46)</f>
        <v>1289.5500000000002</v>
      </c>
    </row>
    <row r="48" spans="1:6">
      <c r="A48" s="259"/>
      <c r="B48" s="259"/>
      <c r="C48" s="260"/>
      <c r="D48" s="261"/>
      <c r="E48" s="262"/>
      <c r="F48" s="263"/>
    </row>
    <row r="49" spans="1:8" s="5" customFormat="1">
      <c r="A49" s="264"/>
      <c r="B49" s="2"/>
      <c r="C49" s="265"/>
      <c r="D49" s="265"/>
      <c r="E49" s="266"/>
      <c r="F49" s="266"/>
    </row>
    <row r="50" spans="1:8" s="5" customFormat="1">
      <c r="A50" s="264"/>
      <c r="B50" s="2"/>
      <c r="C50" s="265"/>
      <c r="D50" s="265"/>
      <c r="E50" s="266"/>
      <c r="F50" s="265"/>
    </row>
    <row r="51" spans="1:8" s="112" customFormat="1" ht="15" customHeight="1">
      <c r="A51" s="264"/>
      <c r="B51" s="2"/>
      <c r="C51" s="265"/>
      <c r="D51" s="265"/>
      <c r="E51" s="266"/>
      <c r="F51" s="265"/>
      <c r="G51" s="5"/>
      <c r="H51" s="5"/>
    </row>
    <row r="52" spans="1:8" s="113" customFormat="1">
      <c r="A52" s="144" t="s">
        <v>1589</v>
      </c>
      <c r="B52" s="2"/>
      <c r="C52" s="265"/>
      <c r="D52" s="265"/>
      <c r="E52" s="266"/>
      <c r="F52" s="265"/>
      <c r="G52" s="5"/>
      <c r="H52" s="5"/>
    </row>
    <row r="53" spans="1:8" s="154" customFormat="1" ht="12" customHeight="1">
      <c r="A53" s="144" t="s">
        <v>1590</v>
      </c>
      <c r="B53" s="2"/>
      <c r="C53" s="265"/>
      <c r="D53" s="265"/>
      <c r="E53" s="266"/>
      <c r="F53" s="265"/>
      <c r="G53" s="5"/>
      <c r="H53" s="5"/>
    </row>
    <row r="54" spans="1:8" ht="14.25" customHeight="1">
      <c r="A54" s="144" t="s">
        <v>1591</v>
      </c>
      <c r="B54" s="2"/>
      <c r="C54" s="265"/>
      <c r="D54" s="265"/>
      <c r="E54" s="266"/>
      <c r="F54" s="265"/>
      <c r="G54" s="5"/>
      <c r="H54" s="5"/>
    </row>
    <row r="55" spans="1:8">
      <c r="A55" s="267"/>
      <c r="B55" s="2"/>
      <c r="C55" s="265"/>
      <c r="D55" s="265"/>
      <c r="E55" s="266"/>
      <c r="F55" s="265"/>
      <c r="G55" s="5"/>
      <c r="H55" s="5"/>
    </row>
    <row r="56" spans="1:8">
      <c r="A56" s="5"/>
      <c r="B56" s="2"/>
      <c r="C56" s="265"/>
      <c r="D56" s="265"/>
      <c r="E56" s="266"/>
      <c r="F56" s="265"/>
      <c r="G56" s="5"/>
      <c r="H56" s="5"/>
    </row>
    <row r="57" spans="1:8">
      <c r="A57" s="268"/>
      <c r="B57" s="111"/>
      <c r="C57" s="269"/>
      <c r="D57" s="269"/>
      <c r="E57" s="270"/>
      <c r="F57" s="269"/>
      <c r="G57" s="112"/>
      <c r="H57" s="112"/>
    </row>
    <row r="58" spans="1:8">
      <c r="A58" s="271"/>
      <c r="B58" s="113"/>
      <c r="C58" s="272"/>
      <c r="D58" s="272"/>
      <c r="E58" s="273"/>
      <c r="F58" s="272"/>
      <c r="G58" s="113"/>
      <c r="H58" s="113"/>
    </row>
    <row r="59" spans="1:8">
      <c r="A59" s="144"/>
      <c r="B59" s="8"/>
      <c r="C59" s="274"/>
      <c r="D59" s="274"/>
      <c r="E59" s="275"/>
      <c r="F59" s="275"/>
      <c r="G59" s="9"/>
      <c r="H59" s="9"/>
    </row>
    <row r="60" spans="1:8">
      <c r="A60" s="276"/>
      <c r="B60" s="154"/>
      <c r="C60" s="277"/>
      <c r="D60" s="277"/>
      <c r="E60" s="278"/>
      <c r="F60" s="277"/>
      <c r="G60" s="154"/>
      <c r="H60" s="154"/>
    </row>
    <row r="61" spans="1:8">
      <c r="A61" s="279"/>
    </row>
    <row r="62" spans="1:8">
      <c r="A62" s="280"/>
      <c r="D62" s="800"/>
      <c r="E62" s="800"/>
      <c r="F62" s="800"/>
    </row>
    <row r="212" spans="3:6">
      <c r="C212" s="109"/>
      <c r="D212" s="109"/>
      <c r="E212" s="109"/>
      <c r="F212" s="109"/>
    </row>
  </sheetData>
  <mergeCells count="7">
    <mergeCell ref="A47:B47"/>
    <mergeCell ref="D62:F62"/>
    <mergeCell ref="A3:F3"/>
    <mergeCell ref="A6:F6"/>
    <mergeCell ref="A2:B2"/>
    <mergeCell ref="E2:F2"/>
    <mergeCell ref="A5:F5"/>
  </mergeCells>
  <printOptions horizontalCentered="1" verticalCentered="1"/>
  <pageMargins left="0.94488188976377963" right="0.55118110236220474" top="0.39370078740157483" bottom="0.59055118110236227" header="0" footer="0"/>
  <pageSetup paperSize="9" scale="82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K65"/>
  <sheetViews>
    <sheetView tabSelected="1" topLeftCell="A46" workbookViewId="0">
      <selection activeCell="B60" sqref="B60"/>
    </sheetView>
  </sheetViews>
  <sheetFormatPr defaultRowHeight="12.75"/>
  <cols>
    <col min="1" max="1" width="4.5703125" style="709" customWidth="1"/>
    <col min="2" max="2" width="43.5703125" style="709" customWidth="1"/>
    <col min="3" max="3" width="29.28515625" style="709" customWidth="1"/>
    <col min="4" max="4" width="30" style="709" customWidth="1"/>
    <col min="5" max="5" width="26.5703125" style="709" customWidth="1"/>
    <col min="6" max="6" width="31.42578125" style="709" customWidth="1"/>
    <col min="7" max="7" width="25.5703125" style="709" customWidth="1"/>
    <col min="8" max="8" width="21.7109375" style="709" customWidth="1"/>
    <col min="9" max="9" width="14.28515625" style="709" customWidth="1"/>
    <col min="10" max="256" width="9.140625" style="709"/>
    <col min="257" max="257" width="4.5703125" style="709" customWidth="1"/>
    <col min="258" max="258" width="43.5703125" style="709" customWidth="1"/>
    <col min="259" max="259" width="29.28515625" style="709" customWidth="1"/>
    <col min="260" max="260" width="30" style="709" customWidth="1"/>
    <col min="261" max="261" width="26.5703125" style="709" customWidth="1"/>
    <col min="262" max="262" width="31.42578125" style="709" customWidth="1"/>
    <col min="263" max="263" width="25.5703125" style="709" customWidth="1"/>
    <col min="264" max="264" width="21.7109375" style="709" customWidth="1"/>
    <col min="265" max="265" width="14.28515625" style="709" customWidth="1"/>
    <col min="266" max="512" width="9.140625" style="709"/>
    <col min="513" max="513" width="4.5703125" style="709" customWidth="1"/>
    <col min="514" max="514" width="43.5703125" style="709" customWidth="1"/>
    <col min="515" max="515" width="29.28515625" style="709" customWidth="1"/>
    <col min="516" max="516" width="30" style="709" customWidth="1"/>
    <col min="517" max="517" width="26.5703125" style="709" customWidth="1"/>
    <col min="518" max="518" width="31.42578125" style="709" customWidth="1"/>
    <col min="519" max="519" width="25.5703125" style="709" customWidth="1"/>
    <col min="520" max="520" width="21.7109375" style="709" customWidth="1"/>
    <col min="521" max="521" width="14.28515625" style="709" customWidth="1"/>
    <col min="522" max="768" width="9.140625" style="709"/>
    <col min="769" max="769" width="4.5703125" style="709" customWidth="1"/>
    <col min="770" max="770" width="43.5703125" style="709" customWidth="1"/>
    <col min="771" max="771" width="29.28515625" style="709" customWidth="1"/>
    <col min="772" max="772" width="30" style="709" customWidth="1"/>
    <col min="773" max="773" width="26.5703125" style="709" customWidth="1"/>
    <col min="774" max="774" width="31.42578125" style="709" customWidth="1"/>
    <col min="775" max="775" width="25.5703125" style="709" customWidth="1"/>
    <col min="776" max="776" width="21.7109375" style="709" customWidth="1"/>
    <col min="777" max="777" width="14.28515625" style="709" customWidth="1"/>
    <col min="778" max="1024" width="9.140625" style="709"/>
    <col min="1025" max="1025" width="4.5703125" style="709" customWidth="1"/>
    <col min="1026" max="1026" width="43.5703125" style="709" customWidth="1"/>
    <col min="1027" max="1027" width="29.28515625" style="709" customWidth="1"/>
    <col min="1028" max="1028" width="30" style="709" customWidth="1"/>
    <col min="1029" max="1029" width="26.5703125" style="709" customWidth="1"/>
    <col min="1030" max="1030" width="31.42578125" style="709" customWidth="1"/>
    <col min="1031" max="1031" width="25.5703125" style="709" customWidth="1"/>
    <col min="1032" max="1032" width="21.7109375" style="709" customWidth="1"/>
    <col min="1033" max="1033" width="14.28515625" style="709" customWidth="1"/>
    <col min="1034" max="1280" width="9.140625" style="709"/>
    <col min="1281" max="1281" width="4.5703125" style="709" customWidth="1"/>
    <col min="1282" max="1282" width="43.5703125" style="709" customWidth="1"/>
    <col min="1283" max="1283" width="29.28515625" style="709" customWidth="1"/>
    <col min="1284" max="1284" width="30" style="709" customWidth="1"/>
    <col min="1285" max="1285" width="26.5703125" style="709" customWidth="1"/>
    <col min="1286" max="1286" width="31.42578125" style="709" customWidth="1"/>
    <col min="1287" max="1287" width="25.5703125" style="709" customWidth="1"/>
    <col min="1288" max="1288" width="21.7109375" style="709" customWidth="1"/>
    <col min="1289" max="1289" width="14.28515625" style="709" customWidth="1"/>
    <col min="1290" max="1536" width="9.140625" style="709"/>
    <col min="1537" max="1537" width="4.5703125" style="709" customWidth="1"/>
    <col min="1538" max="1538" width="43.5703125" style="709" customWidth="1"/>
    <col min="1539" max="1539" width="29.28515625" style="709" customWidth="1"/>
    <col min="1540" max="1540" width="30" style="709" customWidth="1"/>
    <col min="1541" max="1541" width="26.5703125" style="709" customWidth="1"/>
    <col min="1542" max="1542" width="31.42578125" style="709" customWidth="1"/>
    <col min="1543" max="1543" width="25.5703125" style="709" customWidth="1"/>
    <col min="1544" max="1544" width="21.7109375" style="709" customWidth="1"/>
    <col min="1545" max="1545" width="14.28515625" style="709" customWidth="1"/>
    <col min="1546" max="1792" width="9.140625" style="709"/>
    <col min="1793" max="1793" width="4.5703125" style="709" customWidth="1"/>
    <col min="1794" max="1794" width="43.5703125" style="709" customWidth="1"/>
    <col min="1795" max="1795" width="29.28515625" style="709" customWidth="1"/>
    <col min="1796" max="1796" width="30" style="709" customWidth="1"/>
    <col min="1797" max="1797" width="26.5703125" style="709" customWidth="1"/>
    <col min="1798" max="1798" width="31.42578125" style="709" customWidth="1"/>
    <col min="1799" max="1799" width="25.5703125" style="709" customWidth="1"/>
    <col min="1800" max="1800" width="21.7109375" style="709" customWidth="1"/>
    <col min="1801" max="1801" width="14.28515625" style="709" customWidth="1"/>
    <col min="1802" max="2048" width="9.140625" style="709"/>
    <col min="2049" max="2049" width="4.5703125" style="709" customWidth="1"/>
    <col min="2050" max="2050" width="43.5703125" style="709" customWidth="1"/>
    <col min="2051" max="2051" width="29.28515625" style="709" customWidth="1"/>
    <col min="2052" max="2052" width="30" style="709" customWidth="1"/>
    <col min="2053" max="2053" width="26.5703125" style="709" customWidth="1"/>
    <col min="2054" max="2054" width="31.42578125" style="709" customWidth="1"/>
    <col min="2055" max="2055" width="25.5703125" style="709" customWidth="1"/>
    <col min="2056" max="2056" width="21.7109375" style="709" customWidth="1"/>
    <col min="2057" max="2057" width="14.28515625" style="709" customWidth="1"/>
    <col min="2058" max="2304" width="9.140625" style="709"/>
    <col min="2305" max="2305" width="4.5703125" style="709" customWidth="1"/>
    <col min="2306" max="2306" width="43.5703125" style="709" customWidth="1"/>
    <col min="2307" max="2307" width="29.28515625" style="709" customWidth="1"/>
    <col min="2308" max="2308" width="30" style="709" customWidth="1"/>
    <col min="2309" max="2309" width="26.5703125" style="709" customWidth="1"/>
    <col min="2310" max="2310" width="31.42578125" style="709" customWidth="1"/>
    <col min="2311" max="2311" width="25.5703125" style="709" customWidth="1"/>
    <col min="2312" max="2312" width="21.7109375" style="709" customWidth="1"/>
    <col min="2313" max="2313" width="14.28515625" style="709" customWidth="1"/>
    <col min="2314" max="2560" width="9.140625" style="709"/>
    <col min="2561" max="2561" width="4.5703125" style="709" customWidth="1"/>
    <col min="2562" max="2562" width="43.5703125" style="709" customWidth="1"/>
    <col min="2563" max="2563" width="29.28515625" style="709" customWidth="1"/>
    <col min="2564" max="2564" width="30" style="709" customWidth="1"/>
    <col min="2565" max="2565" width="26.5703125" style="709" customWidth="1"/>
    <col min="2566" max="2566" width="31.42578125" style="709" customWidth="1"/>
    <col min="2567" max="2567" width="25.5703125" style="709" customWidth="1"/>
    <col min="2568" max="2568" width="21.7109375" style="709" customWidth="1"/>
    <col min="2569" max="2569" width="14.28515625" style="709" customWidth="1"/>
    <col min="2570" max="2816" width="9.140625" style="709"/>
    <col min="2817" max="2817" width="4.5703125" style="709" customWidth="1"/>
    <col min="2818" max="2818" width="43.5703125" style="709" customWidth="1"/>
    <col min="2819" max="2819" width="29.28515625" style="709" customWidth="1"/>
    <col min="2820" max="2820" width="30" style="709" customWidth="1"/>
    <col min="2821" max="2821" width="26.5703125" style="709" customWidth="1"/>
    <col min="2822" max="2822" width="31.42578125" style="709" customWidth="1"/>
    <col min="2823" max="2823" width="25.5703125" style="709" customWidth="1"/>
    <col min="2824" max="2824" width="21.7109375" style="709" customWidth="1"/>
    <col min="2825" max="2825" width="14.28515625" style="709" customWidth="1"/>
    <col min="2826" max="3072" width="9.140625" style="709"/>
    <col min="3073" max="3073" width="4.5703125" style="709" customWidth="1"/>
    <col min="3074" max="3074" width="43.5703125" style="709" customWidth="1"/>
    <col min="3075" max="3075" width="29.28515625" style="709" customWidth="1"/>
    <col min="3076" max="3076" width="30" style="709" customWidth="1"/>
    <col min="3077" max="3077" width="26.5703125" style="709" customWidth="1"/>
    <col min="3078" max="3078" width="31.42578125" style="709" customWidth="1"/>
    <col min="3079" max="3079" width="25.5703125" style="709" customWidth="1"/>
    <col min="3080" max="3080" width="21.7109375" style="709" customWidth="1"/>
    <col min="3081" max="3081" width="14.28515625" style="709" customWidth="1"/>
    <col min="3082" max="3328" width="9.140625" style="709"/>
    <col min="3329" max="3329" width="4.5703125" style="709" customWidth="1"/>
    <col min="3330" max="3330" width="43.5703125" style="709" customWidth="1"/>
    <col min="3331" max="3331" width="29.28515625" style="709" customWidth="1"/>
    <col min="3332" max="3332" width="30" style="709" customWidth="1"/>
    <col min="3333" max="3333" width="26.5703125" style="709" customWidth="1"/>
    <col min="3334" max="3334" width="31.42578125" style="709" customWidth="1"/>
    <col min="3335" max="3335" width="25.5703125" style="709" customWidth="1"/>
    <col min="3336" max="3336" width="21.7109375" style="709" customWidth="1"/>
    <col min="3337" max="3337" width="14.28515625" style="709" customWidth="1"/>
    <col min="3338" max="3584" width="9.140625" style="709"/>
    <col min="3585" max="3585" width="4.5703125" style="709" customWidth="1"/>
    <col min="3586" max="3586" width="43.5703125" style="709" customWidth="1"/>
    <col min="3587" max="3587" width="29.28515625" style="709" customWidth="1"/>
    <col min="3588" max="3588" width="30" style="709" customWidth="1"/>
    <col min="3589" max="3589" width="26.5703125" style="709" customWidth="1"/>
    <col min="3590" max="3590" width="31.42578125" style="709" customWidth="1"/>
    <col min="3591" max="3591" width="25.5703125" style="709" customWidth="1"/>
    <col min="3592" max="3592" width="21.7109375" style="709" customWidth="1"/>
    <col min="3593" max="3593" width="14.28515625" style="709" customWidth="1"/>
    <col min="3594" max="3840" width="9.140625" style="709"/>
    <col min="3841" max="3841" width="4.5703125" style="709" customWidth="1"/>
    <col min="3842" max="3842" width="43.5703125" style="709" customWidth="1"/>
    <col min="3843" max="3843" width="29.28515625" style="709" customWidth="1"/>
    <col min="3844" max="3844" width="30" style="709" customWidth="1"/>
    <col min="3845" max="3845" width="26.5703125" style="709" customWidth="1"/>
    <col min="3846" max="3846" width="31.42578125" style="709" customWidth="1"/>
    <col min="3847" max="3847" width="25.5703125" style="709" customWidth="1"/>
    <col min="3848" max="3848" width="21.7109375" style="709" customWidth="1"/>
    <col min="3849" max="3849" width="14.28515625" style="709" customWidth="1"/>
    <col min="3850" max="4096" width="9.140625" style="709"/>
    <col min="4097" max="4097" width="4.5703125" style="709" customWidth="1"/>
    <col min="4098" max="4098" width="43.5703125" style="709" customWidth="1"/>
    <col min="4099" max="4099" width="29.28515625" style="709" customWidth="1"/>
    <col min="4100" max="4100" width="30" style="709" customWidth="1"/>
    <col min="4101" max="4101" width="26.5703125" style="709" customWidth="1"/>
    <col min="4102" max="4102" width="31.42578125" style="709" customWidth="1"/>
    <col min="4103" max="4103" width="25.5703125" style="709" customWidth="1"/>
    <col min="4104" max="4104" width="21.7109375" style="709" customWidth="1"/>
    <col min="4105" max="4105" width="14.28515625" style="709" customWidth="1"/>
    <col min="4106" max="4352" width="9.140625" style="709"/>
    <col min="4353" max="4353" width="4.5703125" style="709" customWidth="1"/>
    <col min="4354" max="4354" width="43.5703125" style="709" customWidth="1"/>
    <col min="4355" max="4355" width="29.28515625" style="709" customWidth="1"/>
    <col min="4356" max="4356" width="30" style="709" customWidth="1"/>
    <col min="4357" max="4357" width="26.5703125" style="709" customWidth="1"/>
    <col min="4358" max="4358" width="31.42578125" style="709" customWidth="1"/>
    <col min="4359" max="4359" width="25.5703125" style="709" customWidth="1"/>
    <col min="4360" max="4360" width="21.7109375" style="709" customWidth="1"/>
    <col min="4361" max="4361" width="14.28515625" style="709" customWidth="1"/>
    <col min="4362" max="4608" width="9.140625" style="709"/>
    <col min="4609" max="4609" width="4.5703125" style="709" customWidth="1"/>
    <col min="4610" max="4610" width="43.5703125" style="709" customWidth="1"/>
    <col min="4611" max="4611" width="29.28515625" style="709" customWidth="1"/>
    <col min="4612" max="4612" width="30" style="709" customWidth="1"/>
    <col min="4613" max="4613" width="26.5703125" style="709" customWidth="1"/>
    <col min="4614" max="4614" width="31.42578125" style="709" customWidth="1"/>
    <col min="4615" max="4615" width="25.5703125" style="709" customWidth="1"/>
    <col min="4616" max="4616" width="21.7109375" style="709" customWidth="1"/>
    <col min="4617" max="4617" width="14.28515625" style="709" customWidth="1"/>
    <col min="4618" max="4864" width="9.140625" style="709"/>
    <col min="4865" max="4865" width="4.5703125" style="709" customWidth="1"/>
    <col min="4866" max="4866" width="43.5703125" style="709" customWidth="1"/>
    <col min="4867" max="4867" width="29.28515625" style="709" customWidth="1"/>
    <col min="4868" max="4868" width="30" style="709" customWidth="1"/>
    <col min="4869" max="4869" width="26.5703125" style="709" customWidth="1"/>
    <col min="4870" max="4870" width="31.42578125" style="709" customWidth="1"/>
    <col min="4871" max="4871" width="25.5703125" style="709" customWidth="1"/>
    <col min="4872" max="4872" width="21.7109375" style="709" customWidth="1"/>
    <col min="4873" max="4873" width="14.28515625" style="709" customWidth="1"/>
    <col min="4874" max="5120" width="9.140625" style="709"/>
    <col min="5121" max="5121" width="4.5703125" style="709" customWidth="1"/>
    <col min="5122" max="5122" width="43.5703125" style="709" customWidth="1"/>
    <col min="5123" max="5123" width="29.28515625" style="709" customWidth="1"/>
    <col min="5124" max="5124" width="30" style="709" customWidth="1"/>
    <col min="5125" max="5125" width="26.5703125" style="709" customWidth="1"/>
    <col min="5126" max="5126" width="31.42578125" style="709" customWidth="1"/>
    <col min="5127" max="5127" width="25.5703125" style="709" customWidth="1"/>
    <col min="5128" max="5128" width="21.7109375" style="709" customWidth="1"/>
    <col min="5129" max="5129" width="14.28515625" style="709" customWidth="1"/>
    <col min="5130" max="5376" width="9.140625" style="709"/>
    <col min="5377" max="5377" width="4.5703125" style="709" customWidth="1"/>
    <col min="5378" max="5378" width="43.5703125" style="709" customWidth="1"/>
    <col min="5379" max="5379" width="29.28515625" style="709" customWidth="1"/>
    <col min="5380" max="5380" width="30" style="709" customWidth="1"/>
    <col min="5381" max="5381" width="26.5703125" style="709" customWidth="1"/>
    <col min="5382" max="5382" width="31.42578125" style="709" customWidth="1"/>
    <col min="5383" max="5383" width="25.5703125" style="709" customWidth="1"/>
    <col min="5384" max="5384" width="21.7109375" style="709" customWidth="1"/>
    <col min="5385" max="5385" width="14.28515625" style="709" customWidth="1"/>
    <col min="5386" max="5632" width="9.140625" style="709"/>
    <col min="5633" max="5633" width="4.5703125" style="709" customWidth="1"/>
    <col min="5634" max="5634" width="43.5703125" style="709" customWidth="1"/>
    <col min="5635" max="5635" width="29.28515625" style="709" customWidth="1"/>
    <col min="5636" max="5636" width="30" style="709" customWidth="1"/>
    <col min="5637" max="5637" width="26.5703125" style="709" customWidth="1"/>
    <col min="5638" max="5638" width="31.42578125" style="709" customWidth="1"/>
    <col min="5639" max="5639" width="25.5703125" style="709" customWidth="1"/>
    <col min="5640" max="5640" width="21.7109375" style="709" customWidth="1"/>
    <col min="5641" max="5641" width="14.28515625" style="709" customWidth="1"/>
    <col min="5642" max="5888" width="9.140625" style="709"/>
    <col min="5889" max="5889" width="4.5703125" style="709" customWidth="1"/>
    <col min="5890" max="5890" width="43.5703125" style="709" customWidth="1"/>
    <col min="5891" max="5891" width="29.28515625" style="709" customWidth="1"/>
    <col min="5892" max="5892" width="30" style="709" customWidth="1"/>
    <col min="5893" max="5893" width="26.5703125" style="709" customWidth="1"/>
    <col min="5894" max="5894" width="31.42578125" style="709" customWidth="1"/>
    <col min="5895" max="5895" width="25.5703125" style="709" customWidth="1"/>
    <col min="5896" max="5896" width="21.7109375" style="709" customWidth="1"/>
    <col min="5897" max="5897" width="14.28515625" style="709" customWidth="1"/>
    <col min="5898" max="6144" width="9.140625" style="709"/>
    <col min="6145" max="6145" width="4.5703125" style="709" customWidth="1"/>
    <col min="6146" max="6146" width="43.5703125" style="709" customWidth="1"/>
    <col min="6147" max="6147" width="29.28515625" style="709" customWidth="1"/>
    <col min="6148" max="6148" width="30" style="709" customWidth="1"/>
    <col min="6149" max="6149" width="26.5703125" style="709" customWidth="1"/>
    <col min="6150" max="6150" width="31.42578125" style="709" customWidth="1"/>
    <col min="6151" max="6151" width="25.5703125" style="709" customWidth="1"/>
    <col min="6152" max="6152" width="21.7109375" style="709" customWidth="1"/>
    <col min="6153" max="6153" width="14.28515625" style="709" customWidth="1"/>
    <col min="6154" max="6400" width="9.140625" style="709"/>
    <col min="6401" max="6401" width="4.5703125" style="709" customWidth="1"/>
    <col min="6402" max="6402" width="43.5703125" style="709" customWidth="1"/>
    <col min="6403" max="6403" width="29.28515625" style="709" customWidth="1"/>
    <col min="6404" max="6404" width="30" style="709" customWidth="1"/>
    <col min="6405" max="6405" width="26.5703125" style="709" customWidth="1"/>
    <col min="6406" max="6406" width="31.42578125" style="709" customWidth="1"/>
    <col min="6407" max="6407" width="25.5703125" style="709" customWidth="1"/>
    <col min="6408" max="6408" width="21.7109375" style="709" customWidth="1"/>
    <col min="6409" max="6409" width="14.28515625" style="709" customWidth="1"/>
    <col min="6410" max="6656" width="9.140625" style="709"/>
    <col min="6657" max="6657" width="4.5703125" style="709" customWidth="1"/>
    <col min="6658" max="6658" width="43.5703125" style="709" customWidth="1"/>
    <col min="6659" max="6659" width="29.28515625" style="709" customWidth="1"/>
    <col min="6660" max="6660" width="30" style="709" customWidth="1"/>
    <col min="6661" max="6661" width="26.5703125" style="709" customWidth="1"/>
    <col min="6662" max="6662" width="31.42578125" style="709" customWidth="1"/>
    <col min="6663" max="6663" width="25.5703125" style="709" customWidth="1"/>
    <col min="6664" max="6664" width="21.7109375" style="709" customWidth="1"/>
    <col min="6665" max="6665" width="14.28515625" style="709" customWidth="1"/>
    <col min="6666" max="6912" width="9.140625" style="709"/>
    <col min="6913" max="6913" width="4.5703125" style="709" customWidth="1"/>
    <col min="6914" max="6914" width="43.5703125" style="709" customWidth="1"/>
    <col min="6915" max="6915" width="29.28515625" style="709" customWidth="1"/>
    <col min="6916" max="6916" width="30" style="709" customWidth="1"/>
    <col min="6917" max="6917" width="26.5703125" style="709" customWidth="1"/>
    <col min="6918" max="6918" width="31.42578125" style="709" customWidth="1"/>
    <col min="6919" max="6919" width="25.5703125" style="709" customWidth="1"/>
    <col min="6920" max="6920" width="21.7109375" style="709" customWidth="1"/>
    <col min="6921" max="6921" width="14.28515625" style="709" customWidth="1"/>
    <col min="6922" max="7168" width="9.140625" style="709"/>
    <col min="7169" max="7169" width="4.5703125" style="709" customWidth="1"/>
    <col min="7170" max="7170" width="43.5703125" style="709" customWidth="1"/>
    <col min="7171" max="7171" width="29.28515625" style="709" customWidth="1"/>
    <col min="7172" max="7172" width="30" style="709" customWidth="1"/>
    <col min="7173" max="7173" width="26.5703125" style="709" customWidth="1"/>
    <col min="7174" max="7174" width="31.42578125" style="709" customWidth="1"/>
    <col min="7175" max="7175" width="25.5703125" style="709" customWidth="1"/>
    <col min="7176" max="7176" width="21.7109375" style="709" customWidth="1"/>
    <col min="7177" max="7177" width="14.28515625" style="709" customWidth="1"/>
    <col min="7178" max="7424" width="9.140625" style="709"/>
    <col min="7425" max="7425" width="4.5703125" style="709" customWidth="1"/>
    <col min="7426" max="7426" width="43.5703125" style="709" customWidth="1"/>
    <col min="7427" max="7427" width="29.28515625" style="709" customWidth="1"/>
    <col min="7428" max="7428" width="30" style="709" customWidth="1"/>
    <col min="7429" max="7429" width="26.5703125" style="709" customWidth="1"/>
    <col min="7430" max="7430" width="31.42578125" style="709" customWidth="1"/>
    <col min="7431" max="7431" width="25.5703125" style="709" customWidth="1"/>
    <col min="7432" max="7432" width="21.7109375" style="709" customWidth="1"/>
    <col min="7433" max="7433" width="14.28515625" style="709" customWidth="1"/>
    <col min="7434" max="7680" width="9.140625" style="709"/>
    <col min="7681" max="7681" width="4.5703125" style="709" customWidth="1"/>
    <col min="7682" max="7682" width="43.5703125" style="709" customWidth="1"/>
    <col min="7683" max="7683" width="29.28515625" style="709" customWidth="1"/>
    <col min="7684" max="7684" width="30" style="709" customWidth="1"/>
    <col min="7685" max="7685" width="26.5703125" style="709" customWidth="1"/>
    <col min="7686" max="7686" width="31.42578125" style="709" customWidth="1"/>
    <col min="7687" max="7687" width="25.5703125" style="709" customWidth="1"/>
    <col min="7688" max="7688" width="21.7109375" style="709" customWidth="1"/>
    <col min="7689" max="7689" width="14.28515625" style="709" customWidth="1"/>
    <col min="7690" max="7936" width="9.140625" style="709"/>
    <col min="7937" max="7937" width="4.5703125" style="709" customWidth="1"/>
    <col min="7938" max="7938" width="43.5703125" style="709" customWidth="1"/>
    <col min="7939" max="7939" width="29.28515625" style="709" customWidth="1"/>
    <col min="7940" max="7940" width="30" style="709" customWidth="1"/>
    <col min="7941" max="7941" width="26.5703125" style="709" customWidth="1"/>
    <col min="7942" max="7942" width="31.42578125" style="709" customWidth="1"/>
    <col min="7943" max="7943" width="25.5703125" style="709" customWidth="1"/>
    <col min="7944" max="7944" width="21.7109375" style="709" customWidth="1"/>
    <col min="7945" max="7945" width="14.28515625" style="709" customWidth="1"/>
    <col min="7946" max="8192" width="9.140625" style="709"/>
    <col min="8193" max="8193" width="4.5703125" style="709" customWidth="1"/>
    <col min="8194" max="8194" width="43.5703125" style="709" customWidth="1"/>
    <col min="8195" max="8195" width="29.28515625" style="709" customWidth="1"/>
    <col min="8196" max="8196" width="30" style="709" customWidth="1"/>
    <col min="8197" max="8197" width="26.5703125" style="709" customWidth="1"/>
    <col min="8198" max="8198" width="31.42578125" style="709" customWidth="1"/>
    <col min="8199" max="8199" width="25.5703125" style="709" customWidth="1"/>
    <col min="8200" max="8200" width="21.7109375" style="709" customWidth="1"/>
    <col min="8201" max="8201" width="14.28515625" style="709" customWidth="1"/>
    <col min="8202" max="8448" width="9.140625" style="709"/>
    <col min="8449" max="8449" width="4.5703125" style="709" customWidth="1"/>
    <col min="8450" max="8450" width="43.5703125" style="709" customWidth="1"/>
    <col min="8451" max="8451" width="29.28515625" style="709" customWidth="1"/>
    <col min="8452" max="8452" width="30" style="709" customWidth="1"/>
    <col min="8453" max="8453" width="26.5703125" style="709" customWidth="1"/>
    <col min="8454" max="8454" width="31.42578125" style="709" customWidth="1"/>
    <col min="8455" max="8455" width="25.5703125" style="709" customWidth="1"/>
    <col min="8456" max="8456" width="21.7109375" style="709" customWidth="1"/>
    <col min="8457" max="8457" width="14.28515625" style="709" customWidth="1"/>
    <col min="8458" max="8704" width="9.140625" style="709"/>
    <col min="8705" max="8705" width="4.5703125" style="709" customWidth="1"/>
    <col min="8706" max="8706" width="43.5703125" style="709" customWidth="1"/>
    <col min="8707" max="8707" width="29.28515625" style="709" customWidth="1"/>
    <col min="8708" max="8708" width="30" style="709" customWidth="1"/>
    <col min="8709" max="8709" width="26.5703125" style="709" customWidth="1"/>
    <col min="8710" max="8710" width="31.42578125" style="709" customWidth="1"/>
    <col min="8711" max="8711" width="25.5703125" style="709" customWidth="1"/>
    <col min="8712" max="8712" width="21.7109375" style="709" customWidth="1"/>
    <col min="8713" max="8713" width="14.28515625" style="709" customWidth="1"/>
    <col min="8714" max="8960" width="9.140625" style="709"/>
    <col min="8961" max="8961" width="4.5703125" style="709" customWidth="1"/>
    <col min="8962" max="8962" width="43.5703125" style="709" customWidth="1"/>
    <col min="8963" max="8963" width="29.28515625" style="709" customWidth="1"/>
    <col min="8964" max="8964" width="30" style="709" customWidth="1"/>
    <col min="8965" max="8965" width="26.5703125" style="709" customWidth="1"/>
    <col min="8966" max="8966" width="31.42578125" style="709" customWidth="1"/>
    <col min="8967" max="8967" width="25.5703125" style="709" customWidth="1"/>
    <col min="8968" max="8968" width="21.7109375" style="709" customWidth="1"/>
    <col min="8969" max="8969" width="14.28515625" style="709" customWidth="1"/>
    <col min="8970" max="9216" width="9.140625" style="709"/>
    <col min="9217" max="9217" width="4.5703125" style="709" customWidth="1"/>
    <col min="9218" max="9218" width="43.5703125" style="709" customWidth="1"/>
    <col min="9219" max="9219" width="29.28515625" style="709" customWidth="1"/>
    <col min="9220" max="9220" width="30" style="709" customWidth="1"/>
    <col min="9221" max="9221" width="26.5703125" style="709" customWidth="1"/>
    <col min="9222" max="9222" width="31.42578125" style="709" customWidth="1"/>
    <col min="9223" max="9223" width="25.5703125" style="709" customWidth="1"/>
    <col min="9224" max="9224" width="21.7109375" style="709" customWidth="1"/>
    <col min="9225" max="9225" width="14.28515625" style="709" customWidth="1"/>
    <col min="9226" max="9472" width="9.140625" style="709"/>
    <col min="9473" max="9473" width="4.5703125" style="709" customWidth="1"/>
    <col min="9474" max="9474" width="43.5703125" style="709" customWidth="1"/>
    <col min="9475" max="9475" width="29.28515625" style="709" customWidth="1"/>
    <col min="9476" max="9476" width="30" style="709" customWidth="1"/>
    <col min="9477" max="9477" width="26.5703125" style="709" customWidth="1"/>
    <col min="9478" max="9478" width="31.42578125" style="709" customWidth="1"/>
    <col min="9479" max="9479" width="25.5703125" style="709" customWidth="1"/>
    <col min="9480" max="9480" width="21.7109375" style="709" customWidth="1"/>
    <col min="9481" max="9481" width="14.28515625" style="709" customWidth="1"/>
    <col min="9482" max="9728" width="9.140625" style="709"/>
    <col min="9729" max="9729" width="4.5703125" style="709" customWidth="1"/>
    <col min="9730" max="9730" width="43.5703125" style="709" customWidth="1"/>
    <col min="9731" max="9731" width="29.28515625" style="709" customWidth="1"/>
    <col min="9732" max="9732" width="30" style="709" customWidth="1"/>
    <col min="9733" max="9733" width="26.5703125" style="709" customWidth="1"/>
    <col min="9734" max="9734" width="31.42578125" style="709" customWidth="1"/>
    <col min="9735" max="9735" width="25.5703125" style="709" customWidth="1"/>
    <col min="9736" max="9736" width="21.7109375" style="709" customWidth="1"/>
    <col min="9737" max="9737" width="14.28515625" style="709" customWidth="1"/>
    <col min="9738" max="9984" width="9.140625" style="709"/>
    <col min="9985" max="9985" width="4.5703125" style="709" customWidth="1"/>
    <col min="9986" max="9986" width="43.5703125" style="709" customWidth="1"/>
    <col min="9987" max="9987" width="29.28515625" style="709" customWidth="1"/>
    <col min="9988" max="9988" width="30" style="709" customWidth="1"/>
    <col min="9989" max="9989" width="26.5703125" style="709" customWidth="1"/>
    <col min="9990" max="9990" width="31.42578125" style="709" customWidth="1"/>
    <col min="9991" max="9991" width="25.5703125" style="709" customWidth="1"/>
    <col min="9992" max="9992" width="21.7109375" style="709" customWidth="1"/>
    <col min="9993" max="9993" width="14.28515625" style="709" customWidth="1"/>
    <col min="9994" max="10240" width="9.140625" style="709"/>
    <col min="10241" max="10241" width="4.5703125" style="709" customWidth="1"/>
    <col min="10242" max="10242" width="43.5703125" style="709" customWidth="1"/>
    <col min="10243" max="10243" width="29.28515625" style="709" customWidth="1"/>
    <col min="10244" max="10244" width="30" style="709" customWidth="1"/>
    <col min="10245" max="10245" width="26.5703125" style="709" customWidth="1"/>
    <col min="10246" max="10246" width="31.42578125" style="709" customWidth="1"/>
    <col min="10247" max="10247" width="25.5703125" style="709" customWidth="1"/>
    <col min="10248" max="10248" width="21.7109375" style="709" customWidth="1"/>
    <col min="10249" max="10249" width="14.28515625" style="709" customWidth="1"/>
    <col min="10250" max="10496" width="9.140625" style="709"/>
    <col min="10497" max="10497" width="4.5703125" style="709" customWidth="1"/>
    <col min="10498" max="10498" width="43.5703125" style="709" customWidth="1"/>
    <col min="10499" max="10499" width="29.28515625" style="709" customWidth="1"/>
    <col min="10500" max="10500" width="30" style="709" customWidth="1"/>
    <col min="10501" max="10501" width="26.5703125" style="709" customWidth="1"/>
    <col min="10502" max="10502" width="31.42578125" style="709" customWidth="1"/>
    <col min="10503" max="10503" width="25.5703125" style="709" customWidth="1"/>
    <col min="10504" max="10504" width="21.7109375" style="709" customWidth="1"/>
    <col min="10505" max="10505" width="14.28515625" style="709" customWidth="1"/>
    <col min="10506" max="10752" width="9.140625" style="709"/>
    <col min="10753" max="10753" width="4.5703125" style="709" customWidth="1"/>
    <col min="10754" max="10754" width="43.5703125" style="709" customWidth="1"/>
    <col min="10755" max="10755" width="29.28515625" style="709" customWidth="1"/>
    <col min="10756" max="10756" width="30" style="709" customWidth="1"/>
    <col min="10757" max="10757" width="26.5703125" style="709" customWidth="1"/>
    <col min="10758" max="10758" width="31.42578125" style="709" customWidth="1"/>
    <col min="10759" max="10759" width="25.5703125" style="709" customWidth="1"/>
    <col min="10760" max="10760" width="21.7109375" style="709" customWidth="1"/>
    <col min="10761" max="10761" width="14.28515625" style="709" customWidth="1"/>
    <col min="10762" max="11008" width="9.140625" style="709"/>
    <col min="11009" max="11009" width="4.5703125" style="709" customWidth="1"/>
    <col min="11010" max="11010" width="43.5703125" style="709" customWidth="1"/>
    <col min="11011" max="11011" width="29.28515625" style="709" customWidth="1"/>
    <col min="11012" max="11012" width="30" style="709" customWidth="1"/>
    <col min="11013" max="11013" width="26.5703125" style="709" customWidth="1"/>
    <col min="11014" max="11014" width="31.42578125" style="709" customWidth="1"/>
    <col min="11015" max="11015" width="25.5703125" style="709" customWidth="1"/>
    <col min="11016" max="11016" width="21.7109375" style="709" customWidth="1"/>
    <col min="11017" max="11017" width="14.28515625" style="709" customWidth="1"/>
    <col min="11018" max="11264" width="9.140625" style="709"/>
    <col min="11265" max="11265" width="4.5703125" style="709" customWidth="1"/>
    <col min="11266" max="11266" width="43.5703125" style="709" customWidth="1"/>
    <col min="11267" max="11267" width="29.28515625" style="709" customWidth="1"/>
    <col min="11268" max="11268" width="30" style="709" customWidth="1"/>
    <col min="11269" max="11269" width="26.5703125" style="709" customWidth="1"/>
    <col min="11270" max="11270" width="31.42578125" style="709" customWidth="1"/>
    <col min="11271" max="11271" width="25.5703125" style="709" customWidth="1"/>
    <col min="11272" max="11272" width="21.7109375" style="709" customWidth="1"/>
    <col min="11273" max="11273" width="14.28515625" style="709" customWidth="1"/>
    <col min="11274" max="11520" width="9.140625" style="709"/>
    <col min="11521" max="11521" width="4.5703125" style="709" customWidth="1"/>
    <col min="11522" max="11522" width="43.5703125" style="709" customWidth="1"/>
    <col min="11523" max="11523" width="29.28515625" style="709" customWidth="1"/>
    <col min="11524" max="11524" width="30" style="709" customWidth="1"/>
    <col min="11525" max="11525" width="26.5703125" style="709" customWidth="1"/>
    <col min="11526" max="11526" width="31.42578125" style="709" customWidth="1"/>
    <col min="11527" max="11527" width="25.5703125" style="709" customWidth="1"/>
    <col min="11528" max="11528" width="21.7109375" style="709" customWidth="1"/>
    <col min="11529" max="11529" width="14.28515625" style="709" customWidth="1"/>
    <col min="11530" max="11776" width="9.140625" style="709"/>
    <col min="11777" max="11777" width="4.5703125" style="709" customWidth="1"/>
    <col min="11778" max="11778" width="43.5703125" style="709" customWidth="1"/>
    <col min="11779" max="11779" width="29.28515625" style="709" customWidth="1"/>
    <col min="11780" max="11780" width="30" style="709" customWidth="1"/>
    <col min="11781" max="11781" width="26.5703125" style="709" customWidth="1"/>
    <col min="11782" max="11782" width="31.42578125" style="709" customWidth="1"/>
    <col min="11783" max="11783" width="25.5703125" style="709" customWidth="1"/>
    <col min="11784" max="11784" width="21.7109375" style="709" customWidth="1"/>
    <col min="11785" max="11785" width="14.28515625" style="709" customWidth="1"/>
    <col min="11786" max="12032" width="9.140625" style="709"/>
    <col min="12033" max="12033" width="4.5703125" style="709" customWidth="1"/>
    <col min="12034" max="12034" width="43.5703125" style="709" customWidth="1"/>
    <col min="12035" max="12035" width="29.28515625" style="709" customWidth="1"/>
    <col min="12036" max="12036" width="30" style="709" customWidth="1"/>
    <col min="12037" max="12037" width="26.5703125" style="709" customWidth="1"/>
    <col min="12038" max="12038" width="31.42578125" style="709" customWidth="1"/>
    <col min="12039" max="12039" width="25.5703125" style="709" customWidth="1"/>
    <col min="12040" max="12040" width="21.7109375" style="709" customWidth="1"/>
    <col min="12041" max="12041" width="14.28515625" style="709" customWidth="1"/>
    <col min="12042" max="12288" width="9.140625" style="709"/>
    <col min="12289" max="12289" width="4.5703125" style="709" customWidth="1"/>
    <col min="12290" max="12290" width="43.5703125" style="709" customWidth="1"/>
    <col min="12291" max="12291" width="29.28515625" style="709" customWidth="1"/>
    <col min="12292" max="12292" width="30" style="709" customWidth="1"/>
    <col min="12293" max="12293" width="26.5703125" style="709" customWidth="1"/>
    <col min="12294" max="12294" width="31.42578125" style="709" customWidth="1"/>
    <col min="12295" max="12295" width="25.5703125" style="709" customWidth="1"/>
    <col min="12296" max="12296" width="21.7109375" style="709" customWidth="1"/>
    <col min="12297" max="12297" width="14.28515625" style="709" customWidth="1"/>
    <col min="12298" max="12544" width="9.140625" style="709"/>
    <col min="12545" max="12545" width="4.5703125" style="709" customWidth="1"/>
    <col min="12546" max="12546" width="43.5703125" style="709" customWidth="1"/>
    <col min="12547" max="12547" width="29.28515625" style="709" customWidth="1"/>
    <col min="12548" max="12548" width="30" style="709" customWidth="1"/>
    <col min="12549" max="12549" width="26.5703125" style="709" customWidth="1"/>
    <col min="12550" max="12550" width="31.42578125" style="709" customWidth="1"/>
    <col min="12551" max="12551" width="25.5703125" style="709" customWidth="1"/>
    <col min="12552" max="12552" width="21.7109375" style="709" customWidth="1"/>
    <col min="12553" max="12553" width="14.28515625" style="709" customWidth="1"/>
    <col min="12554" max="12800" width="9.140625" style="709"/>
    <col min="12801" max="12801" width="4.5703125" style="709" customWidth="1"/>
    <col min="12802" max="12802" width="43.5703125" style="709" customWidth="1"/>
    <col min="12803" max="12803" width="29.28515625" style="709" customWidth="1"/>
    <col min="12804" max="12804" width="30" style="709" customWidth="1"/>
    <col min="12805" max="12805" width="26.5703125" style="709" customWidth="1"/>
    <col min="12806" max="12806" width="31.42578125" style="709" customWidth="1"/>
    <col min="12807" max="12807" width="25.5703125" style="709" customWidth="1"/>
    <col min="12808" max="12808" width="21.7109375" style="709" customWidth="1"/>
    <col min="12809" max="12809" width="14.28515625" style="709" customWidth="1"/>
    <col min="12810" max="13056" width="9.140625" style="709"/>
    <col min="13057" max="13057" width="4.5703125" style="709" customWidth="1"/>
    <col min="13058" max="13058" width="43.5703125" style="709" customWidth="1"/>
    <col min="13059" max="13059" width="29.28515625" style="709" customWidth="1"/>
    <col min="13060" max="13060" width="30" style="709" customWidth="1"/>
    <col min="13061" max="13061" width="26.5703125" style="709" customWidth="1"/>
    <col min="13062" max="13062" width="31.42578125" style="709" customWidth="1"/>
    <col min="13063" max="13063" width="25.5703125" style="709" customWidth="1"/>
    <col min="13064" max="13064" width="21.7109375" style="709" customWidth="1"/>
    <col min="13065" max="13065" width="14.28515625" style="709" customWidth="1"/>
    <col min="13066" max="13312" width="9.140625" style="709"/>
    <col min="13313" max="13313" width="4.5703125" style="709" customWidth="1"/>
    <col min="13314" max="13314" width="43.5703125" style="709" customWidth="1"/>
    <col min="13315" max="13315" width="29.28515625" style="709" customWidth="1"/>
    <col min="13316" max="13316" width="30" style="709" customWidth="1"/>
    <col min="13317" max="13317" width="26.5703125" style="709" customWidth="1"/>
    <col min="13318" max="13318" width="31.42578125" style="709" customWidth="1"/>
    <col min="13319" max="13319" width="25.5703125" style="709" customWidth="1"/>
    <col min="13320" max="13320" width="21.7109375" style="709" customWidth="1"/>
    <col min="13321" max="13321" width="14.28515625" style="709" customWidth="1"/>
    <col min="13322" max="13568" width="9.140625" style="709"/>
    <col min="13569" max="13569" width="4.5703125" style="709" customWidth="1"/>
    <col min="13570" max="13570" width="43.5703125" style="709" customWidth="1"/>
    <col min="13571" max="13571" width="29.28515625" style="709" customWidth="1"/>
    <col min="13572" max="13572" width="30" style="709" customWidth="1"/>
    <col min="13573" max="13573" width="26.5703125" style="709" customWidth="1"/>
    <col min="13574" max="13574" width="31.42578125" style="709" customWidth="1"/>
    <col min="13575" max="13575" width="25.5703125" style="709" customWidth="1"/>
    <col min="13576" max="13576" width="21.7109375" style="709" customWidth="1"/>
    <col min="13577" max="13577" width="14.28515625" style="709" customWidth="1"/>
    <col min="13578" max="13824" width="9.140625" style="709"/>
    <col min="13825" max="13825" width="4.5703125" style="709" customWidth="1"/>
    <col min="13826" max="13826" width="43.5703125" style="709" customWidth="1"/>
    <col min="13827" max="13827" width="29.28515625" style="709" customWidth="1"/>
    <col min="13828" max="13828" width="30" style="709" customWidth="1"/>
    <col min="13829" max="13829" width="26.5703125" style="709" customWidth="1"/>
    <col min="13830" max="13830" width="31.42578125" style="709" customWidth="1"/>
    <col min="13831" max="13831" width="25.5703125" style="709" customWidth="1"/>
    <col min="13832" max="13832" width="21.7109375" style="709" customWidth="1"/>
    <col min="13833" max="13833" width="14.28515625" style="709" customWidth="1"/>
    <col min="13834" max="14080" width="9.140625" style="709"/>
    <col min="14081" max="14081" width="4.5703125" style="709" customWidth="1"/>
    <col min="14082" max="14082" width="43.5703125" style="709" customWidth="1"/>
    <col min="14083" max="14083" width="29.28515625" style="709" customWidth="1"/>
    <col min="14084" max="14084" width="30" style="709" customWidth="1"/>
    <col min="14085" max="14085" width="26.5703125" style="709" customWidth="1"/>
    <col min="14086" max="14086" width="31.42578125" style="709" customWidth="1"/>
    <col min="14087" max="14087" width="25.5703125" style="709" customWidth="1"/>
    <col min="14088" max="14088" width="21.7109375" style="709" customWidth="1"/>
    <col min="14089" max="14089" width="14.28515625" style="709" customWidth="1"/>
    <col min="14090" max="14336" width="9.140625" style="709"/>
    <col min="14337" max="14337" width="4.5703125" style="709" customWidth="1"/>
    <col min="14338" max="14338" width="43.5703125" style="709" customWidth="1"/>
    <col min="14339" max="14339" width="29.28515625" style="709" customWidth="1"/>
    <col min="14340" max="14340" width="30" style="709" customWidth="1"/>
    <col min="14341" max="14341" width="26.5703125" style="709" customWidth="1"/>
    <col min="14342" max="14342" width="31.42578125" style="709" customWidth="1"/>
    <col min="14343" max="14343" width="25.5703125" style="709" customWidth="1"/>
    <col min="14344" max="14344" width="21.7109375" style="709" customWidth="1"/>
    <col min="14345" max="14345" width="14.28515625" style="709" customWidth="1"/>
    <col min="14346" max="14592" width="9.140625" style="709"/>
    <col min="14593" max="14593" width="4.5703125" style="709" customWidth="1"/>
    <col min="14594" max="14594" width="43.5703125" style="709" customWidth="1"/>
    <col min="14595" max="14595" width="29.28515625" style="709" customWidth="1"/>
    <col min="14596" max="14596" width="30" style="709" customWidth="1"/>
    <col min="14597" max="14597" width="26.5703125" style="709" customWidth="1"/>
    <col min="14598" max="14598" width="31.42578125" style="709" customWidth="1"/>
    <col min="14599" max="14599" width="25.5703125" style="709" customWidth="1"/>
    <col min="14600" max="14600" width="21.7109375" style="709" customWidth="1"/>
    <col min="14601" max="14601" width="14.28515625" style="709" customWidth="1"/>
    <col min="14602" max="14848" width="9.140625" style="709"/>
    <col min="14849" max="14849" width="4.5703125" style="709" customWidth="1"/>
    <col min="14850" max="14850" width="43.5703125" style="709" customWidth="1"/>
    <col min="14851" max="14851" width="29.28515625" style="709" customWidth="1"/>
    <col min="14852" max="14852" width="30" style="709" customWidth="1"/>
    <col min="14853" max="14853" width="26.5703125" style="709" customWidth="1"/>
    <col min="14854" max="14854" width="31.42578125" style="709" customWidth="1"/>
    <col min="14855" max="14855" width="25.5703125" style="709" customWidth="1"/>
    <col min="14856" max="14856" width="21.7109375" style="709" customWidth="1"/>
    <col min="14857" max="14857" width="14.28515625" style="709" customWidth="1"/>
    <col min="14858" max="15104" width="9.140625" style="709"/>
    <col min="15105" max="15105" width="4.5703125" style="709" customWidth="1"/>
    <col min="15106" max="15106" width="43.5703125" style="709" customWidth="1"/>
    <col min="15107" max="15107" width="29.28515625" style="709" customWidth="1"/>
    <col min="15108" max="15108" width="30" style="709" customWidth="1"/>
    <col min="15109" max="15109" width="26.5703125" style="709" customWidth="1"/>
    <col min="15110" max="15110" width="31.42578125" style="709" customWidth="1"/>
    <col min="15111" max="15111" width="25.5703125" style="709" customWidth="1"/>
    <col min="15112" max="15112" width="21.7109375" style="709" customWidth="1"/>
    <col min="15113" max="15113" width="14.28515625" style="709" customWidth="1"/>
    <col min="15114" max="15360" width="9.140625" style="709"/>
    <col min="15361" max="15361" width="4.5703125" style="709" customWidth="1"/>
    <col min="15362" max="15362" width="43.5703125" style="709" customWidth="1"/>
    <col min="15363" max="15363" width="29.28515625" style="709" customWidth="1"/>
    <col min="15364" max="15364" width="30" style="709" customWidth="1"/>
    <col min="15365" max="15365" width="26.5703125" style="709" customWidth="1"/>
    <col min="15366" max="15366" width="31.42578125" style="709" customWidth="1"/>
    <col min="15367" max="15367" width="25.5703125" style="709" customWidth="1"/>
    <col min="15368" max="15368" width="21.7109375" style="709" customWidth="1"/>
    <col min="15369" max="15369" width="14.28515625" style="709" customWidth="1"/>
    <col min="15370" max="15616" width="9.140625" style="709"/>
    <col min="15617" max="15617" width="4.5703125" style="709" customWidth="1"/>
    <col min="15618" max="15618" width="43.5703125" style="709" customWidth="1"/>
    <col min="15619" max="15619" width="29.28515625" style="709" customWidth="1"/>
    <col min="15620" max="15620" width="30" style="709" customWidth="1"/>
    <col min="15621" max="15621" width="26.5703125" style="709" customWidth="1"/>
    <col min="15622" max="15622" width="31.42578125" style="709" customWidth="1"/>
    <col min="15623" max="15623" width="25.5703125" style="709" customWidth="1"/>
    <col min="15624" max="15624" width="21.7109375" style="709" customWidth="1"/>
    <col min="15625" max="15625" width="14.28515625" style="709" customWidth="1"/>
    <col min="15626" max="15872" width="9.140625" style="709"/>
    <col min="15873" max="15873" width="4.5703125" style="709" customWidth="1"/>
    <col min="15874" max="15874" width="43.5703125" style="709" customWidth="1"/>
    <col min="15875" max="15875" width="29.28515625" style="709" customWidth="1"/>
    <col min="15876" max="15876" width="30" style="709" customWidth="1"/>
    <col min="15877" max="15877" width="26.5703125" style="709" customWidth="1"/>
    <col min="15878" max="15878" width="31.42578125" style="709" customWidth="1"/>
    <col min="15879" max="15879" width="25.5703125" style="709" customWidth="1"/>
    <col min="15880" max="15880" width="21.7109375" style="709" customWidth="1"/>
    <col min="15881" max="15881" width="14.28515625" style="709" customWidth="1"/>
    <col min="15882" max="16128" width="9.140625" style="709"/>
    <col min="16129" max="16129" width="4.5703125" style="709" customWidth="1"/>
    <col min="16130" max="16130" width="43.5703125" style="709" customWidth="1"/>
    <col min="16131" max="16131" width="29.28515625" style="709" customWidth="1"/>
    <col min="16132" max="16132" width="30" style="709" customWidth="1"/>
    <col min="16133" max="16133" width="26.5703125" style="709" customWidth="1"/>
    <col min="16134" max="16134" width="31.42578125" style="709" customWidth="1"/>
    <col min="16135" max="16135" width="25.5703125" style="709" customWidth="1"/>
    <col min="16136" max="16136" width="21.7109375" style="709" customWidth="1"/>
    <col min="16137" max="16137" width="14.28515625" style="709" customWidth="1"/>
    <col min="16138" max="16384" width="9.140625" style="709"/>
  </cols>
  <sheetData>
    <row r="1" spans="1:11">
      <c r="B1" s="710"/>
      <c r="C1" s="710"/>
      <c r="D1" s="710"/>
      <c r="H1" s="711" t="s">
        <v>1535</v>
      </c>
    </row>
    <row r="2" spans="1:11" ht="29.25" customHeight="1">
      <c r="A2" s="808" t="s">
        <v>1536</v>
      </c>
      <c r="B2" s="808"/>
      <c r="C2" s="808"/>
      <c r="D2" s="808"/>
      <c r="E2" s="808"/>
      <c r="F2" s="808"/>
      <c r="G2" s="808"/>
      <c r="H2" s="808"/>
      <c r="I2" s="712"/>
    </row>
    <row r="4" spans="1:11">
      <c r="B4" s="710"/>
      <c r="C4" s="710"/>
      <c r="D4" s="710"/>
      <c r="E4" s="710"/>
    </row>
    <row r="5" spans="1:11">
      <c r="B5" s="710"/>
      <c r="C5" s="710"/>
      <c r="D5" s="710"/>
    </row>
    <row r="7" spans="1:11" ht="92.25" customHeight="1">
      <c r="A7" s="713" t="s">
        <v>500</v>
      </c>
      <c r="B7" s="713" t="s">
        <v>1537</v>
      </c>
      <c r="C7" s="714" t="s">
        <v>1538</v>
      </c>
      <c r="D7" s="714" t="s">
        <v>1539</v>
      </c>
      <c r="E7" s="714" t="s">
        <v>1540</v>
      </c>
      <c r="F7" s="714" t="s">
        <v>1541</v>
      </c>
      <c r="G7" s="713" t="s">
        <v>1542</v>
      </c>
      <c r="H7" s="714" t="s">
        <v>1543</v>
      </c>
      <c r="I7" s="715"/>
      <c r="J7" s="715"/>
      <c r="K7" s="715"/>
    </row>
    <row r="8" spans="1:11" ht="15.75" customHeight="1">
      <c r="A8" s="713">
        <v>1</v>
      </c>
      <c r="B8" s="713">
        <v>2</v>
      </c>
      <c r="C8" s="713">
        <v>3</v>
      </c>
      <c r="D8" s="713">
        <v>4</v>
      </c>
      <c r="E8" s="713">
        <v>5</v>
      </c>
      <c r="F8" s="713">
        <v>6</v>
      </c>
      <c r="G8" s="713">
        <v>7</v>
      </c>
      <c r="H8" s="713">
        <v>8</v>
      </c>
      <c r="I8" s="715"/>
      <c r="J8" s="715"/>
      <c r="K8" s="715"/>
    </row>
    <row r="9" spans="1:11" ht="25.5">
      <c r="A9" s="716">
        <v>1</v>
      </c>
      <c r="B9" s="717" t="s">
        <v>1544</v>
      </c>
      <c r="C9" s="718" t="s">
        <v>1545</v>
      </c>
      <c r="D9" s="719" t="s">
        <v>1546</v>
      </c>
      <c r="E9" s="720">
        <v>22868</v>
      </c>
      <c r="F9" s="720">
        <v>22868</v>
      </c>
      <c r="G9" s="721" t="s">
        <v>1547</v>
      </c>
      <c r="H9" s="722" t="s">
        <v>1548</v>
      </c>
    </row>
    <row r="10" spans="1:11" ht="25.5">
      <c r="A10" s="716">
        <v>2</v>
      </c>
      <c r="B10" s="717" t="s">
        <v>1544</v>
      </c>
      <c r="C10" s="718" t="s">
        <v>1545</v>
      </c>
      <c r="D10" s="719" t="s">
        <v>1549</v>
      </c>
      <c r="E10" s="720">
        <v>207652</v>
      </c>
      <c r="F10" s="720">
        <v>207652</v>
      </c>
      <c r="G10" s="721" t="s">
        <v>1547</v>
      </c>
      <c r="H10" s="722" t="s">
        <v>1548</v>
      </c>
    </row>
    <row r="11" spans="1:11" ht="25.5">
      <c r="A11" s="716">
        <v>3</v>
      </c>
      <c r="B11" s="723" t="s">
        <v>1544</v>
      </c>
      <c r="C11" s="724" t="s">
        <v>1545</v>
      </c>
      <c r="D11" s="725" t="s">
        <v>1550</v>
      </c>
      <c r="E11" s="720">
        <v>14841</v>
      </c>
      <c r="F11" s="720">
        <v>14841</v>
      </c>
      <c r="G11" s="721" t="s">
        <v>1547</v>
      </c>
      <c r="H11" s="722" t="s">
        <v>1548</v>
      </c>
    </row>
    <row r="12" spans="1:11" ht="25.5">
      <c r="A12" s="716">
        <v>4</v>
      </c>
      <c r="B12" s="723" t="s">
        <v>1544</v>
      </c>
      <c r="C12" s="718" t="s">
        <v>1551</v>
      </c>
      <c r="D12" s="719" t="s">
        <v>1546</v>
      </c>
      <c r="E12" s="720">
        <v>24059</v>
      </c>
      <c r="F12" s="720">
        <v>24059</v>
      </c>
      <c r="G12" s="726" t="s">
        <v>1552</v>
      </c>
      <c r="H12" s="722" t="s">
        <v>1548</v>
      </c>
    </row>
    <row r="13" spans="1:11" ht="25.5">
      <c r="A13" s="716">
        <v>5</v>
      </c>
      <c r="B13" s="723" t="s">
        <v>1544</v>
      </c>
      <c r="C13" s="718" t="s">
        <v>1551</v>
      </c>
      <c r="D13" s="719" t="s">
        <v>1549</v>
      </c>
      <c r="E13" s="720">
        <v>63786</v>
      </c>
      <c r="F13" s="720">
        <v>63786</v>
      </c>
      <c r="G13" s="726" t="s">
        <v>1552</v>
      </c>
      <c r="H13" s="722" t="s">
        <v>1548</v>
      </c>
    </row>
    <row r="14" spans="1:11" ht="25.5">
      <c r="A14" s="716">
        <v>6</v>
      </c>
      <c r="B14" s="723" t="s">
        <v>1544</v>
      </c>
      <c r="C14" s="718" t="s">
        <v>1551</v>
      </c>
      <c r="D14" s="719" t="s">
        <v>1550</v>
      </c>
      <c r="E14" s="720">
        <v>3651</v>
      </c>
      <c r="F14" s="720">
        <v>3651</v>
      </c>
      <c r="G14" s="726" t="s">
        <v>1552</v>
      </c>
      <c r="H14" s="722" t="s">
        <v>1548</v>
      </c>
    </row>
    <row r="15" spans="1:11" ht="25.5">
      <c r="A15" s="716">
        <v>7</v>
      </c>
      <c r="B15" s="723" t="s">
        <v>1544</v>
      </c>
      <c r="C15" s="718" t="s">
        <v>1553</v>
      </c>
      <c r="D15" s="719" t="s">
        <v>1546</v>
      </c>
      <c r="E15" s="720">
        <v>242</v>
      </c>
      <c r="F15" s="720">
        <v>242</v>
      </c>
      <c r="G15" s="727" t="s">
        <v>1554</v>
      </c>
      <c r="H15" s="722" t="s">
        <v>1548</v>
      </c>
    </row>
    <row r="16" spans="1:11" ht="25.5">
      <c r="A16" s="716">
        <v>8</v>
      </c>
      <c r="B16" s="723" t="s">
        <v>1544</v>
      </c>
      <c r="C16" s="718" t="s">
        <v>1553</v>
      </c>
      <c r="D16" s="719" t="s">
        <v>1549</v>
      </c>
      <c r="E16" s="720">
        <v>17</v>
      </c>
      <c r="F16" s="720">
        <v>17</v>
      </c>
      <c r="G16" s="726" t="s">
        <v>1554</v>
      </c>
      <c r="H16" s="722" t="s">
        <v>1548</v>
      </c>
    </row>
    <row r="17" spans="1:8" ht="25.5">
      <c r="A17" s="716">
        <v>9</v>
      </c>
      <c r="B17" s="723" t="s">
        <v>1544</v>
      </c>
      <c r="C17" s="718" t="s">
        <v>1555</v>
      </c>
      <c r="D17" s="719" t="s">
        <v>1546</v>
      </c>
      <c r="E17" s="720">
        <v>424</v>
      </c>
      <c r="F17" s="720">
        <v>424</v>
      </c>
      <c r="G17" s="726" t="s">
        <v>1556</v>
      </c>
      <c r="H17" s="722" t="s">
        <v>1548</v>
      </c>
    </row>
    <row r="18" spans="1:8" ht="25.5">
      <c r="A18" s="716">
        <v>10</v>
      </c>
      <c r="B18" s="723" t="s">
        <v>1544</v>
      </c>
      <c r="C18" s="718" t="s">
        <v>1555</v>
      </c>
      <c r="D18" s="719" t="s">
        <v>1549</v>
      </c>
      <c r="E18" s="720">
        <v>1290</v>
      </c>
      <c r="F18" s="720">
        <v>1290</v>
      </c>
      <c r="G18" s="726" t="s">
        <v>1556</v>
      </c>
      <c r="H18" s="722" t="s">
        <v>1548</v>
      </c>
    </row>
    <row r="19" spans="1:8" ht="25.5">
      <c r="A19" s="716">
        <v>11</v>
      </c>
      <c r="B19" s="723" t="s">
        <v>1544</v>
      </c>
      <c r="C19" s="718" t="s">
        <v>1557</v>
      </c>
      <c r="D19" s="719" t="s">
        <v>1546</v>
      </c>
      <c r="E19" s="720">
        <v>4325</v>
      </c>
      <c r="F19" s="720">
        <v>4325</v>
      </c>
      <c r="G19" s="726" t="s">
        <v>1556</v>
      </c>
      <c r="H19" s="722" t="s">
        <v>1548</v>
      </c>
    </row>
    <row r="20" spans="1:8" ht="25.5">
      <c r="A20" s="716">
        <v>12</v>
      </c>
      <c r="B20" s="717" t="s">
        <v>1544</v>
      </c>
      <c r="C20" s="718" t="s">
        <v>1557</v>
      </c>
      <c r="D20" s="719" t="s">
        <v>1549</v>
      </c>
      <c r="E20" s="720">
        <v>5514</v>
      </c>
      <c r="F20" s="720">
        <v>5514</v>
      </c>
      <c r="G20" s="726" t="s">
        <v>1556</v>
      </c>
      <c r="H20" s="722" t="s">
        <v>1548</v>
      </c>
    </row>
    <row r="21" spans="1:8" ht="25.5">
      <c r="A21" s="716">
        <v>13</v>
      </c>
      <c r="B21" s="723" t="s">
        <v>1544</v>
      </c>
      <c r="C21" s="724" t="s">
        <v>1558</v>
      </c>
      <c r="D21" s="725" t="s">
        <v>1546</v>
      </c>
      <c r="E21" s="720">
        <v>24400</v>
      </c>
      <c r="F21" s="720">
        <v>24400</v>
      </c>
      <c r="G21" s="726" t="s">
        <v>1559</v>
      </c>
      <c r="H21" s="722" t="s">
        <v>1548</v>
      </c>
    </row>
    <row r="22" spans="1:8" ht="25.5">
      <c r="A22" s="716">
        <v>14</v>
      </c>
      <c r="B22" s="723" t="s">
        <v>1544</v>
      </c>
      <c r="C22" s="724" t="s">
        <v>1558</v>
      </c>
      <c r="D22" s="725" t="s">
        <v>1549</v>
      </c>
      <c r="E22" s="720">
        <v>38</v>
      </c>
      <c r="F22" s="720">
        <v>38</v>
      </c>
      <c r="G22" s="726" t="s">
        <v>1559</v>
      </c>
      <c r="H22" s="722" t="s">
        <v>1548</v>
      </c>
    </row>
    <row r="23" spans="1:8" ht="25.5">
      <c r="A23" s="716">
        <v>15</v>
      </c>
      <c r="B23" s="723" t="s">
        <v>1544</v>
      </c>
      <c r="C23" s="724" t="s">
        <v>1560</v>
      </c>
      <c r="D23" s="725" t="s">
        <v>1546</v>
      </c>
      <c r="E23" s="720">
        <v>2077</v>
      </c>
      <c r="F23" s="720">
        <v>2077</v>
      </c>
      <c r="G23" s="726" t="s">
        <v>1561</v>
      </c>
      <c r="H23" s="722" t="s">
        <v>1548</v>
      </c>
    </row>
    <row r="24" spans="1:8" ht="25.5">
      <c r="A24" s="716">
        <v>16</v>
      </c>
      <c r="B24" s="723" t="s">
        <v>1544</v>
      </c>
      <c r="C24" s="724" t="s">
        <v>1560</v>
      </c>
      <c r="D24" s="725" t="s">
        <v>1549</v>
      </c>
      <c r="E24" s="720">
        <v>3977</v>
      </c>
      <c r="F24" s="720">
        <v>3977</v>
      </c>
      <c r="G24" s="726" t="s">
        <v>1562</v>
      </c>
      <c r="H24" s="722" t="s">
        <v>1548</v>
      </c>
    </row>
    <row r="25" spans="1:8" ht="25.5">
      <c r="A25" s="716">
        <v>17</v>
      </c>
      <c r="B25" s="723" t="s">
        <v>1544</v>
      </c>
      <c r="C25" s="724" t="s">
        <v>1563</v>
      </c>
      <c r="D25" s="725" t="s">
        <v>1546</v>
      </c>
      <c r="E25" s="720">
        <v>233</v>
      </c>
      <c r="F25" s="720">
        <v>233</v>
      </c>
      <c r="G25" s="726" t="s">
        <v>1556</v>
      </c>
      <c r="H25" s="722" t="s">
        <v>1548</v>
      </c>
    </row>
    <row r="26" spans="1:8" ht="25.5">
      <c r="A26" s="716">
        <v>18</v>
      </c>
      <c r="B26" s="723" t="s">
        <v>1544</v>
      </c>
      <c r="C26" s="724" t="s">
        <v>1564</v>
      </c>
      <c r="D26" s="725" t="s">
        <v>1549</v>
      </c>
      <c r="E26" s="720">
        <v>2760</v>
      </c>
      <c r="F26" s="720">
        <v>2760</v>
      </c>
      <c r="G26" s="726" t="s">
        <v>1556</v>
      </c>
      <c r="H26" s="722" t="s">
        <v>1548</v>
      </c>
    </row>
    <row r="27" spans="1:8" ht="25.5">
      <c r="A27" s="716">
        <v>19</v>
      </c>
      <c r="B27" s="723" t="s">
        <v>1544</v>
      </c>
      <c r="C27" s="724" t="s">
        <v>1565</v>
      </c>
      <c r="D27" s="725" t="s">
        <v>1549</v>
      </c>
      <c r="E27" s="720">
        <v>52832</v>
      </c>
      <c r="F27" s="720">
        <v>52832</v>
      </c>
      <c r="G27" s="726" t="s">
        <v>1556</v>
      </c>
      <c r="H27" s="722" t="s">
        <v>1548</v>
      </c>
    </row>
    <row r="28" spans="1:8" ht="25.5">
      <c r="A28" s="716">
        <v>20</v>
      </c>
      <c r="B28" s="723" t="s">
        <v>1544</v>
      </c>
      <c r="C28" s="724" t="s">
        <v>1566</v>
      </c>
      <c r="D28" s="725" t="s">
        <v>1550</v>
      </c>
      <c r="E28" s="720">
        <v>172886</v>
      </c>
      <c r="F28" s="720">
        <v>172886</v>
      </c>
      <c r="G28" s="728" t="s">
        <v>1556</v>
      </c>
      <c r="H28" s="722" t="s">
        <v>1548</v>
      </c>
    </row>
    <row r="29" spans="1:8" ht="25.5">
      <c r="A29" s="716">
        <v>21</v>
      </c>
      <c r="B29" s="723" t="s">
        <v>1544</v>
      </c>
      <c r="C29" s="724" t="s">
        <v>1567</v>
      </c>
      <c r="D29" s="725" t="s">
        <v>1546</v>
      </c>
      <c r="E29" s="720">
        <v>1036</v>
      </c>
      <c r="F29" s="720">
        <v>1036</v>
      </c>
      <c r="G29" s="728" t="s">
        <v>1568</v>
      </c>
      <c r="H29" s="722" t="s">
        <v>1548</v>
      </c>
    </row>
    <row r="30" spans="1:8" ht="25.5">
      <c r="A30" s="716">
        <v>22</v>
      </c>
      <c r="B30" s="723" t="s">
        <v>1544</v>
      </c>
      <c r="C30" s="724" t="s">
        <v>1567</v>
      </c>
      <c r="D30" s="725" t="s">
        <v>1549</v>
      </c>
      <c r="E30" s="720">
        <v>63680</v>
      </c>
      <c r="F30" s="720">
        <v>63680</v>
      </c>
      <c r="G30" s="728" t="s">
        <v>1568</v>
      </c>
      <c r="H30" s="722" t="s">
        <v>1548</v>
      </c>
    </row>
    <row r="31" spans="1:8" ht="25.5">
      <c r="A31" s="716">
        <v>23</v>
      </c>
      <c r="B31" s="723" t="s">
        <v>1544</v>
      </c>
      <c r="C31" s="724" t="s">
        <v>1569</v>
      </c>
      <c r="D31" s="725" t="s">
        <v>1546</v>
      </c>
      <c r="E31" s="720">
        <v>118</v>
      </c>
      <c r="F31" s="720">
        <v>118</v>
      </c>
      <c r="G31" s="728" t="s">
        <v>1570</v>
      </c>
      <c r="H31" s="722" t="s">
        <v>1548</v>
      </c>
    </row>
    <row r="32" spans="1:8" ht="25.5">
      <c r="A32" s="716">
        <v>24</v>
      </c>
      <c r="B32" s="723" t="s">
        <v>1544</v>
      </c>
      <c r="C32" s="724" t="s">
        <v>1569</v>
      </c>
      <c r="D32" s="725" t="s">
        <v>1549</v>
      </c>
      <c r="E32" s="720">
        <v>315</v>
      </c>
      <c r="F32" s="720">
        <v>315</v>
      </c>
      <c r="G32" s="728" t="s">
        <v>1570</v>
      </c>
      <c r="H32" s="722" t="s">
        <v>1548</v>
      </c>
    </row>
    <row r="33" spans="1:11" ht="25.5">
      <c r="A33" s="716">
        <v>25</v>
      </c>
      <c r="B33" s="723" t="s">
        <v>1544</v>
      </c>
      <c r="C33" s="724" t="s">
        <v>1571</v>
      </c>
      <c r="D33" s="725" t="s">
        <v>1546</v>
      </c>
      <c r="E33" s="720">
        <v>4139</v>
      </c>
      <c r="F33" s="720">
        <v>4139</v>
      </c>
      <c r="G33" s="729">
        <v>2707</v>
      </c>
      <c r="H33" s="722" t="s">
        <v>1548</v>
      </c>
    </row>
    <row r="34" spans="1:11" ht="25.5">
      <c r="A34" s="716">
        <v>26</v>
      </c>
      <c r="B34" s="723" t="s">
        <v>1544</v>
      </c>
      <c r="C34" s="724" t="s">
        <v>1571</v>
      </c>
      <c r="D34" s="725" t="s">
        <v>1572</v>
      </c>
      <c r="E34" s="720">
        <v>115</v>
      </c>
      <c r="F34" s="720">
        <v>115</v>
      </c>
      <c r="G34" s="729">
        <v>2707</v>
      </c>
      <c r="H34" s="722" t="s">
        <v>1548</v>
      </c>
    </row>
    <row r="35" spans="1:11" ht="92.25" customHeight="1">
      <c r="A35" s="713" t="s">
        <v>500</v>
      </c>
      <c r="B35" s="713" t="s">
        <v>1537</v>
      </c>
      <c r="C35" s="714" t="s">
        <v>1538</v>
      </c>
      <c r="D35" s="714" t="s">
        <v>1539</v>
      </c>
      <c r="E35" s="714" t="s">
        <v>1540</v>
      </c>
      <c r="F35" s="714" t="s">
        <v>1541</v>
      </c>
      <c r="G35" s="713" t="s">
        <v>1542</v>
      </c>
      <c r="H35" s="714" t="s">
        <v>1543</v>
      </c>
      <c r="I35" s="715"/>
      <c r="J35" s="715"/>
      <c r="K35" s="715"/>
    </row>
    <row r="36" spans="1:11" ht="25.5">
      <c r="A36" s="716">
        <v>27</v>
      </c>
      <c r="B36" s="723" t="s">
        <v>1544</v>
      </c>
      <c r="C36" s="724" t="s">
        <v>1571</v>
      </c>
      <c r="D36" s="725" t="s">
        <v>1549</v>
      </c>
      <c r="E36" s="720">
        <v>375183</v>
      </c>
      <c r="F36" s="720">
        <v>375183</v>
      </c>
      <c r="G36" s="729">
        <v>2707</v>
      </c>
      <c r="H36" s="722" t="s">
        <v>1548</v>
      </c>
    </row>
    <row r="37" spans="1:11" ht="25.5">
      <c r="A37" s="716">
        <v>28</v>
      </c>
      <c r="B37" s="723" t="s">
        <v>1544</v>
      </c>
      <c r="C37" s="724" t="s">
        <v>1573</v>
      </c>
      <c r="D37" s="725" t="s">
        <v>1549</v>
      </c>
      <c r="E37" s="720">
        <v>72312</v>
      </c>
      <c r="F37" s="720">
        <v>72312</v>
      </c>
      <c r="G37" s="729" t="s">
        <v>1568</v>
      </c>
      <c r="H37" s="722" t="s">
        <v>1548</v>
      </c>
    </row>
    <row r="38" spans="1:11" ht="25.5">
      <c r="A38" s="716">
        <v>29</v>
      </c>
      <c r="B38" s="717" t="s">
        <v>1544</v>
      </c>
      <c r="C38" s="730" t="s">
        <v>1574</v>
      </c>
      <c r="D38" s="731" t="s">
        <v>1546</v>
      </c>
      <c r="E38" s="720">
        <v>5067</v>
      </c>
      <c r="F38" s="720">
        <v>5067</v>
      </c>
      <c r="G38" s="732">
        <v>2404</v>
      </c>
      <c r="H38" s="722" t="s">
        <v>1548</v>
      </c>
    </row>
    <row r="39" spans="1:11" ht="25.5">
      <c r="A39" s="716">
        <v>30</v>
      </c>
      <c r="B39" s="717" t="s">
        <v>1544</v>
      </c>
      <c r="C39" s="730" t="s">
        <v>1574</v>
      </c>
      <c r="D39" s="731" t="s">
        <v>1572</v>
      </c>
      <c r="E39" s="720">
        <v>987</v>
      </c>
      <c r="F39" s="720">
        <v>987</v>
      </c>
      <c r="G39" s="733">
        <v>2404</v>
      </c>
      <c r="H39" s="722" t="s">
        <v>1548</v>
      </c>
    </row>
    <row r="40" spans="1:11" ht="25.5">
      <c r="A40" s="716">
        <v>31</v>
      </c>
      <c r="B40" s="717" t="s">
        <v>1544</v>
      </c>
      <c r="C40" s="718" t="s">
        <v>1574</v>
      </c>
      <c r="D40" s="719" t="s">
        <v>1549</v>
      </c>
      <c r="E40" s="720">
        <v>213</v>
      </c>
      <c r="F40" s="720">
        <v>213</v>
      </c>
      <c r="G40" s="733">
        <v>2404</v>
      </c>
      <c r="H40" s="722" t="s">
        <v>1548</v>
      </c>
    </row>
    <row r="41" spans="1:11" ht="25.5">
      <c r="A41" s="716">
        <v>32</v>
      </c>
      <c r="B41" s="717" t="s">
        <v>1544</v>
      </c>
      <c r="C41" s="718" t="s">
        <v>1575</v>
      </c>
      <c r="D41" s="719" t="s">
        <v>1549</v>
      </c>
      <c r="E41" s="720">
        <v>46242</v>
      </c>
      <c r="F41" s="720">
        <v>46242</v>
      </c>
      <c r="G41" s="733">
        <v>2404</v>
      </c>
      <c r="H41" s="722" t="s">
        <v>1548</v>
      </c>
    </row>
    <row r="42" spans="1:11" ht="25.5">
      <c r="A42" s="716">
        <v>33</v>
      </c>
      <c r="B42" s="717" t="s">
        <v>1544</v>
      </c>
      <c r="C42" s="718" t="s">
        <v>1576</v>
      </c>
      <c r="D42" s="719" t="s">
        <v>1549</v>
      </c>
      <c r="E42" s="720">
        <v>331371</v>
      </c>
      <c r="F42" s="720">
        <v>331371</v>
      </c>
      <c r="G42" s="726" t="s">
        <v>1577</v>
      </c>
      <c r="H42" s="722" t="s">
        <v>1548</v>
      </c>
    </row>
    <row r="43" spans="1:11" ht="25.5">
      <c r="A43" s="716">
        <v>34</v>
      </c>
      <c r="B43" s="717" t="s">
        <v>1544</v>
      </c>
      <c r="C43" s="718" t="s">
        <v>1578</v>
      </c>
      <c r="D43" s="719" t="s">
        <v>1549</v>
      </c>
      <c r="E43" s="720">
        <v>8162</v>
      </c>
      <c r="F43" s="720">
        <v>8162</v>
      </c>
      <c r="G43" s="726" t="s">
        <v>1579</v>
      </c>
      <c r="H43" s="722" t="s">
        <v>1548</v>
      </c>
    </row>
    <row r="44" spans="1:11">
      <c r="A44" s="734"/>
    </row>
    <row r="45" spans="1:11" ht="13.5" thickBot="1"/>
    <row r="46" spans="1:11" ht="38.25" customHeight="1" thickBot="1">
      <c r="B46" s="806" t="s">
        <v>1580</v>
      </c>
      <c r="C46" s="807"/>
      <c r="D46" s="807"/>
      <c r="E46" s="807"/>
      <c r="F46" s="735">
        <f>+SUM(F48:F51)</f>
        <v>1516812</v>
      </c>
      <c r="G46" s="736"/>
      <c r="H46" s="737"/>
    </row>
    <row r="47" spans="1:11">
      <c r="B47" s="804" t="s">
        <v>1581</v>
      </c>
      <c r="C47" s="805"/>
      <c r="D47" s="805"/>
      <c r="E47" s="805"/>
      <c r="F47" s="738"/>
      <c r="G47" s="736"/>
    </row>
    <row r="48" spans="1:11">
      <c r="B48" s="804" t="s">
        <v>1582</v>
      </c>
      <c r="C48" s="805"/>
      <c r="D48" s="805"/>
      <c r="E48" s="805"/>
      <c r="F48" s="739">
        <f>516812-116812</f>
        <v>400000</v>
      </c>
      <c r="G48" s="736"/>
    </row>
    <row r="49" spans="2:9">
      <c r="B49" s="804" t="s">
        <v>1583</v>
      </c>
      <c r="C49" s="805"/>
      <c r="D49" s="805"/>
      <c r="E49" s="805"/>
      <c r="F49" s="739">
        <f>500000+116812</f>
        <v>616812</v>
      </c>
      <c r="G49" s="736"/>
    </row>
    <row r="50" spans="2:9">
      <c r="B50" s="804" t="s">
        <v>1584</v>
      </c>
      <c r="C50" s="805"/>
      <c r="D50" s="805"/>
      <c r="E50" s="805"/>
      <c r="F50" s="739">
        <v>500000</v>
      </c>
      <c r="G50" s="736"/>
    </row>
    <row r="51" spans="2:9">
      <c r="B51" s="804" t="s">
        <v>1585</v>
      </c>
      <c r="C51" s="805"/>
      <c r="D51" s="805"/>
      <c r="E51" s="805"/>
      <c r="F51" s="739">
        <v>0</v>
      </c>
      <c r="G51" s="736"/>
    </row>
    <row r="52" spans="2:9" ht="13.5" thickBot="1">
      <c r="F52" s="740"/>
    </row>
    <row r="53" spans="2:9" ht="24.75" customHeight="1" thickBot="1">
      <c r="B53" s="806" t="s">
        <v>1586</v>
      </c>
      <c r="C53" s="807"/>
      <c r="D53" s="807"/>
      <c r="E53" s="741">
        <f>SUM(F9:F43)</f>
        <v>1516812</v>
      </c>
      <c r="F53" s="742"/>
      <c r="G53" s="736"/>
      <c r="H53" s="736"/>
    </row>
    <row r="54" spans="2:9">
      <c r="B54" s="742"/>
      <c r="C54" s="742"/>
      <c r="D54" s="742"/>
      <c r="E54" s="742"/>
      <c r="G54" s="736"/>
      <c r="H54" s="736"/>
    </row>
    <row r="56" spans="2:9">
      <c r="B56" s="743"/>
      <c r="E56" s="743"/>
      <c r="G56" s="743"/>
    </row>
    <row r="57" spans="2:9">
      <c r="B57" s="744"/>
      <c r="E57" s="743"/>
      <c r="G57" s="743"/>
    </row>
    <row r="58" spans="2:9">
      <c r="B58" s="709" t="s">
        <v>1589</v>
      </c>
      <c r="E58" s="709" t="s">
        <v>1587</v>
      </c>
      <c r="G58" s="709" t="s">
        <v>1588</v>
      </c>
    </row>
    <row r="59" spans="2:9">
      <c r="B59" s="709" t="s">
        <v>1590</v>
      </c>
    </row>
    <row r="60" spans="2:9">
      <c r="B60" s="743" t="s">
        <v>1591</v>
      </c>
      <c r="C60" s="710"/>
      <c r="D60" s="710"/>
      <c r="F60" s="745"/>
    </row>
    <row r="61" spans="2:9" ht="27" customHeight="1">
      <c r="B61" s="746"/>
      <c r="C61" s="746"/>
      <c r="D61" s="746"/>
      <c r="E61" s="745"/>
      <c r="F61" s="747"/>
      <c r="G61" s="745"/>
      <c r="H61" s="745"/>
      <c r="I61" s="745"/>
    </row>
    <row r="62" spans="2:9">
      <c r="B62" s="747"/>
      <c r="C62" s="747"/>
      <c r="D62" s="747"/>
      <c r="E62" s="747"/>
      <c r="F62" s="745"/>
      <c r="G62" s="747"/>
      <c r="H62" s="747"/>
      <c r="I62" s="747"/>
    </row>
    <row r="63" spans="2:9" ht="36.75" customHeight="1">
      <c r="B63" s="746"/>
      <c r="C63" s="746"/>
      <c r="D63" s="746"/>
      <c r="E63" s="745"/>
      <c r="F63" s="745"/>
      <c r="G63" s="745"/>
      <c r="H63" s="745"/>
      <c r="I63" s="745"/>
    </row>
    <row r="64" spans="2:9" ht="30" customHeight="1">
      <c r="B64" s="745"/>
      <c r="C64" s="745"/>
      <c r="D64" s="745"/>
      <c r="E64" s="745"/>
      <c r="F64" s="745"/>
      <c r="G64" s="745"/>
      <c r="H64" s="745"/>
      <c r="I64" s="745"/>
    </row>
    <row r="65" spans="2:9" ht="27" customHeight="1">
      <c r="B65" s="745"/>
      <c r="C65" s="745"/>
      <c r="D65" s="745"/>
      <c r="E65" s="745"/>
      <c r="G65" s="745"/>
      <c r="H65" s="745"/>
      <c r="I65" s="745"/>
    </row>
  </sheetData>
  <mergeCells count="8">
    <mergeCell ref="B51:E51"/>
    <mergeCell ref="B53:D53"/>
    <mergeCell ref="A2:H2"/>
    <mergeCell ref="B46:E46"/>
    <mergeCell ref="B47:E47"/>
    <mergeCell ref="B48:E48"/>
    <mergeCell ref="B49:E49"/>
    <mergeCell ref="B50:E50"/>
  </mergeCells>
  <pageMargins left="0.15748031496062992" right="0.27559055118110237" top="0.27559055118110237" bottom="0.27559055118110237" header="0.27559055118110237" footer="0.19685039370078741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08"/>
  <sheetViews>
    <sheetView view="pageBreakPreview" zoomScale="60" zoomScaleNormal="100" workbookViewId="0">
      <pane ySplit="5" topLeftCell="A141" activePane="bottomLeft" state="frozen"/>
      <selection activeCell="C103" sqref="C103"/>
      <selection pane="bottomLeft" activeCell="H196" sqref="H196"/>
    </sheetView>
  </sheetViews>
  <sheetFormatPr defaultRowHeight="12"/>
  <cols>
    <col min="1" max="1" width="7.5703125" style="355" customWidth="1"/>
    <col min="2" max="2" width="61.85546875" style="355" customWidth="1"/>
    <col min="3" max="9" width="10.85546875" style="355" bestFit="1" customWidth="1"/>
    <col min="10" max="10" width="10.85546875" style="356" bestFit="1" customWidth="1"/>
    <col min="11" max="11" width="11" style="357" customWidth="1"/>
    <col min="12" max="12" width="11.42578125" style="357" bestFit="1" customWidth="1"/>
    <col min="13" max="13" width="9.140625" style="358"/>
    <col min="14" max="16384" width="9.140625" style="355"/>
  </cols>
  <sheetData>
    <row r="1" spans="1:12" s="349" customFormat="1">
      <c r="B1" s="350"/>
      <c r="J1" s="351" t="s">
        <v>1316</v>
      </c>
      <c r="L1" s="352"/>
    </row>
    <row r="2" spans="1:12" s="349" customFormat="1">
      <c r="B2" s="350"/>
      <c r="J2" s="351"/>
      <c r="L2" s="352"/>
    </row>
    <row r="3" spans="1:12" s="349" customFormat="1">
      <c r="A3" s="353" t="s">
        <v>1516</v>
      </c>
      <c r="B3" s="354"/>
      <c r="C3" s="353"/>
      <c r="D3" s="353"/>
      <c r="E3" s="353"/>
      <c r="F3" s="353"/>
      <c r="G3" s="353"/>
      <c r="H3" s="353"/>
      <c r="I3" s="353"/>
      <c r="J3" s="353"/>
      <c r="L3" s="352"/>
    </row>
    <row r="4" spans="1:12" s="349" customFormat="1">
      <c r="A4" s="353" t="s">
        <v>438</v>
      </c>
      <c r="B4" s="354"/>
      <c r="C4" s="353"/>
      <c r="D4" s="353"/>
      <c r="E4" s="353"/>
      <c r="F4" s="353"/>
      <c r="G4" s="353"/>
      <c r="H4" s="353"/>
      <c r="I4" s="353"/>
      <c r="J4" s="353"/>
      <c r="L4" s="352"/>
    </row>
    <row r="6" spans="1:12">
      <c r="A6" s="349" t="s">
        <v>475</v>
      </c>
      <c r="B6" s="359"/>
      <c r="C6" s="359"/>
      <c r="D6" s="359"/>
      <c r="E6" s="359"/>
      <c r="F6" s="359"/>
      <c r="G6" s="359"/>
      <c r="H6" s="359"/>
      <c r="I6" s="359"/>
      <c r="J6" s="360"/>
    </row>
    <row r="7" spans="1:12">
      <c r="A7" s="349"/>
      <c r="B7" s="359"/>
      <c r="C7" s="359"/>
      <c r="D7" s="359"/>
      <c r="E7" s="359"/>
      <c r="F7" s="359"/>
      <c r="G7" s="359"/>
      <c r="H7" s="359"/>
      <c r="I7" s="359"/>
      <c r="J7" s="360"/>
    </row>
    <row r="8" spans="1:12" ht="24">
      <c r="A8" s="361" t="s">
        <v>424</v>
      </c>
      <c r="B8" s="362" t="s">
        <v>439</v>
      </c>
      <c r="C8" s="362" t="s">
        <v>440</v>
      </c>
      <c r="D8" s="362" t="s">
        <v>441</v>
      </c>
      <c r="E8" s="362" t="s">
        <v>442</v>
      </c>
      <c r="F8" s="362" t="s">
        <v>443</v>
      </c>
      <c r="G8" s="362" t="s">
        <v>444</v>
      </c>
      <c r="H8" s="362" t="s">
        <v>446</v>
      </c>
      <c r="I8" s="362" t="s">
        <v>447</v>
      </c>
      <c r="J8" s="362" t="s">
        <v>449</v>
      </c>
    </row>
    <row r="9" spans="1:12" ht="24">
      <c r="A9" s="363">
        <v>1</v>
      </c>
      <c r="B9" s="364" t="s">
        <v>1293</v>
      </c>
      <c r="C9" s="364">
        <v>0</v>
      </c>
      <c r="D9" s="364">
        <v>0</v>
      </c>
      <c r="E9" s="364">
        <v>46306936</v>
      </c>
      <c r="F9" s="364">
        <v>0</v>
      </c>
      <c r="G9" s="364">
        <v>0</v>
      </c>
      <c r="H9" s="364">
        <v>41494</v>
      </c>
      <c r="I9" s="364">
        <v>0</v>
      </c>
      <c r="J9" s="365">
        <f>SUM(C9:I9)</f>
        <v>46348430</v>
      </c>
    </row>
    <row r="10" spans="1:12">
      <c r="A10" s="366">
        <v>2</v>
      </c>
      <c r="B10" s="367" t="s">
        <v>450</v>
      </c>
      <c r="C10" s="368">
        <v>0</v>
      </c>
      <c r="D10" s="368">
        <v>0</v>
      </c>
      <c r="E10" s="368">
        <v>0</v>
      </c>
      <c r="F10" s="368">
        <v>0</v>
      </c>
      <c r="G10" s="368">
        <v>0</v>
      </c>
      <c r="H10" s="368">
        <v>0</v>
      </c>
      <c r="I10" s="368">
        <v>0</v>
      </c>
      <c r="J10" s="365">
        <f t="shared" ref="J10:J48" si="0">SUM(C10:I10)</f>
        <v>0</v>
      </c>
    </row>
    <row r="11" spans="1:12">
      <c r="A11" s="363">
        <v>3</v>
      </c>
      <c r="B11" s="367" t="s">
        <v>451</v>
      </c>
      <c r="C11" s="368">
        <v>0</v>
      </c>
      <c r="D11" s="368">
        <v>0</v>
      </c>
      <c r="E11" s="368">
        <v>0</v>
      </c>
      <c r="F11" s="368">
        <v>0</v>
      </c>
      <c r="G11" s="368">
        <v>0</v>
      </c>
      <c r="H11" s="368">
        <v>0</v>
      </c>
      <c r="I11" s="368">
        <v>0</v>
      </c>
      <c r="J11" s="365">
        <f t="shared" si="0"/>
        <v>0</v>
      </c>
    </row>
    <row r="12" spans="1:12">
      <c r="A12" s="366">
        <v>4</v>
      </c>
      <c r="B12" s="367" t="s">
        <v>452</v>
      </c>
      <c r="C12" s="368">
        <v>0</v>
      </c>
      <c r="D12" s="368">
        <v>0</v>
      </c>
      <c r="E12" s="368">
        <v>0</v>
      </c>
      <c r="F12" s="368">
        <v>0</v>
      </c>
      <c r="G12" s="368">
        <v>0</v>
      </c>
      <c r="H12" s="368">
        <v>0</v>
      </c>
      <c r="I12" s="368">
        <v>0</v>
      </c>
      <c r="J12" s="365">
        <f t="shared" si="0"/>
        <v>0</v>
      </c>
    </row>
    <row r="13" spans="1:12">
      <c r="A13" s="363">
        <v>5</v>
      </c>
      <c r="B13" s="367" t="s">
        <v>453</v>
      </c>
      <c r="C13" s="368">
        <v>0</v>
      </c>
      <c r="D13" s="368">
        <v>0</v>
      </c>
      <c r="E13" s="368">
        <v>0</v>
      </c>
      <c r="F13" s="368">
        <v>0</v>
      </c>
      <c r="G13" s="368">
        <v>0</v>
      </c>
      <c r="H13" s="368">
        <v>0</v>
      </c>
      <c r="I13" s="368">
        <v>0</v>
      </c>
      <c r="J13" s="365">
        <f t="shared" si="0"/>
        <v>0</v>
      </c>
    </row>
    <row r="14" spans="1:12">
      <c r="A14" s="366">
        <v>6</v>
      </c>
      <c r="B14" s="367" t="s">
        <v>454</v>
      </c>
      <c r="C14" s="368">
        <v>0</v>
      </c>
      <c r="D14" s="368">
        <v>17947</v>
      </c>
      <c r="E14" s="368">
        <v>0</v>
      </c>
      <c r="F14" s="368">
        <v>5829724</v>
      </c>
      <c r="G14" s="368">
        <v>11297818</v>
      </c>
      <c r="H14" s="368">
        <v>0</v>
      </c>
      <c r="I14" s="368">
        <v>0</v>
      </c>
      <c r="J14" s="365">
        <f t="shared" si="0"/>
        <v>17145489</v>
      </c>
    </row>
    <row r="15" spans="1:12">
      <c r="A15" s="363">
        <v>7</v>
      </c>
      <c r="B15" s="367" t="s">
        <v>455</v>
      </c>
      <c r="C15" s="368">
        <v>0</v>
      </c>
      <c r="D15" s="368">
        <v>0</v>
      </c>
      <c r="E15" s="368">
        <v>0</v>
      </c>
      <c r="F15" s="368">
        <v>0</v>
      </c>
      <c r="G15" s="368">
        <v>0</v>
      </c>
      <c r="H15" s="368">
        <v>0</v>
      </c>
      <c r="I15" s="368">
        <v>0</v>
      </c>
      <c r="J15" s="365">
        <f t="shared" si="0"/>
        <v>0</v>
      </c>
    </row>
    <row r="16" spans="1:12" ht="24">
      <c r="A16" s="366">
        <v>8</v>
      </c>
      <c r="B16" s="367" t="s">
        <v>1294</v>
      </c>
      <c r="C16" s="368">
        <v>0</v>
      </c>
      <c r="D16" s="368">
        <v>0</v>
      </c>
      <c r="E16" s="368">
        <v>0</v>
      </c>
      <c r="F16" s="368">
        <v>0</v>
      </c>
      <c r="G16" s="368">
        <v>0</v>
      </c>
      <c r="H16" s="368">
        <v>5127186</v>
      </c>
      <c r="I16" s="368">
        <v>0</v>
      </c>
      <c r="J16" s="365">
        <f t="shared" si="0"/>
        <v>5127186</v>
      </c>
    </row>
    <row r="17" spans="1:10">
      <c r="A17" s="363">
        <v>9</v>
      </c>
      <c r="B17" s="367" t="s">
        <v>456</v>
      </c>
      <c r="C17" s="368">
        <v>0</v>
      </c>
      <c r="D17" s="368">
        <v>0</v>
      </c>
      <c r="E17" s="368">
        <v>0</v>
      </c>
      <c r="F17" s="368">
        <v>0</v>
      </c>
      <c r="G17" s="368">
        <v>0</v>
      </c>
      <c r="H17" s="368">
        <v>0</v>
      </c>
      <c r="I17" s="368">
        <v>0</v>
      </c>
      <c r="J17" s="365">
        <f t="shared" si="0"/>
        <v>0</v>
      </c>
    </row>
    <row r="18" spans="1:10">
      <c r="A18" s="366">
        <v>10</v>
      </c>
      <c r="B18" s="367" t="s">
        <v>457</v>
      </c>
      <c r="C18" s="368">
        <v>0</v>
      </c>
      <c r="D18" s="368">
        <v>0</v>
      </c>
      <c r="E18" s="368">
        <v>0</v>
      </c>
      <c r="F18" s="368">
        <v>0</v>
      </c>
      <c r="G18" s="368">
        <v>0</v>
      </c>
      <c r="H18" s="368">
        <v>0</v>
      </c>
      <c r="I18" s="368">
        <v>0</v>
      </c>
      <c r="J18" s="365">
        <f t="shared" si="0"/>
        <v>0</v>
      </c>
    </row>
    <row r="19" spans="1:10">
      <c r="A19" s="363">
        <v>11</v>
      </c>
      <c r="B19" s="367" t="s">
        <v>458</v>
      </c>
      <c r="C19" s="368">
        <v>0</v>
      </c>
      <c r="D19" s="368">
        <v>0</v>
      </c>
      <c r="E19" s="368">
        <v>0</v>
      </c>
      <c r="F19" s="368">
        <v>0</v>
      </c>
      <c r="G19" s="368">
        <v>0</v>
      </c>
      <c r="H19" s="368">
        <v>0</v>
      </c>
      <c r="I19" s="368">
        <v>0</v>
      </c>
      <c r="J19" s="365">
        <f t="shared" si="0"/>
        <v>0</v>
      </c>
    </row>
    <row r="20" spans="1:10">
      <c r="A20" s="366">
        <v>12</v>
      </c>
      <c r="B20" s="367" t="s">
        <v>459</v>
      </c>
      <c r="C20" s="368">
        <v>0</v>
      </c>
      <c r="D20" s="368">
        <v>0</v>
      </c>
      <c r="E20" s="368">
        <v>0</v>
      </c>
      <c r="F20" s="368">
        <v>0</v>
      </c>
      <c r="G20" s="368">
        <v>0</v>
      </c>
      <c r="H20" s="368">
        <v>0</v>
      </c>
      <c r="I20" s="368">
        <v>0</v>
      </c>
      <c r="J20" s="365">
        <f t="shared" si="0"/>
        <v>0</v>
      </c>
    </row>
    <row r="21" spans="1:10">
      <c r="A21" s="363">
        <v>13</v>
      </c>
      <c r="B21" s="367" t="s">
        <v>460</v>
      </c>
      <c r="C21" s="368">
        <v>0</v>
      </c>
      <c r="D21" s="368">
        <v>0</v>
      </c>
      <c r="E21" s="368">
        <v>0</v>
      </c>
      <c r="F21" s="368">
        <v>0</v>
      </c>
      <c r="G21" s="368">
        <v>0</v>
      </c>
      <c r="H21" s="368">
        <v>0</v>
      </c>
      <c r="I21" s="368">
        <v>0</v>
      </c>
      <c r="J21" s="365">
        <f t="shared" si="0"/>
        <v>0</v>
      </c>
    </row>
    <row r="22" spans="1:10">
      <c r="A22" s="366">
        <v>14</v>
      </c>
      <c r="B22" s="367" t="s">
        <v>461</v>
      </c>
      <c r="C22" s="368">
        <v>0</v>
      </c>
      <c r="D22" s="368">
        <v>0</v>
      </c>
      <c r="E22" s="368">
        <v>0</v>
      </c>
      <c r="F22" s="368">
        <v>0</v>
      </c>
      <c r="G22" s="368">
        <v>0</v>
      </c>
      <c r="H22" s="368">
        <v>0</v>
      </c>
      <c r="I22" s="368">
        <v>0</v>
      </c>
      <c r="J22" s="365">
        <f t="shared" si="0"/>
        <v>0</v>
      </c>
    </row>
    <row r="23" spans="1:10">
      <c r="A23" s="363">
        <v>15</v>
      </c>
      <c r="B23" s="369" t="s">
        <v>462</v>
      </c>
      <c r="C23" s="369">
        <v>5117893</v>
      </c>
      <c r="D23" s="369">
        <v>994382</v>
      </c>
      <c r="E23" s="369">
        <v>436571</v>
      </c>
      <c r="F23" s="369">
        <v>255490</v>
      </c>
      <c r="G23" s="369">
        <v>326630</v>
      </c>
      <c r="H23" s="369">
        <v>111000</v>
      </c>
      <c r="I23" s="369">
        <v>112419</v>
      </c>
      <c r="J23" s="365">
        <f t="shared" si="0"/>
        <v>7354385</v>
      </c>
    </row>
    <row r="24" spans="1:10">
      <c r="A24" s="366">
        <v>16</v>
      </c>
      <c r="B24" s="369" t="s">
        <v>68</v>
      </c>
      <c r="C24" s="369">
        <v>43687</v>
      </c>
      <c r="D24" s="369">
        <v>110</v>
      </c>
      <c r="E24" s="369">
        <v>0</v>
      </c>
      <c r="F24" s="369">
        <v>0</v>
      </c>
      <c r="G24" s="369">
        <v>0</v>
      </c>
      <c r="H24" s="369">
        <v>0</v>
      </c>
      <c r="I24" s="369">
        <v>0</v>
      </c>
      <c r="J24" s="365">
        <f t="shared" si="0"/>
        <v>43797</v>
      </c>
    </row>
    <row r="25" spans="1:10">
      <c r="A25" s="363">
        <v>17</v>
      </c>
      <c r="B25" s="369" t="s">
        <v>69</v>
      </c>
      <c r="C25" s="369">
        <v>45007</v>
      </c>
      <c r="D25" s="369">
        <v>1320</v>
      </c>
      <c r="E25" s="369">
        <v>0</v>
      </c>
      <c r="F25" s="369">
        <v>0</v>
      </c>
      <c r="G25" s="369">
        <v>0</v>
      </c>
      <c r="H25" s="369">
        <v>0</v>
      </c>
      <c r="I25" s="369">
        <v>0</v>
      </c>
      <c r="J25" s="365">
        <f t="shared" si="0"/>
        <v>46327</v>
      </c>
    </row>
    <row r="26" spans="1:10">
      <c r="A26" s="366">
        <v>18</v>
      </c>
      <c r="B26" s="369" t="s">
        <v>70</v>
      </c>
      <c r="C26" s="369">
        <v>44246</v>
      </c>
      <c r="D26" s="369">
        <v>110</v>
      </c>
      <c r="E26" s="369">
        <v>0</v>
      </c>
      <c r="F26" s="369">
        <v>0</v>
      </c>
      <c r="G26" s="369">
        <v>0</v>
      </c>
      <c r="H26" s="369">
        <v>0</v>
      </c>
      <c r="I26" s="369">
        <v>0</v>
      </c>
      <c r="J26" s="365">
        <f t="shared" si="0"/>
        <v>44356</v>
      </c>
    </row>
    <row r="27" spans="1:10">
      <c r="A27" s="363">
        <v>19</v>
      </c>
      <c r="B27" s="369" t="s">
        <v>71</v>
      </c>
      <c r="C27" s="369">
        <v>19805</v>
      </c>
      <c r="D27" s="369">
        <v>150</v>
      </c>
      <c r="E27" s="369">
        <v>0</v>
      </c>
      <c r="F27" s="369">
        <v>0</v>
      </c>
      <c r="G27" s="369">
        <v>0</v>
      </c>
      <c r="H27" s="369">
        <v>0</v>
      </c>
      <c r="I27" s="369">
        <v>0</v>
      </c>
      <c r="J27" s="365">
        <f t="shared" si="0"/>
        <v>19955</v>
      </c>
    </row>
    <row r="28" spans="1:10">
      <c r="A28" s="366">
        <v>20</v>
      </c>
      <c r="B28" s="369" t="s">
        <v>72</v>
      </c>
      <c r="C28" s="369">
        <v>19075</v>
      </c>
      <c r="D28" s="369">
        <v>250</v>
      </c>
      <c r="E28" s="369">
        <v>0</v>
      </c>
      <c r="F28" s="369">
        <v>0</v>
      </c>
      <c r="G28" s="369">
        <v>0</v>
      </c>
      <c r="H28" s="369">
        <v>0</v>
      </c>
      <c r="I28" s="369">
        <v>0</v>
      </c>
      <c r="J28" s="365">
        <f t="shared" si="0"/>
        <v>19325</v>
      </c>
    </row>
    <row r="29" spans="1:10">
      <c r="A29" s="363">
        <v>21</v>
      </c>
      <c r="B29" s="369" t="s">
        <v>463</v>
      </c>
      <c r="C29" s="369">
        <v>15866</v>
      </c>
      <c r="D29" s="369">
        <v>150</v>
      </c>
      <c r="E29" s="369">
        <v>0</v>
      </c>
      <c r="F29" s="369">
        <v>0</v>
      </c>
      <c r="G29" s="369">
        <v>0</v>
      </c>
      <c r="H29" s="369">
        <v>0</v>
      </c>
      <c r="I29" s="369">
        <v>0</v>
      </c>
      <c r="J29" s="365">
        <f t="shared" si="0"/>
        <v>16016</v>
      </c>
    </row>
    <row r="30" spans="1:10">
      <c r="A30" s="366">
        <v>22</v>
      </c>
      <c r="B30" s="369" t="s">
        <v>74</v>
      </c>
      <c r="C30" s="369">
        <v>40352</v>
      </c>
      <c r="D30" s="369">
        <v>150</v>
      </c>
      <c r="E30" s="369">
        <v>0</v>
      </c>
      <c r="F30" s="369">
        <v>0</v>
      </c>
      <c r="G30" s="369">
        <v>0</v>
      </c>
      <c r="H30" s="369">
        <v>0</v>
      </c>
      <c r="I30" s="369">
        <v>0</v>
      </c>
      <c r="J30" s="365">
        <f t="shared" si="0"/>
        <v>40502</v>
      </c>
    </row>
    <row r="31" spans="1:10">
      <c r="A31" s="363">
        <v>23</v>
      </c>
      <c r="B31" s="369" t="s">
        <v>79</v>
      </c>
      <c r="C31" s="369">
        <v>36499</v>
      </c>
      <c r="D31" s="369">
        <v>250</v>
      </c>
      <c r="E31" s="369">
        <v>0</v>
      </c>
      <c r="F31" s="369">
        <v>0</v>
      </c>
      <c r="G31" s="369">
        <v>0</v>
      </c>
      <c r="H31" s="369">
        <v>0</v>
      </c>
      <c r="I31" s="369">
        <v>0</v>
      </c>
      <c r="J31" s="365">
        <f t="shared" si="0"/>
        <v>36749</v>
      </c>
    </row>
    <row r="32" spans="1:10">
      <c r="A32" s="366">
        <v>24</v>
      </c>
      <c r="B32" s="369" t="s">
        <v>80</v>
      </c>
      <c r="C32" s="369">
        <v>20388</v>
      </c>
      <c r="D32" s="369">
        <v>180</v>
      </c>
      <c r="E32" s="369">
        <v>0</v>
      </c>
      <c r="F32" s="369">
        <v>0</v>
      </c>
      <c r="G32" s="369">
        <v>0</v>
      </c>
      <c r="H32" s="369">
        <v>0</v>
      </c>
      <c r="I32" s="369">
        <v>0</v>
      </c>
      <c r="J32" s="365">
        <f t="shared" si="0"/>
        <v>20568</v>
      </c>
    </row>
    <row r="33" spans="1:10">
      <c r="A33" s="363">
        <v>25</v>
      </c>
      <c r="B33" s="369" t="s">
        <v>464</v>
      </c>
      <c r="C33" s="369">
        <v>36499</v>
      </c>
      <c r="D33" s="369">
        <v>180</v>
      </c>
      <c r="E33" s="369">
        <v>0</v>
      </c>
      <c r="F33" s="369">
        <v>0</v>
      </c>
      <c r="G33" s="369">
        <v>0</v>
      </c>
      <c r="H33" s="369">
        <v>0</v>
      </c>
      <c r="I33" s="369">
        <v>0</v>
      </c>
      <c r="J33" s="365">
        <f t="shared" si="0"/>
        <v>36679</v>
      </c>
    </row>
    <row r="34" spans="1:10">
      <c r="A34" s="366">
        <v>26</v>
      </c>
      <c r="B34" s="369" t="s">
        <v>82</v>
      </c>
      <c r="C34" s="369">
        <v>41218</v>
      </c>
      <c r="D34" s="369">
        <v>150</v>
      </c>
      <c r="E34" s="369">
        <v>0</v>
      </c>
      <c r="F34" s="369">
        <v>0</v>
      </c>
      <c r="G34" s="369">
        <v>0</v>
      </c>
      <c r="H34" s="369">
        <v>0</v>
      </c>
      <c r="I34" s="369">
        <v>0</v>
      </c>
      <c r="J34" s="365">
        <f t="shared" si="0"/>
        <v>41368</v>
      </c>
    </row>
    <row r="35" spans="1:10">
      <c r="A35" s="363">
        <v>27</v>
      </c>
      <c r="B35" s="369" t="s">
        <v>465</v>
      </c>
      <c r="C35" s="369">
        <v>41284</v>
      </c>
      <c r="D35" s="369">
        <v>150</v>
      </c>
      <c r="E35" s="369">
        <v>0</v>
      </c>
      <c r="F35" s="369">
        <v>0</v>
      </c>
      <c r="G35" s="369">
        <v>0</v>
      </c>
      <c r="H35" s="369">
        <v>0</v>
      </c>
      <c r="I35" s="369">
        <v>0</v>
      </c>
      <c r="J35" s="365">
        <f t="shared" si="0"/>
        <v>41434</v>
      </c>
    </row>
    <row r="36" spans="1:10">
      <c r="A36" s="366">
        <v>28</v>
      </c>
      <c r="B36" s="369" t="s">
        <v>83</v>
      </c>
      <c r="C36" s="369">
        <v>39511</v>
      </c>
      <c r="D36" s="369">
        <v>110</v>
      </c>
      <c r="E36" s="369">
        <v>0</v>
      </c>
      <c r="F36" s="369">
        <v>0</v>
      </c>
      <c r="G36" s="369">
        <v>0</v>
      </c>
      <c r="H36" s="369">
        <v>0</v>
      </c>
      <c r="I36" s="369">
        <v>0</v>
      </c>
      <c r="J36" s="365">
        <f t="shared" si="0"/>
        <v>39621</v>
      </c>
    </row>
    <row r="37" spans="1:10">
      <c r="A37" s="363">
        <v>29</v>
      </c>
      <c r="B37" s="369" t="s">
        <v>466</v>
      </c>
      <c r="C37" s="369">
        <v>18930</v>
      </c>
      <c r="D37" s="369">
        <v>210</v>
      </c>
      <c r="E37" s="369">
        <v>0</v>
      </c>
      <c r="F37" s="369">
        <v>0</v>
      </c>
      <c r="G37" s="369">
        <v>0</v>
      </c>
      <c r="H37" s="369">
        <v>0</v>
      </c>
      <c r="I37" s="369">
        <v>0</v>
      </c>
      <c r="J37" s="365">
        <f t="shared" si="0"/>
        <v>19140</v>
      </c>
    </row>
    <row r="38" spans="1:10">
      <c r="A38" s="366">
        <v>30</v>
      </c>
      <c r="B38" s="369" t="s">
        <v>85</v>
      </c>
      <c r="C38" s="369">
        <v>33504</v>
      </c>
      <c r="D38" s="369">
        <v>110</v>
      </c>
      <c r="E38" s="369">
        <v>0</v>
      </c>
      <c r="F38" s="369">
        <v>0</v>
      </c>
      <c r="G38" s="369">
        <v>0</v>
      </c>
      <c r="H38" s="369">
        <v>0</v>
      </c>
      <c r="I38" s="369">
        <v>0</v>
      </c>
      <c r="J38" s="365">
        <f t="shared" si="0"/>
        <v>33614</v>
      </c>
    </row>
    <row r="39" spans="1:10">
      <c r="A39" s="363">
        <v>31</v>
      </c>
      <c r="B39" s="369" t="s">
        <v>84</v>
      </c>
      <c r="C39" s="369">
        <v>57049</v>
      </c>
      <c r="D39" s="369">
        <v>320</v>
      </c>
      <c r="E39" s="369">
        <v>0</v>
      </c>
      <c r="F39" s="369">
        <v>0</v>
      </c>
      <c r="G39" s="369">
        <v>0</v>
      </c>
      <c r="H39" s="369">
        <v>0</v>
      </c>
      <c r="I39" s="369">
        <v>0</v>
      </c>
      <c r="J39" s="365">
        <f t="shared" si="0"/>
        <v>57369</v>
      </c>
    </row>
    <row r="40" spans="1:10">
      <c r="A40" s="366">
        <v>32</v>
      </c>
      <c r="B40" s="369" t="s">
        <v>87</v>
      </c>
      <c r="C40" s="369">
        <v>40930</v>
      </c>
      <c r="D40" s="369">
        <v>110</v>
      </c>
      <c r="E40" s="369">
        <v>0</v>
      </c>
      <c r="F40" s="369">
        <v>0</v>
      </c>
      <c r="G40" s="369">
        <v>0</v>
      </c>
      <c r="H40" s="369">
        <v>0</v>
      </c>
      <c r="I40" s="369">
        <v>0</v>
      </c>
      <c r="J40" s="365">
        <f t="shared" si="0"/>
        <v>41040</v>
      </c>
    </row>
    <row r="41" spans="1:10">
      <c r="A41" s="363">
        <v>33</v>
      </c>
      <c r="B41" s="369" t="s">
        <v>86</v>
      </c>
      <c r="C41" s="369">
        <v>46628</v>
      </c>
      <c r="D41" s="369">
        <v>180</v>
      </c>
      <c r="E41" s="369">
        <v>0</v>
      </c>
      <c r="F41" s="369">
        <v>0</v>
      </c>
      <c r="G41" s="369">
        <v>0</v>
      </c>
      <c r="H41" s="369">
        <v>0</v>
      </c>
      <c r="I41" s="369">
        <v>0</v>
      </c>
      <c r="J41" s="365">
        <f t="shared" si="0"/>
        <v>46808</v>
      </c>
    </row>
    <row r="42" spans="1:10">
      <c r="A42" s="366">
        <v>34</v>
      </c>
      <c r="B42" s="369" t="s">
        <v>89</v>
      </c>
      <c r="C42" s="369">
        <v>20972</v>
      </c>
      <c r="D42" s="369">
        <v>150</v>
      </c>
      <c r="E42" s="369">
        <v>0</v>
      </c>
      <c r="F42" s="369">
        <v>0</v>
      </c>
      <c r="G42" s="369">
        <v>0</v>
      </c>
      <c r="H42" s="369">
        <v>0</v>
      </c>
      <c r="I42" s="369">
        <v>0</v>
      </c>
      <c r="J42" s="365">
        <f t="shared" si="0"/>
        <v>21122</v>
      </c>
    </row>
    <row r="43" spans="1:10">
      <c r="A43" s="363">
        <v>35</v>
      </c>
      <c r="B43" s="369" t="s">
        <v>88</v>
      </c>
      <c r="C43" s="369">
        <v>47060</v>
      </c>
      <c r="D43" s="369">
        <v>180</v>
      </c>
      <c r="E43" s="369">
        <v>0</v>
      </c>
      <c r="F43" s="369">
        <v>0</v>
      </c>
      <c r="G43" s="369">
        <v>0</v>
      </c>
      <c r="H43" s="369">
        <v>0</v>
      </c>
      <c r="I43" s="369">
        <v>0</v>
      </c>
      <c r="J43" s="365">
        <f t="shared" si="0"/>
        <v>47240</v>
      </c>
    </row>
    <row r="44" spans="1:10">
      <c r="A44" s="366">
        <v>36</v>
      </c>
      <c r="B44" s="369" t="s">
        <v>92</v>
      </c>
      <c r="C44" s="369">
        <v>37046</v>
      </c>
      <c r="D44" s="369">
        <v>180</v>
      </c>
      <c r="E44" s="369">
        <v>0</v>
      </c>
      <c r="F44" s="369">
        <v>0</v>
      </c>
      <c r="G44" s="369">
        <v>0</v>
      </c>
      <c r="H44" s="369">
        <v>0</v>
      </c>
      <c r="I44" s="369">
        <v>0</v>
      </c>
      <c r="J44" s="365">
        <f t="shared" si="0"/>
        <v>37226</v>
      </c>
    </row>
    <row r="45" spans="1:10">
      <c r="A45" s="363">
        <v>37</v>
      </c>
      <c r="B45" s="369" t="s">
        <v>94</v>
      </c>
      <c r="C45" s="369">
        <v>36675</v>
      </c>
      <c r="D45" s="369">
        <v>250</v>
      </c>
      <c r="E45" s="369">
        <v>0</v>
      </c>
      <c r="F45" s="369">
        <v>0</v>
      </c>
      <c r="G45" s="369">
        <v>0</v>
      </c>
      <c r="H45" s="369">
        <v>0</v>
      </c>
      <c r="I45" s="369">
        <v>0</v>
      </c>
      <c r="J45" s="365">
        <f t="shared" si="0"/>
        <v>36925</v>
      </c>
    </row>
    <row r="46" spans="1:10">
      <c r="A46" s="366">
        <v>38</v>
      </c>
      <c r="B46" s="369" t="s">
        <v>95</v>
      </c>
      <c r="C46" s="369">
        <v>39511</v>
      </c>
      <c r="D46" s="369">
        <v>250</v>
      </c>
      <c r="E46" s="369">
        <v>0</v>
      </c>
      <c r="F46" s="369">
        <v>0</v>
      </c>
      <c r="G46" s="369">
        <v>0</v>
      </c>
      <c r="H46" s="369">
        <v>0</v>
      </c>
      <c r="I46" s="369">
        <v>0</v>
      </c>
      <c r="J46" s="365">
        <f t="shared" si="0"/>
        <v>39761</v>
      </c>
    </row>
    <row r="47" spans="1:10">
      <c r="A47" s="363">
        <v>39</v>
      </c>
      <c r="B47" s="369" t="s">
        <v>96</v>
      </c>
      <c r="C47" s="369">
        <v>45762</v>
      </c>
      <c r="D47" s="369">
        <v>150</v>
      </c>
      <c r="E47" s="369">
        <v>0</v>
      </c>
      <c r="F47" s="369">
        <v>0</v>
      </c>
      <c r="G47" s="369">
        <v>0</v>
      </c>
      <c r="H47" s="369">
        <v>0</v>
      </c>
      <c r="I47" s="369">
        <v>0</v>
      </c>
      <c r="J47" s="365">
        <f t="shared" si="0"/>
        <v>45912</v>
      </c>
    </row>
    <row r="48" spans="1:10">
      <c r="A48" s="363">
        <v>40</v>
      </c>
      <c r="B48" s="369" t="s">
        <v>467</v>
      </c>
      <c r="C48" s="369">
        <v>43721</v>
      </c>
      <c r="D48" s="369">
        <v>180</v>
      </c>
      <c r="E48" s="369">
        <v>0</v>
      </c>
      <c r="F48" s="369">
        <v>0</v>
      </c>
      <c r="G48" s="369">
        <v>0</v>
      </c>
      <c r="H48" s="369">
        <v>0</v>
      </c>
      <c r="I48" s="369">
        <v>0</v>
      </c>
      <c r="J48" s="365">
        <f t="shared" si="0"/>
        <v>43901</v>
      </c>
    </row>
    <row r="49" spans="1:10">
      <c r="A49" s="366"/>
      <c r="B49" s="370" t="s">
        <v>468</v>
      </c>
      <c r="C49" s="370">
        <f>SUM(C9:C48)</f>
        <v>6029118</v>
      </c>
      <c r="D49" s="370">
        <f t="shared" ref="D49:I49" si="1">SUM(D9:D48)</f>
        <v>1017859</v>
      </c>
      <c r="E49" s="370">
        <f t="shared" si="1"/>
        <v>46743507</v>
      </c>
      <c r="F49" s="370">
        <f t="shared" si="1"/>
        <v>6085214</v>
      </c>
      <c r="G49" s="370">
        <f t="shared" si="1"/>
        <v>11624448</v>
      </c>
      <c r="H49" s="370">
        <f t="shared" si="1"/>
        <v>5279680</v>
      </c>
      <c r="I49" s="370">
        <f t="shared" si="1"/>
        <v>112419</v>
      </c>
      <c r="J49" s="365">
        <f>SUM(C49:I49)</f>
        <v>76892245</v>
      </c>
    </row>
    <row r="50" spans="1:10">
      <c r="A50" s="366"/>
      <c r="B50" s="369" t="s">
        <v>469</v>
      </c>
      <c r="C50" s="369"/>
      <c r="D50" s="369"/>
      <c r="E50" s="369"/>
      <c r="F50" s="369"/>
      <c r="G50" s="369"/>
      <c r="H50" s="369"/>
      <c r="I50" s="369"/>
      <c r="J50" s="365"/>
    </row>
    <row r="51" spans="1:10">
      <c r="A51" s="366">
        <f>A48+1</f>
        <v>41</v>
      </c>
      <c r="B51" s="369" t="s">
        <v>75</v>
      </c>
      <c r="C51" s="369">
        <v>0</v>
      </c>
      <c r="D51" s="369">
        <v>300</v>
      </c>
      <c r="E51" s="369">
        <v>0</v>
      </c>
      <c r="F51" s="369">
        <v>0</v>
      </c>
      <c r="G51" s="369">
        <v>0</v>
      </c>
      <c r="H51" s="369">
        <v>0</v>
      </c>
      <c r="I51" s="369">
        <v>0</v>
      </c>
      <c r="J51" s="365">
        <f t="shared" ref="J51:J64" si="2">SUM(C51:I51)</f>
        <v>300</v>
      </c>
    </row>
    <row r="52" spans="1:10">
      <c r="A52" s="366">
        <f t="shared" ref="A52:A57" si="3">A51+1</f>
        <v>42</v>
      </c>
      <c r="B52" s="369" t="s">
        <v>470</v>
      </c>
      <c r="C52" s="369">
        <v>0</v>
      </c>
      <c r="D52" s="369">
        <v>100</v>
      </c>
      <c r="E52" s="369">
        <v>0</v>
      </c>
      <c r="F52" s="369">
        <v>0</v>
      </c>
      <c r="G52" s="369">
        <v>0</v>
      </c>
      <c r="H52" s="369">
        <v>0</v>
      </c>
      <c r="I52" s="369">
        <v>0</v>
      </c>
      <c r="J52" s="365">
        <f t="shared" si="2"/>
        <v>100</v>
      </c>
    </row>
    <row r="53" spans="1:10">
      <c r="A53" s="366">
        <f t="shared" si="3"/>
        <v>43</v>
      </c>
      <c r="B53" s="369" t="s">
        <v>76</v>
      </c>
      <c r="C53" s="369">
        <v>0</v>
      </c>
      <c r="D53" s="369">
        <v>150</v>
      </c>
      <c r="E53" s="369">
        <v>0</v>
      </c>
      <c r="F53" s="369">
        <v>0</v>
      </c>
      <c r="G53" s="369">
        <v>0</v>
      </c>
      <c r="H53" s="369">
        <v>0</v>
      </c>
      <c r="I53" s="369">
        <v>0</v>
      </c>
      <c r="J53" s="365">
        <f t="shared" si="2"/>
        <v>150</v>
      </c>
    </row>
    <row r="54" spans="1:10">
      <c r="A54" s="366">
        <f t="shared" si="3"/>
        <v>44</v>
      </c>
      <c r="B54" s="369" t="s">
        <v>77</v>
      </c>
      <c r="C54" s="369">
        <v>0</v>
      </c>
      <c r="D54" s="369">
        <v>150</v>
      </c>
      <c r="E54" s="369">
        <v>0</v>
      </c>
      <c r="F54" s="369">
        <v>0</v>
      </c>
      <c r="G54" s="369">
        <v>0</v>
      </c>
      <c r="H54" s="369">
        <v>0</v>
      </c>
      <c r="I54" s="369">
        <v>0</v>
      </c>
      <c r="J54" s="365">
        <f t="shared" si="2"/>
        <v>150</v>
      </c>
    </row>
    <row r="55" spans="1:10">
      <c r="A55" s="366">
        <f t="shared" si="3"/>
        <v>45</v>
      </c>
      <c r="B55" s="369" t="s">
        <v>115</v>
      </c>
      <c r="C55" s="369">
        <v>0</v>
      </c>
      <c r="D55" s="369">
        <v>0</v>
      </c>
      <c r="E55" s="369">
        <v>0</v>
      </c>
      <c r="F55" s="369">
        <v>0</v>
      </c>
      <c r="G55" s="369">
        <v>0</v>
      </c>
      <c r="H55" s="369">
        <v>0</v>
      </c>
      <c r="I55" s="369">
        <v>0</v>
      </c>
      <c r="J55" s="365">
        <f t="shared" si="2"/>
        <v>0</v>
      </c>
    </row>
    <row r="56" spans="1:10">
      <c r="A56" s="366">
        <f t="shared" si="3"/>
        <v>46</v>
      </c>
      <c r="B56" s="369" t="s">
        <v>90</v>
      </c>
      <c r="C56" s="369">
        <v>0</v>
      </c>
      <c r="D56" s="369">
        <v>100</v>
      </c>
      <c r="E56" s="369">
        <v>0</v>
      </c>
      <c r="F56" s="369">
        <v>0</v>
      </c>
      <c r="G56" s="369">
        <v>0</v>
      </c>
      <c r="H56" s="369">
        <v>0</v>
      </c>
      <c r="I56" s="369">
        <v>0</v>
      </c>
      <c r="J56" s="365">
        <f t="shared" si="2"/>
        <v>100</v>
      </c>
    </row>
    <row r="57" spans="1:10">
      <c r="A57" s="366">
        <f t="shared" si="3"/>
        <v>47</v>
      </c>
      <c r="B57" s="369" t="s">
        <v>97</v>
      </c>
      <c r="C57" s="369">
        <v>0</v>
      </c>
      <c r="D57" s="369">
        <v>100</v>
      </c>
      <c r="E57" s="369">
        <v>0</v>
      </c>
      <c r="F57" s="369">
        <v>0</v>
      </c>
      <c r="G57" s="369">
        <v>0</v>
      </c>
      <c r="H57" s="369">
        <v>0</v>
      </c>
      <c r="I57" s="369">
        <v>0</v>
      </c>
      <c r="J57" s="365">
        <f t="shared" si="2"/>
        <v>100</v>
      </c>
    </row>
    <row r="58" spans="1:10">
      <c r="A58" s="366"/>
      <c r="B58" s="370" t="s">
        <v>471</v>
      </c>
      <c r="C58" s="370">
        <f>SUM(C51:C57)</f>
        <v>0</v>
      </c>
      <c r="D58" s="370">
        <f t="shared" ref="D58:I58" si="4">SUM(D51:D57)</f>
        <v>900</v>
      </c>
      <c r="E58" s="370">
        <f t="shared" si="4"/>
        <v>0</v>
      </c>
      <c r="F58" s="370">
        <f t="shared" si="4"/>
        <v>0</v>
      </c>
      <c r="G58" s="370">
        <f t="shared" si="4"/>
        <v>0</v>
      </c>
      <c r="H58" s="370">
        <f t="shared" si="4"/>
        <v>0</v>
      </c>
      <c r="I58" s="370">
        <f t="shared" si="4"/>
        <v>0</v>
      </c>
      <c r="J58" s="365">
        <f t="shared" si="2"/>
        <v>900</v>
      </c>
    </row>
    <row r="59" spans="1:10">
      <c r="A59" s="366"/>
      <c r="B59" s="369" t="s">
        <v>472</v>
      </c>
      <c r="C59" s="369"/>
      <c r="D59" s="369"/>
      <c r="E59" s="369"/>
      <c r="F59" s="369"/>
      <c r="G59" s="369"/>
      <c r="H59" s="369"/>
      <c r="I59" s="369"/>
      <c r="J59" s="365"/>
    </row>
    <row r="60" spans="1:10">
      <c r="A60" s="366">
        <f>A57+1</f>
        <v>48</v>
      </c>
      <c r="B60" s="369" t="s">
        <v>78</v>
      </c>
      <c r="C60" s="369">
        <v>31508</v>
      </c>
      <c r="D60" s="369">
        <v>1000</v>
      </c>
      <c r="E60" s="369">
        <v>0</v>
      </c>
      <c r="F60" s="369">
        <v>0</v>
      </c>
      <c r="G60" s="369">
        <v>0</v>
      </c>
      <c r="H60" s="369">
        <v>0</v>
      </c>
      <c r="I60" s="369">
        <v>0</v>
      </c>
      <c r="J60" s="365">
        <f t="shared" si="2"/>
        <v>32508</v>
      </c>
    </row>
    <row r="61" spans="1:10">
      <c r="A61" s="366">
        <f>A60+1</f>
        <v>49</v>
      </c>
      <c r="B61" s="369" t="s">
        <v>81</v>
      </c>
      <c r="C61" s="369">
        <v>32838</v>
      </c>
      <c r="D61" s="369">
        <v>2100</v>
      </c>
      <c r="E61" s="369">
        <v>0</v>
      </c>
      <c r="F61" s="369">
        <v>0</v>
      </c>
      <c r="G61" s="369">
        <v>0</v>
      </c>
      <c r="H61" s="369">
        <v>0</v>
      </c>
      <c r="I61" s="369">
        <v>0</v>
      </c>
      <c r="J61" s="365">
        <f t="shared" si="2"/>
        <v>34938</v>
      </c>
    </row>
    <row r="62" spans="1:10">
      <c r="A62" s="366">
        <f>A61+1</f>
        <v>50</v>
      </c>
      <c r="B62" s="369" t="s">
        <v>91</v>
      </c>
      <c r="C62" s="369">
        <v>33939</v>
      </c>
      <c r="D62" s="369">
        <v>1020</v>
      </c>
      <c r="E62" s="369">
        <v>0</v>
      </c>
      <c r="F62" s="369">
        <v>0</v>
      </c>
      <c r="G62" s="369">
        <v>0</v>
      </c>
      <c r="H62" s="369">
        <v>0</v>
      </c>
      <c r="I62" s="369">
        <v>0</v>
      </c>
      <c r="J62" s="365">
        <f t="shared" si="2"/>
        <v>34959</v>
      </c>
    </row>
    <row r="63" spans="1:10">
      <c r="A63" s="366">
        <f>A62+1</f>
        <v>51</v>
      </c>
      <c r="B63" s="369" t="s">
        <v>93</v>
      </c>
      <c r="C63" s="369">
        <v>25331</v>
      </c>
      <c r="D63" s="369">
        <v>0</v>
      </c>
      <c r="E63" s="369">
        <v>0</v>
      </c>
      <c r="F63" s="369">
        <v>0</v>
      </c>
      <c r="G63" s="369">
        <v>0</v>
      </c>
      <c r="H63" s="369">
        <v>0</v>
      </c>
      <c r="I63" s="369">
        <v>0</v>
      </c>
      <c r="J63" s="365">
        <f t="shared" si="2"/>
        <v>25331</v>
      </c>
    </row>
    <row r="64" spans="1:10">
      <c r="A64" s="366"/>
      <c r="B64" s="370" t="s">
        <v>473</v>
      </c>
      <c r="C64" s="370">
        <f>SUM(C60:C63)</f>
        <v>123616</v>
      </c>
      <c r="D64" s="370">
        <f>SUM(D60:D63)</f>
        <v>4120</v>
      </c>
      <c r="E64" s="370">
        <f t="shared" ref="E64:I64" si="5">SUM(E60:E63)</f>
        <v>0</v>
      </c>
      <c r="F64" s="370">
        <f t="shared" si="5"/>
        <v>0</v>
      </c>
      <c r="G64" s="370">
        <f t="shared" si="5"/>
        <v>0</v>
      </c>
      <c r="H64" s="370">
        <f t="shared" si="5"/>
        <v>0</v>
      </c>
      <c r="I64" s="370">
        <f t="shared" si="5"/>
        <v>0</v>
      </c>
      <c r="J64" s="365">
        <f t="shared" si="2"/>
        <v>127736</v>
      </c>
    </row>
    <row r="65" spans="1:12">
      <c r="A65" s="366"/>
      <c r="B65" s="370" t="s">
        <v>474</v>
      </c>
      <c r="C65" s="370">
        <f>SUM(C49,C58,C64)</f>
        <v>6152734</v>
      </c>
      <c r="D65" s="370">
        <f t="shared" ref="D65:I65" si="6">SUM(D49,D58,D64)</f>
        <v>1022879</v>
      </c>
      <c r="E65" s="370">
        <f t="shared" si="6"/>
        <v>46743507</v>
      </c>
      <c r="F65" s="370">
        <f t="shared" si="6"/>
        <v>6085214</v>
      </c>
      <c r="G65" s="370">
        <f t="shared" si="6"/>
        <v>11624448</v>
      </c>
      <c r="H65" s="370">
        <f t="shared" si="6"/>
        <v>5279680</v>
      </c>
      <c r="I65" s="370">
        <f t="shared" si="6"/>
        <v>112419</v>
      </c>
      <c r="J65" s="365">
        <f>SUM(C65:I65)</f>
        <v>77020881</v>
      </c>
    </row>
    <row r="67" spans="1:12">
      <c r="J67" s="371" t="s">
        <v>1086</v>
      </c>
    </row>
    <row r="68" spans="1:12">
      <c r="J68" s="371"/>
    </row>
    <row r="71" spans="1:12">
      <c r="A71" s="349" t="s">
        <v>992</v>
      </c>
      <c r="B71" s="359"/>
    </row>
    <row r="72" spans="1:12" ht="24">
      <c r="A72" s="361" t="s">
        <v>424</v>
      </c>
      <c r="B72" s="362" t="s">
        <v>439</v>
      </c>
      <c r="C72" s="361" t="s">
        <v>440</v>
      </c>
      <c r="D72" s="361" t="s">
        <v>441</v>
      </c>
      <c r="E72" s="361" t="s">
        <v>442</v>
      </c>
      <c r="F72" s="361" t="s">
        <v>443</v>
      </c>
      <c r="G72" s="361" t="s">
        <v>444</v>
      </c>
      <c r="H72" s="361" t="s">
        <v>445</v>
      </c>
      <c r="I72" s="361" t="s">
        <v>446</v>
      </c>
      <c r="J72" s="361" t="s">
        <v>447</v>
      </c>
      <c r="K72" s="361" t="s">
        <v>448</v>
      </c>
      <c r="L72" s="372" t="s">
        <v>449</v>
      </c>
    </row>
    <row r="73" spans="1:12" ht="24">
      <c r="A73" s="363">
        <v>1</v>
      </c>
      <c r="B73" s="364" t="s">
        <v>1293</v>
      </c>
      <c r="C73" s="373">
        <v>0</v>
      </c>
      <c r="D73" s="373">
        <v>0</v>
      </c>
      <c r="E73" s="373">
        <v>1748519</v>
      </c>
      <c r="F73" s="373">
        <v>0</v>
      </c>
      <c r="G73" s="373">
        <v>0</v>
      </c>
      <c r="H73" s="373">
        <v>0</v>
      </c>
      <c r="I73" s="373">
        <v>788615</v>
      </c>
      <c r="J73" s="373">
        <v>0</v>
      </c>
      <c r="K73" s="373">
        <v>0</v>
      </c>
      <c r="L73" s="374">
        <f>SUM(C73:K73)</f>
        <v>2537134</v>
      </c>
    </row>
    <row r="74" spans="1:12">
      <c r="A74" s="366">
        <v>2</v>
      </c>
      <c r="B74" s="367" t="s">
        <v>450</v>
      </c>
      <c r="C74" s="373">
        <v>0</v>
      </c>
      <c r="D74" s="373">
        <v>0</v>
      </c>
      <c r="E74" s="373">
        <v>0</v>
      </c>
      <c r="F74" s="373">
        <v>0</v>
      </c>
      <c r="G74" s="373">
        <v>0</v>
      </c>
      <c r="H74" s="373">
        <v>0</v>
      </c>
      <c r="I74" s="373">
        <v>0</v>
      </c>
      <c r="J74" s="373">
        <v>0</v>
      </c>
      <c r="K74" s="373">
        <v>0</v>
      </c>
      <c r="L74" s="374">
        <f t="shared" ref="L74:L129" si="7">SUM(C74:K74)</f>
        <v>0</v>
      </c>
    </row>
    <row r="75" spans="1:12">
      <c r="A75" s="363">
        <v>3</v>
      </c>
      <c r="B75" s="367" t="s">
        <v>451</v>
      </c>
      <c r="C75" s="373">
        <v>0</v>
      </c>
      <c r="D75" s="373">
        <v>0</v>
      </c>
      <c r="E75" s="373">
        <v>0</v>
      </c>
      <c r="F75" s="373">
        <v>0</v>
      </c>
      <c r="G75" s="373">
        <v>0</v>
      </c>
      <c r="H75" s="373">
        <v>0</v>
      </c>
      <c r="I75" s="373">
        <v>0</v>
      </c>
      <c r="J75" s="373">
        <v>0</v>
      </c>
      <c r="K75" s="373">
        <v>0</v>
      </c>
      <c r="L75" s="374">
        <f t="shared" si="7"/>
        <v>0</v>
      </c>
    </row>
    <row r="76" spans="1:12">
      <c r="A76" s="363">
        <v>4</v>
      </c>
      <c r="B76" s="367" t="s">
        <v>452</v>
      </c>
      <c r="C76" s="373">
        <v>0</v>
      </c>
      <c r="D76" s="373">
        <v>0</v>
      </c>
      <c r="E76" s="373">
        <v>0</v>
      </c>
      <c r="F76" s="373">
        <v>0</v>
      </c>
      <c r="G76" s="373">
        <v>0</v>
      </c>
      <c r="H76" s="373">
        <v>0</v>
      </c>
      <c r="I76" s="373">
        <v>0</v>
      </c>
      <c r="J76" s="373">
        <v>0</v>
      </c>
      <c r="K76" s="373">
        <v>0</v>
      </c>
      <c r="L76" s="374">
        <f t="shared" si="7"/>
        <v>0</v>
      </c>
    </row>
    <row r="77" spans="1:12">
      <c r="A77" s="366">
        <v>5</v>
      </c>
      <c r="B77" s="367" t="s">
        <v>453</v>
      </c>
      <c r="C77" s="373">
        <v>0</v>
      </c>
      <c r="D77" s="373">
        <v>0</v>
      </c>
      <c r="E77" s="373">
        <v>0</v>
      </c>
      <c r="F77" s="373">
        <v>0</v>
      </c>
      <c r="G77" s="373">
        <v>0</v>
      </c>
      <c r="H77" s="373">
        <v>0</v>
      </c>
      <c r="I77" s="373">
        <v>0</v>
      </c>
      <c r="J77" s="373">
        <v>0</v>
      </c>
      <c r="K77" s="373">
        <v>0</v>
      </c>
      <c r="L77" s="374">
        <f t="shared" si="7"/>
        <v>0</v>
      </c>
    </row>
    <row r="78" spans="1:12">
      <c r="A78" s="363">
        <v>6</v>
      </c>
      <c r="B78" s="367" t="s">
        <v>454</v>
      </c>
      <c r="C78" s="373">
        <v>0</v>
      </c>
      <c r="D78" s="373">
        <v>0</v>
      </c>
      <c r="E78" s="373">
        <v>0</v>
      </c>
      <c r="F78" s="373">
        <v>346754</v>
      </c>
      <c r="G78" s="373">
        <v>2442378</v>
      </c>
      <c r="H78" s="373">
        <v>0</v>
      </c>
      <c r="I78" s="373">
        <v>0</v>
      </c>
      <c r="J78" s="373">
        <v>0</v>
      </c>
      <c r="K78" s="373">
        <v>0</v>
      </c>
      <c r="L78" s="374">
        <f t="shared" si="7"/>
        <v>2789132</v>
      </c>
    </row>
    <row r="79" spans="1:12">
      <c r="A79" s="363">
        <v>7</v>
      </c>
      <c r="B79" s="367" t="s">
        <v>455</v>
      </c>
      <c r="C79" s="373">
        <v>0</v>
      </c>
      <c r="D79" s="373">
        <v>0</v>
      </c>
      <c r="E79" s="373">
        <v>0</v>
      </c>
      <c r="F79" s="373">
        <v>0</v>
      </c>
      <c r="G79" s="373">
        <v>0</v>
      </c>
      <c r="H79" s="373">
        <v>0</v>
      </c>
      <c r="I79" s="373">
        <v>592890</v>
      </c>
      <c r="J79" s="373">
        <v>0</v>
      </c>
      <c r="K79" s="373">
        <v>0</v>
      </c>
      <c r="L79" s="374">
        <f t="shared" si="7"/>
        <v>592890</v>
      </c>
    </row>
    <row r="80" spans="1:12" ht="24">
      <c r="A80" s="366">
        <v>8</v>
      </c>
      <c r="B80" s="367" t="s">
        <v>1294</v>
      </c>
      <c r="C80" s="373">
        <v>0</v>
      </c>
      <c r="D80" s="373">
        <v>0</v>
      </c>
      <c r="E80" s="373">
        <v>0</v>
      </c>
      <c r="F80" s="373">
        <v>0</v>
      </c>
      <c r="G80" s="373">
        <v>0</v>
      </c>
      <c r="H80" s="373">
        <v>0</v>
      </c>
      <c r="I80" s="373">
        <v>2512045</v>
      </c>
      <c r="J80" s="373">
        <v>0</v>
      </c>
      <c r="K80" s="373">
        <v>0</v>
      </c>
      <c r="L80" s="374">
        <f t="shared" si="7"/>
        <v>2512045</v>
      </c>
    </row>
    <row r="81" spans="1:12">
      <c r="A81" s="363">
        <v>9</v>
      </c>
      <c r="B81" s="367" t="s">
        <v>456</v>
      </c>
      <c r="C81" s="373">
        <v>0</v>
      </c>
      <c r="D81" s="373">
        <v>0</v>
      </c>
      <c r="E81" s="373">
        <v>0</v>
      </c>
      <c r="F81" s="373">
        <v>0</v>
      </c>
      <c r="G81" s="373">
        <v>0</v>
      </c>
      <c r="H81" s="373">
        <v>0</v>
      </c>
      <c r="I81" s="373">
        <v>533300</v>
      </c>
      <c r="J81" s="373">
        <v>0</v>
      </c>
      <c r="K81" s="373">
        <v>0</v>
      </c>
      <c r="L81" s="374">
        <f t="shared" si="7"/>
        <v>533300</v>
      </c>
    </row>
    <row r="82" spans="1:12">
      <c r="A82" s="363">
        <v>10</v>
      </c>
      <c r="B82" s="367" t="s">
        <v>457</v>
      </c>
      <c r="C82" s="373">
        <v>0</v>
      </c>
      <c r="D82" s="373">
        <v>0</v>
      </c>
      <c r="E82" s="373">
        <v>0</v>
      </c>
      <c r="F82" s="373">
        <v>0</v>
      </c>
      <c r="G82" s="373">
        <v>0</v>
      </c>
      <c r="H82" s="373">
        <v>0</v>
      </c>
      <c r="I82" s="373">
        <v>412309</v>
      </c>
      <c r="J82" s="373">
        <v>0</v>
      </c>
      <c r="K82" s="373">
        <v>0</v>
      </c>
      <c r="L82" s="374">
        <f t="shared" si="7"/>
        <v>412309</v>
      </c>
    </row>
    <row r="83" spans="1:12">
      <c r="A83" s="366">
        <v>11</v>
      </c>
      <c r="B83" s="367" t="s">
        <v>458</v>
      </c>
      <c r="C83" s="373">
        <v>0</v>
      </c>
      <c r="D83" s="373">
        <v>0</v>
      </c>
      <c r="E83" s="373">
        <v>0</v>
      </c>
      <c r="F83" s="373">
        <v>0</v>
      </c>
      <c r="G83" s="373">
        <v>0</v>
      </c>
      <c r="H83" s="373">
        <v>0</v>
      </c>
      <c r="I83" s="373">
        <v>0</v>
      </c>
      <c r="J83" s="373">
        <v>146059</v>
      </c>
      <c r="K83" s="373">
        <v>0</v>
      </c>
      <c r="L83" s="374">
        <f t="shared" si="7"/>
        <v>146059</v>
      </c>
    </row>
    <row r="84" spans="1:12">
      <c r="A84" s="363">
        <v>12</v>
      </c>
      <c r="B84" s="367" t="s">
        <v>459</v>
      </c>
      <c r="C84" s="373">
        <v>0</v>
      </c>
      <c r="D84" s="373">
        <v>0</v>
      </c>
      <c r="E84" s="373">
        <v>0</v>
      </c>
      <c r="F84" s="373">
        <v>0</v>
      </c>
      <c r="G84" s="373">
        <v>0</v>
      </c>
      <c r="H84" s="373">
        <v>3810544</v>
      </c>
      <c r="I84" s="373">
        <v>0</v>
      </c>
      <c r="J84" s="373">
        <v>0</v>
      </c>
      <c r="K84" s="373">
        <v>0</v>
      </c>
      <c r="L84" s="374">
        <f t="shared" si="7"/>
        <v>3810544</v>
      </c>
    </row>
    <row r="85" spans="1:12">
      <c r="A85" s="363">
        <v>13</v>
      </c>
      <c r="B85" s="367" t="s">
        <v>460</v>
      </c>
      <c r="C85" s="373">
        <v>0</v>
      </c>
      <c r="D85" s="373">
        <v>0</v>
      </c>
      <c r="E85" s="373">
        <v>0</v>
      </c>
      <c r="F85" s="373">
        <v>0</v>
      </c>
      <c r="G85" s="373">
        <v>0</v>
      </c>
      <c r="H85" s="373">
        <v>0</v>
      </c>
      <c r="I85" s="373">
        <v>0</v>
      </c>
      <c r="J85" s="373">
        <v>400378</v>
      </c>
      <c r="K85" s="373">
        <v>0</v>
      </c>
      <c r="L85" s="374">
        <f t="shared" si="7"/>
        <v>400378</v>
      </c>
    </row>
    <row r="86" spans="1:12">
      <c r="A86" s="366">
        <v>14</v>
      </c>
      <c r="B86" s="367" t="s">
        <v>461</v>
      </c>
      <c r="C86" s="373">
        <v>0</v>
      </c>
      <c r="D86" s="373">
        <v>0</v>
      </c>
      <c r="E86" s="373">
        <v>0</v>
      </c>
      <c r="F86" s="373">
        <v>0</v>
      </c>
      <c r="G86" s="373">
        <v>0</v>
      </c>
      <c r="H86" s="373">
        <v>0</v>
      </c>
      <c r="I86" s="373">
        <v>0</v>
      </c>
      <c r="J86" s="373">
        <v>159800</v>
      </c>
      <c r="K86" s="373">
        <v>0</v>
      </c>
      <c r="L86" s="374">
        <f t="shared" si="7"/>
        <v>159800</v>
      </c>
    </row>
    <row r="87" spans="1:12">
      <c r="A87" s="363">
        <v>15</v>
      </c>
      <c r="B87" s="369" t="s">
        <v>462</v>
      </c>
      <c r="C87" s="373">
        <f>3759002-9000</f>
        <v>3750002</v>
      </c>
      <c r="D87" s="373">
        <v>206460</v>
      </c>
      <c r="E87" s="373">
        <v>32769</v>
      </c>
      <c r="F87" s="373">
        <v>120644</v>
      </c>
      <c r="G87" s="373">
        <v>94600</v>
      </c>
      <c r="H87" s="373">
        <f>25950321-46500</f>
        <v>25903821</v>
      </c>
      <c r="I87" s="373">
        <v>512209</v>
      </c>
      <c r="J87" s="373">
        <v>3064506</v>
      </c>
      <c r="K87" s="373">
        <v>198100</v>
      </c>
      <c r="L87" s="374">
        <f>SUM(C87:K87)</f>
        <v>33883111</v>
      </c>
    </row>
    <row r="88" spans="1:12">
      <c r="A88" s="363">
        <v>16</v>
      </c>
      <c r="B88" s="369" t="s">
        <v>68</v>
      </c>
      <c r="C88" s="373">
        <v>9600</v>
      </c>
      <c r="D88" s="373">
        <v>0</v>
      </c>
      <c r="E88" s="373">
        <v>0</v>
      </c>
      <c r="F88" s="373">
        <v>0</v>
      </c>
      <c r="G88" s="373">
        <v>0</v>
      </c>
      <c r="H88" s="373">
        <v>117708</v>
      </c>
      <c r="I88" s="373">
        <v>1000</v>
      </c>
      <c r="J88" s="373">
        <v>0</v>
      </c>
      <c r="K88" s="373">
        <v>0</v>
      </c>
      <c r="L88" s="374">
        <f t="shared" si="7"/>
        <v>128308</v>
      </c>
    </row>
    <row r="89" spans="1:12">
      <c r="A89" s="366">
        <v>17</v>
      </c>
      <c r="B89" s="369" t="s">
        <v>69</v>
      </c>
      <c r="C89" s="373">
        <v>9900</v>
      </c>
      <c r="D89" s="373">
        <v>0</v>
      </c>
      <c r="E89" s="373">
        <v>0</v>
      </c>
      <c r="F89" s="373">
        <v>0</v>
      </c>
      <c r="G89" s="373">
        <v>0</v>
      </c>
      <c r="H89" s="373">
        <v>104600</v>
      </c>
      <c r="I89" s="373">
        <v>1000</v>
      </c>
      <c r="J89" s="373">
        <v>0</v>
      </c>
      <c r="K89" s="373">
        <v>0</v>
      </c>
      <c r="L89" s="374">
        <f t="shared" si="7"/>
        <v>115500</v>
      </c>
    </row>
    <row r="90" spans="1:12">
      <c r="A90" s="363">
        <v>18</v>
      </c>
      <c r="B90" s="369" t="s">
        <v>70</v>
      </c>
      <c r="C90" s="373">
        <v>9600</v>
      </c>
      <c r="D90" s="373">
        <v>0</v>
      </c>
      <c r="E90" s="373">
        <v>0</v>
      </c>
      <c r="F90" s="373">
        <v>0</v>
      </c>
      <c r="G90" s="373">
        <v>0</v>
      </c>
      <c r="H90" s="373">
        <v>93561</v>
      </c>
      <c r="I90" s="373">
        <v>1000</v>
      </c>
      <c r="J90" s="373">
        <v>0</v>
      </c>
      <c r="K90" s="373">
        <v>0</v>
      </c>
      <c r="L90" s="374">
        <f t="shared" si="7"/>
        <v>104161</v>
      </c>
    </row>
    <row r="91" spans="1:12">
      <c r="A91" s="363">
        <v>19</v>
      </c>
      <c r="B91" s="369" t="s">
        <v>71</v>
      </c>
      <c r="C91" s="373">
        <v>4300</v>
      </c>
      <c r="D91" s="373">
        <v>0</v>
      </c>
      <c r="E91" s="373">
        <v>0</v>
      </c>
      <c r="F91" s="373">
        <v>0</v>
      </c>
      <c r="G91" s="373">
        <v>0</v>
      </c>
      <c r="H91" s="373">
        <v>21976</v>
      </c>
      <c r="I91" s="373">
        <v>0</v>
      </c>
      <c r="J91" s="373">
        <v>0</v>
      </c>
      <c r="K91" s="373">
        <v>0</v>
      </c>
      <c r="L91" s="374">
        <f t="shared" si="7"/>
        <v>26276</v>
      </c>
    </row>
    <row r="92" spans="1:12">
      <c r="A92" s="366">
        <v>20</v>
      </c>
      <c r="B92" s="369" t="s">
        <v>72</v>
      </c>
      <c r="C92" s="373">
        <v>4950</v>
      </c>
      <c r="D92" s="373">
        <v>0</v>
      </c>
      <c r="E92" s="373">
        <v>0</v>
      </c>
      <c r="F92" s="373">
        <v>0</v>
      </c>
      <c r="G92" s="373">
        <v>0</v>
      </c>
      <c r="H92" s="373">
        <v>58564</v>
      </c>
      <c r="I92" s="373">
        <v>0</v>
      </c>
      <c r="J92" s="373">
        <v>700</v>
      </c>
      <c r="K92" s="373">
        <v>0</v>
      </c>
      <c r="L92" s="374">
        <f t="shared" si="7"/>
        <v>64214</v>
      </c>
    </row>
    <row r="93" spans="1:12">
      <c r="A93" s="363">
        <v>21</v>
      </c>
      <c r="B93" s="369" t="s">
        <v>463</v>
      </c>
      <c r="C93" s="373">
        <v>4200</v>
      </c>
      <c r="D93" s="373">
        <v>0</v>
      </c>
      <c r="E93" s="373">
        <v>0</v>
      </c>
      <c r="F93" s="373">
        <v>0</v>
      </c>
      <c r="G93" s="373">
        <v>0</v>
      </c>
      <c r="H93" s="373">
        <v>40348</v>
      </c>
      <c r="I93" s="373">
        <v>0</v>
      </c>
      <c r="J93" s="373">
        <v>0</v>
      </c>
      <c r="K93" s="373">
        <v>0</v>
      </c>
      <c r="L93" s="374">
        <f t="shared" si="7"/>
        <v>44548</v>
      </c>
    </row>
    <row r="94" spans="1:12">
      <c r="A94" s="363">
        <v>22</v>
      </c>
      <c r="B94" s="369" t="s">
        <v>74</v>
      </c>
      <c r="C94" s="373">
        <v>4900</v>
      </c>
      <c r="D94" s="373">
        <v>0</v>
      </c>
      <c r="E94" s="373">
        <v>0</v>
      </c>
      <c r="F94" s="373">
        <v>0</v>
      </c>
      <c r="G94" s="373">
        <v>0</v>
      </c>
      <c r="H94" s="373">
        <v>48409</v>
      </c>
      <c r="I94" s="373">
        <v>0</v>
      </c>
      <c r="J94" s="373">
        <v>0</v>
      </c>
      <c r="K94" s="373">
        <v>0</v>
      </c>
      <c r="L94" s="374">
        <f t="shared" si="7"/>
        <v>53309</v>
      </c>
    </row>
    <row r="95" spans="1:12">
      <c r="A95" s="366">
        <v>23</v>
      </c>
      <c r="B95" s="369" t="s">
        <v>79</v>
      </c>
      <c r="C95" s="373">
        <v>4650</v>
      </c>
      <c r="D95" s="373">
        <v>0</v>
      </c>
      <c r="E95" s="373">
        <v>0</v>
      </c>
      <c r="F95" s="373">
        <v>0</v>
      </c>
      <c r="G95" s="373">
        <v>0</v>
      </c>
      <c r="H95" s="373">
        <v>53647</v>
      </c>
      <c r="I95" s="373">
        <v>0</v>
      </c>
      <c r="J95" s="373">
        <v>0</v>
      </c>
      <c r="K95" s="373">
        <v>0</v>
      </c>
      <c r="L95" s="374">
        <f t="shared" si="7"/>
        <v>58297</v>
      </c>
    </row>
    <row r="96" spans="1:12">
      <c r="A96" s="363">
        <v>24</v>
      </c>
      <c r="B96" s="369" t="s">
        <v>80</v>
      </c>
      <c r="C96" s="373">
        <v>4400</v>
      </c>
      <c r="D96" s="373">
        <v>0</v>
      </c>
      <c r="E96" s="373">
        <v>0</v>
      </c>
      <c r="F96" s="373">
        <v>0</v>
      </c>
      <c r="G96" s="373">
        <v>0</v>
      </c>
      <c r="H96" s="373">
        <v>33959</v>
      </c>
      <c r="I96" s="373">
        <v>0</v>
      </c>
      <c r="J96" s="373">
        <v>0</v>
      </c>
      <c r="K96" s="373">
        <v>0</v>
      </c>
      <c r="L96" s="374">
        <f t="shared" si="7"/>
        <v>38359</v>
      </c>
    </row>
    <row r="97" spans="1:12">
      <c r="A97" s="363">
        <v>25</v>
      </c>
      <c r="B97" s="369" t="s">
        <v>464</v>
      </c>
      <c r="C97" s="373">
        <v>5100</v>
      </c>
      <c r="D97" s="373">
        <v>0</v>
      </c>
      <c r="E97" s="373">
        <v>0</v>
      </c>
      <c r="F97" s="373">
        <v>0</v>
      </c>
      <c r="G97" s="373">
        <v>0</v>
      </c>
      <c r="H97" s="373">
        <v>56586</v>
      </c>
      <c r="I97" s="373">
        <v>0</v>
      </c>
      <c r="J97" s="373">
        <v>0</v>
      </c>
      <c r="K97" s="373">
        <v>0</v>
      </c>
      <c r="L97" s="374">
        <f t="shared" si="7"/>
        <v>61686</v>
      </c>
    </row>
    <row r="98" spans="1:12">
      <c r="A98" s="366">
        <v>26</v>
      </c>
      <c r="B98" s="369" t="s">
        <v>82</v>
      </c>
      <c r="C98" s="373">
        <v>9600</v>
      </c>
      <c r="D98" s="373">
        <v>0</v>
      </c>
      <c r="E98" s="373">
        <v>0</v>
      </c>
      <c r="F98" s="373">
        <v>0</v>
      </c>
      <c r="G98" s="373">
        <v>0</v>
      </c>
      <c r="H98" s="373">
        <v>142231</v>
      </c>
      <c r="I98" s="373">
        <v>1000</v>
      </c>
      <c r="J98" s="373">
        <v>0</v>
      </c>
      <c r="K98" s="373">
        <v>0</v>
      </c>
      <c r="L98" s="374">
        <f t="shared" si="7"/>
        <v>152831</v>
      </c>
    </row>
    <row r="99" spans="1:12">
      <c r="A99" s="363">
        <v>27</v>
      </c>
      <c r="B99" s="369" t="s">
        <v>465</v>
      </c>
      <c r="C99" s="373">
        <v>5000</v>
      </c>
      <c r="D99" s="373">
        <v>0</v>
      </c>
      <c r="E99" s="373">
        <v>0</v>
      </c>
      <c r="F99" s="373">
        <v>0</v>
      </c>
      <c r="G99" s="373">
        <v>0</v>
      </c>
      <c r="H99" s="373">
        <v>59038</v>
      </c>
      <c r="I99" s="373">
        <v>1000</v>
      </c>
      <c r="J99" s="373">
        <v>0</v>
      </c>
      <c r="K99" s="373">
        <v>0</v>
      </c>
      <c r="L99" s="374">
        <f t="shared" si="7"/>
        <v>65038</v>
      </c>
    </row>
    <row r="100" spans="1:12">
      <c r="A100" s="363">
        <v>28</v>
      </c>
      <c r="B100" s="369" t="s">
        <v>83</v>
      </c>
      <c r="C100" s="373">
        <v>5150</v>
      </c>
      <c r="D100" s="373">
        <v>0</v>
      </c>
      <c r="E100" s="373">
        <v>0</v>
      </c>
      <c r="F100" s="373">
        <v>0</v>
      </c>
      <c r="G100" s="373">
        <v>0</v>
      </c>
      <c r="H100" s="373">
        <v>65513</v>
      </c>
      <c r="I100" s="373">
        <v>0</v>
      </c>
      <c r="J100" s="373">
        <v>2200</v>
      </c>
      <c r="K100" s="373">
        <v>0</v>
      </c>
      <c r="L100" s="374">
        <f t="shared" si="7"/>
        <v>72863</v>
      </c>
    </row>
    <row r="101" spans="1:12">
      <c r="A101" s="366">
        <v>29</v>
      </c>
      <c r="B101" s="369" t="s">
        <v>466</v>
      </c>
      <c r="C101" s="373">
        <v>4250</v>
      </c>
      <c r="D101" s="373">
        <v>0</v>
      </c>
      <c r="E101" s="373">
        <v>0</v>
      </c>
      <c r="F101" s="373">
        <v>0</v>
      </c>
      <c r="G101" s="373">
        <v>0</v>
      </c>
      <c r="H101" s="373">
        <v>43354</v>
      </c>
      <c r="I101" s="373">
        <v>0</v>
      </c>
      <c r="J101" s="373">
        <v>0</v>
      </c>
      <c r="K101" s="373">
        <v>0</v>
      </c>
      <c r="L101" s="374">
        <f t="shared" si="7"/>
        <v>47604</v>
      </c>
    </row>
    <row r="102" spans="1:12">
      <c r="A102" s="363">
        <v>30</v>
      </c>
      <c r="B102" s="369" t="s">
        <v>85</v>
      </c>
      <c r="C102" s="373">
        <v>5300</v>
      </c>
      <c r="D102" s="373">
        <v>0</v>
      </c>
      <c r="E102" s="373">
        <v>0</v>
      </c>
      <c r="F102" s="373">
        <v>0</v>
      </c>
      <c r="G102" s="373">
        <v>0</v>
      </c>
      <c r="H102" s="373">
        <v>62730</v>
      </c>
      <c r="I102" s="373">
        <v>1000</v>
      </c>
      <c r="J102" s="373">
        <v>0</v>
      </c>
      <c r="K102" s="373">
        <v>0</v>
      </c>
      <c r="L102" s="374">
        <f t="shared" si="7"/>
        <v>69030</v>
      </c>
    </row>
    <row r="103" spans="1:12">
      <c r="A103" s="363">
        <v>31</v>
      </c>
      <c r="B103" s="369" t="s">
        <v>84</v>
      </c>
      <c r="C103" s="373">
        <v>9950</v>
      </c>
      <c r="D103" s="373">
        <v>0</v>
      </c>
      <c r="E103" s="373">
        <v>0</v>
      </c>
      <c r="F103" s="373">
        <v>0</v>
      </c>
      <c r="G103" s="373">
        <v>0</v>
      </c>
      <c r="H103" s="373">
        <v>118862</v>
      </c>
      <c r="I103" s="373">
        <v>1000</v>
      </c>
      <c r="J103" s="373">
        <v>0</v>
      </c>
      <c r="K103" s="373">
        <v>0</v>
      </c>
      <c r="L103" s="374">
        <f t="shared" si="7"/>
        <v>129812</v>
      </c>
    </row>
    <row r="104" spans="1:12">
      <c r="A104" s="366">
        <v>32</v>
      </c>
      <c r="B104" s="369" t="s">
        <v>87</v>
      </c>
      <c r="C104" s="373">
        <v>4900</v>
      </c>
      <c r="D104" s="373">
        <v>0</v>
      </c>
      <c r="E104" s="373">
        <v>0</v>
      </c>
      <c r="F104" s="373">
        <v>0</v>
      </c>
      <c r="G104" s="373">
        <v>0</v>
      </c>
      <c r="H104" s="373">
        <v>61548</v>
      </c>
      <c r="I104" s="373">
        <v>0</v>
      </c>
      <c r="J104" s="373">
        <v>0</v>
      </c>
      <c r="K104" s="373">
        <v>0</v>
      </c>
      <c r="L104" s="374">
        <f t="shared" si="7"/>
        <v>66448</v>
      </c>
    </row>
    <row r="105" spans="1:12">
      <c r="A105" s="363">
        <v>33</v>
      </c>
      <c r="B105" s="369" t="s">
        <v>86</v>
      </c>
      <c r="C105" s="373">
        <v>9600</v>
      </c>
      <c r="D105" s="373">
        <v>0</v>
      </c>
      <c r="E105" s="373">
        <v>0</v>
      </c>
      <c r="F105" s="373">
        <v>0</v>
      </c>
      <c r="G105" s="373">
        <v>0</v>
      </c>
      <c r="H105" s="373">
        <v>85707</v>
      </c>
      <c r="I105" s="373">
        <v>1000</v>
      </c>
      <c r="J105" s="373">
        <v>0</v>
      </c>
      <c r="K105" s="373">
        <v>0</v>
      </c>
      <c r="L105" s="374">
        <f t="shared" si="7"/>
        <v>96307</v>
      </c>
    </row>
    <row r="106" spans="1:12">
      <c r="A106" s="363">
        <v>34</v>
      </c>
      <c r="B106" s="369" t="s">
        <v>89</v>
      </c>
      <c r="C106" s="373">
        <v>4000</v>
      </c>
      <c r="D106" s="373">
        <v>0</v>
      </c>
      <c r="E106" s="373">
        <v>0</v>
      </c>
      <c r="F106" s="373">
        <v>0</v>
      </c>
      <c r="G106" s="373">
        <v>0</v>
      </c>
      <c r="H106" s="373">
        <v>44915</v>
      </c>
      <c r="I106" s="373">
        <v>0</v>
      </c>
      <c r="J106" s="373">
        <v>0</v>
      </c>
      <c r="K106" s="373">
        <v>0</v>
      </c>
      <c r="L106" s="374">
        <f t="shared" si="7"/>
        <v>48915</v>
      </c>
    </row>
    <row r="107" spans="1:12">
      <c r="A107" s="366">
        <v>35</v>
      </c>
      <c r="B107" s="369" t="s">
        <v>88</v>
      </c>
      <c r="C107" s="373">
        <v>9800</v>
      </c>
      <c r="D107" s="373">
        <v>0</v>
      </c>
      <c r="E107" s="373">
        <v>0</v>
      </c>
      <c r="F107" s="373">
        <v>0</v>
      </c>
      <c r="G107" s="373">
        <v>0</v>
      </c>
      <c r="H107" s="373">
        <v>100207</v>
      </c>
      <c r="I107" s="373">
        <v>2000</v>
      </c>
      <c r="J107" s="373">
        <v>0</v>
      </c>
      <c r="K107" s="373">
        <v>0</v>
      </c>
      <c r="L107" s="374">
        <f t="shared" si="7"/>
        <v>112007</v>
      </c>
    </row>
    <row r="108" spans="1:12">
      <c r="A108" s="363">
        <v>36</v>
      </c>
      <c r="B108" s="369" t="s">
        <v>92</v>
      </c>
      <c r="C108" s="373">
        <v>5700</v>
      </c>
      <c r="D108" s="373">
        <v>0</v>
      </c>
      <c r="E108" s="373">
        <v>0</v>
      </c>
      <c r="F108" s="373">
        <v>0</v>
      </c>
      <c r="G108" s="373">
        <v>0</v>
      </c>
      <c r="H108" s="373">
        <v>67387</v>
      </c>
      <c r="I108" s="373">
        <v>0</v>
      </c>
      <c r="J108" s="373">
        <v>0</v>
      </c>
      <c r="K108" s="373">
        <v>0</v>
      </c>
      <c r="L108" s="374">
        <f t="shared" si="7"/>
        <v>73087</v>
      </c>
    </row>
    <row r="109" spans="1:12">
      <c r="A109" s="363">
        <v>37</v>
      </c>
      <c r="B109" s="369" t="s">
        <v>94</v>
      </c>
      <c r="C109" s="373">
        <v>5250</v>
      </c>
      <c r="D109" s="373">
        <v>0</v>
      </c>
      <c r="E109" s="373">
        <v>0</v>
      </c>
      <c r="F109" s="373">
        <v>0</v>
      </c>
      <c r="G109" s="373">
        <v>0</v>
      </c>
      <c r="H109" s="373">
        <v>96743</v>
      </c>
      <c r="I109" s="373">
        <v>2000</v>
      </c>
      <c r="J109" s="373">
        <v>0</v>
      </c>
      <c r="K109" s="373">
        <v>0</v>
      </c>
      <c r="L109" s="374">
        <f t="shared" si="7"/>
        <v>103993</v>
      </c>
    </row>
    <row r="110" spans="1:12">
      <c r="A110" s="366">
        <v>38</v>
      </c>
      <c r="B110" s="369" t="s">
        <v>95</v>
      </c>
      <c r="C110" s="373">
        <v>5050</v>
      </c>
      <c r="D110" s="373">
        <v>0</v>
      </c>
      <c r="E110" s="373">
        <v>0</v>
      </c>
      <c r="F110" s="373">
        <v>0</v>
      </c>
      <c r="G110" s="373">
        <v>0</v>
      </c>
      <c r="H110" s="373">
        <v>77101</v>
      </c>
      <c r="I110" s="373">
        <v>1000</v>
      </c>
      <c r="J110" s="373">
        <v>0</v>
      </c>
      <c r="K110" s="373">
        <v>0</v>
      </c>
      <c r="L110" s="374">
        <f t="shared" si="7"/>
        <v>83151</v>
      </c>
    </row>
    <row r="111" spans="1:12">
      <c r="A111" s="363">
        <v>39</v>
      </c>
      <c r="B111" s="369" t="s">
        <v>96</v>
      </c>
      <c r="C111" s="373">
        <v>9800</v>
      </c>
      <c r="D111" s="373">
        <v>0</v>
      </c>
      <c r="E111" s="373">
        <v>0</v>
      </c>
      <c r="F111" s="373">
        <v>0</v>
      </c>
      <c r="G111" s="373">
        <v>0</v>
      </c>
      <c r="H111" s="373">
        <v>95991</v>
      </c>
      <c r="I111" s="373">
        <v>10000</v>
      </c>
      <c r="J111" s="373">
        <v>0</v>
      </c>
      <c r="K111" s="373">
        <v>0</v>
      </c>
      <c r="L111" s="374">
        <f t="shared" si="7"/>
        <v>115791</v>
      </c>
    </row>
    <row r="112" spans="1:12">
      <c r="A112" s="363">
        <v>40</v>
      </c>
      <c r="B112" s="369" t="s">
        <v>467</v>
      </c>
      <c r="C112" s="373">
        <v>9800</v>
      </c>
      <c r="D112" s="373">
        <v>0</v>
      </c>
      <c r="E112" s="373">
        <v>0</v>
      </c>
      <c r="F112" s="373">
        <v>0</v>
      </c>
      <c r="G112" s="373">
        <v>0</v>
      </c>
      <c r="H112" s="373">
        <v>66120</v>
      </c>
      <c r="I112" s="373">
        <v>1000</v>
      </c>
      <c r="J112" s="373">
        <v>0</v>
      </c>
      <c r="K112" s="373">
        <v>0</v>
      </c>
      <c r="L112" s="374">
        <f t="shared" si="7"/>
        <v>76920</v>
      </c>
    </row>
    <row r="113" spans="1:12">
      <c r="A113" s="366"/>
      <c r="B113" s="370" t="s">
        <v>468</v>
      </c>
      <c r="C113" s="643">
        <f>SUM(C73:C112)</f>
        <v>3914752</v>
      </c>
      <c r="D113" s="643">
        <f t="shared" ref="D113:K113" si="8">SUM(D73:D112)</f>
        <v>206460</v>
      </c>
      <c r="E113" s="643">
        <f t="shared" si="8"/>
        <v>1781288</v>
      </c>
      <c r="F113" s="643">
        <f t="shared" si="8"/>
        <v>467398</v>
      </c>
      <c r="G113" s="643">
        <f t="shared" si="8"/>
        <v>2536978</v>
      </c>
      <c r="H113" s="643">
        <f t="shared" si="8"/>
        <v>31531170</v>
      </c>
      <c r="I113" s="643">
        <f t="shared" si="8"/>
        <v>5375368</v>
      </c>
      <c r="J113" s="643">
        <f t="shared" si="8"/>
        <v>3773643</v>
      </c>
      <c r="K113" s="643">
        <f t="shared" si="8"/>
        <v>198100</v>
      </c>
      <c r="L113" s="374">
        <f t="shared" si="7"/>
        <v>49785157</v>
      </c>
    </row>
    <row r="114" spans="1:12">
      <c r="A114" s="366"/>
      <c r="B114" s="369" t="s">
        <v>469</v>
      </c>
      <c r="C114" s="375"/>
      <c r="D114" s="375"/>
      <c r="E114" s="375"/>
      <c r="F114" s="375"/>
      <c r="G114" s="375"/>
      <c r="H114" s="375"/>
      <c r="I114" s="375"/>
      <c r="J114" s="375"/>
      <c r="K114" s="375"/>
      <c r="L114" s="374"/>
    </row>
    <row r="115" spans="1:12">
      <c r="A115" s="366">
        <f>A112+1</f>
        <v>41</v>
      </c>
      <c r="B115" s="369" t="s">
        <v>75</v>
      </c>
      <c r="C115" s="373">
        <v>23910</v>
      </c>
      <c r="D115" s="373">
        <v>0</v>
      </c>
      <c r="E115" s="373">
        <v>0</v>
      </c>
      <c r="F115" s="373">
        <v>0</v>
      </c>
      <c r="G115" s="373">
        <v>0</v>
      </c>
      <c r="H115" s="373">
        <v>36714</v>
      </c>
      <c r="I115" s="373">
        <v>0</v>
      </c>
      <c r="J115" s="373">
        <v>0</v>
      </c>
      <c r="K115" s="373">
        <v>0</v>
      </c>
      <c r="L115" s="374">
        <f t="shared" si="7"/>
        <v>60624</v>
      </c>
    </row>
    <row r="116" spans="1:12">
      <c r="A116" s="366">
        <f t="shared" ref="A116:A121" si="9">A115+1</f>
        <v>42</v>
      </c>
      <c r="B116" s="369" t="s">
        <v>470</v>
      </c>
      <c r="C116" s="373">
        <v>41321</v>
      </c>
      <c r="D116" s="373">
        <v>0</v>
      </c>
      <c r="E116" s="373">
        <v>0</v>
      </c>
      <c r="F116" s="373">
        <v>0</v>
      </c>
      <c r="G116" s="373">
        <v>0</v>
      </c>
      <c r="H116" s="373">
        <v>78115</v>
      </c>
      <c r="I116" s="373">
        <v>1000</v>
      </c>
      <c r="J116" s="373">
        <v>2500</v>
      </c>
      <c r="K116" s="373">
        <v>0</v>
      </c>
      <c r="L116" s="374">
        <f t="shared" si="7"/>
        <v>122936</v>
      </c>
    </row>
    <row r="117" spans="1:12">
      <c r="A117" s="366">
        <f t="shared" si="9"/>
        <v>43</v>
      </c>
      <c r="B117" s="369" t="s">
        <v>76</v>
      </c>
      <c r="C117" s="373">
        <v>25833</v>
      </c>
      <c r="D117" s="373">
        <v>0</v>
      </c>
      <c r="E117" s="373">
        <v>0</v>
      </c>
      <c r="F117" s="373">
        <v>0</v>
      </c>
      <c r="G117" s="373">
        <v>0</v>
      </c>
      <c r="H117" s="373">
        <v>28912</v>
      </c>
      <c r="I117" s="373">
        <v>0</v>
      </c>
      <c r="J117" s="373">
        <v>0</v>
      </c>
      <c r="K117" s="373">
        <v>0</v>
      </c>
      <c r="L117" s="374">
        <f t="shared" si="7"/>
        <v>54745</v>
      </c>
    </row>
    <row r="118" spans="1:12">
      <c r="A118" s="366">
        <f t="shared" si="9"/>
        <v>44</v>
      </c>
      <c r="B118" s="369" t="s">
        <v>77</v>
      </c>
      <c r="C118" s="373">
        <v>19462</v>
      </c>
      <c r="D118" s="373">
        <v>0</v>
      </c>
      <c r="E118" s="373">
        <v>0</v>
      </c>
      <c r="F118" s="373">
        <v>0</v>
      </c>
      <c r="G118" s="373">
        <v>0</v>
      </c>
      <c r="H118" s="373">
        <v>28515</v>
      </c>
      <c r="I118" s="373">
        <v>0</v>
      </c>
      <c r="J118" s="373">
        <v>0</v>
      </c>
      <c r="K118" s="373">
        <v>0</v>
      </c>
      <c r="L118" s="374">
        <f t="shared" si="7"/>
        <v>47977</v>
      </c>
    </row>
    <row r="119" spans="1:12">
      <c r="A119" s="366">
        <f t="shared" si="9"/>
        <v>45</v>
      </c>
      <c r="B119" s="369" t="s">
        <v>115</v>
      </c>
      <c r="C119" s="373">
        <f>24567+9000</f>
        <v>33567</v>
      </c>
      <c r="D119" s="373">
        <v>0</v>
      </c>
      <c r="E119" s="373">
        <v>0</v>
      </c>
      <c r="F119" s="373">
        <v>0</v>
      </c>
      <c r="G119" s="373">
        <v>0</v>
      </c>
      <c r="H119" s="373">
        <v>22524</v>
      </c>
      <c r="I119" s="373">
        <v>0</v>
      </c>
      <c r="J119" s="373">
        <v>0</v>
      </c>
      <c r="K119" s="373">
        <v>0</v>
      </c>
      <c r="L119" s="374">
        <f t="shared" si="7"/>
        <v>56091</v>
      </c>
    </row>
    <row r="120" spans="1:12">
      <c r="A120" s="366">
        <f t="shared" si="9"/>
        <v>46</v>
      </c>
      <c r="B120" s="369" t="s">
        <v>90</v>
      </c>
      <c r="C120" s="373">
        <v>19291</v>
      </c>
      <c r="D120" s="373">
        <v>0</v>
      </c>
      <c r="E120" s="373">
        <v>0</v>
      </c>
      <c r="F120" s="373">
        <v>0</v>
      </c>
      <c r="G120" s="373">
        <v>0</v>
      </c>
      <c r="H120" s="373">
        <v>28367</v>
      </c>
      <c r="I120" s="373">
        <v>0</v>
      </c>
      <c r="J120" s="373">
        <v>0</v>
      </c>
      <c r="K120" s="373">
        <v>0</v>
      </c>
      <c r="L120" s="374">
        <f t="shared" si="7"/>
        <v>47658</v>
      </c>
    </row>
    <row r="121" spans="1:12">
      <c r="A121" s="366">
        <f t="shared" si="9"/>
        <v>47</v>
      </c>
      <c r="B121" s="369" t="s">
        <v>97</v>
      </c>
      <c r="C121" s="373">
        <v>24567</v>
      </c>
      <c r="D121" s="373">
        <v>0</v>
      </c>
      <c r="E121" s="373">
        <v>0</v>
      </c>
      <c r="F121" s="373">
        <v>0</v>
      </c>
      <c r="G121" s="373">
        <v>0</v>
      </c>
      <c r="H121" s="373">
        <v>25165</v>
      </c>
      <c r="I121" s="373">
        <v>0</v>
      </c>
      <c r="J121" s="373">
        <v>0</v>
      </c>
      <c r="K121" s="373">
        <v>0</v>
      </c>
      <c r="L121" s="374">
        <f t="shared" si="7"/>
        <v>49732</v>
      </c>
    </row>
    <row r="122" spans="1:12">
      <c r="A122" s="366"/>
      <c r="B122" s="370" t="s">
        <v>471</v>
      </c>
      <c r="C122" s="374">
        <f>SUM(C115:C121)</f>
        <v>187951</v>
      </c>
      <c r="D122" s="374">
        <f t="shared" ref="D122:K122" si="10">SUM(D115:D121)</f>
        <v>0</v>
      </c>
      <c r="E122" s="374">
        <f t="shared" si="10"/>
        <v>0</v>
      </c>
      <c r="F122" s="374">
        <f t="shared" si="10"/>
        <v>0</v>
      </c>
      <c r="G122" s="374">
        <f t="shared" si="10"/>
        <v>0</v>
      </c>
      <c r="H122" s="374">
        <f t="shared" si="10"/>
        <v>248312</v>
      </c>
      <c r="I122" s="374">
        <f t="shared" si="10"/>
        <v>1000</v>
      </c>
      <c r="J122" s="374">
        <f t="shared" si="10"/>
        <v>2500</v>
      </c>
      <c r="K122" s="374">
        <f t="shared" si="10"/>
        <v>0</v>
      </c>
      <c r="L122" s="374">
        <f t="shared" si="7"/>
        <v>439763</v>
      </c>
    </row>
    <row r="123" spans="1:12">
      <c r="A123" s="366"/>
      <c r="B123" s="369" t="s">
        <v>472</v>
      </c>
      <c r="C123" s="376"/>
      <c r="D123" s="376"/>
      <c r="E123" s="376"/>
      <c r="F123" s="376"/>
      <c r="G123" s="376"/>
      <c r="H123" s="376"/>
      <c r="I123" s="376"/>
      <c r="J123" s="376"/>
      <c r="K123" s="376"/>
      <c r="L123" s="374"/>
    </row>
    <row r="124" spans="1:12">
      <c r="A124" s="366">
        <f>A121+1</f>
        <v>48</v>
      </c>
      <c r="B124" s="369" t="s">
        <v>78</v>
      </c>
      <c r="C124" s="373">
        <v>142153</v>
      </c>
      <c r="D124" s="373">
        <v>5851</v>
      </c>
      <c r="E124" s="373">
        <v>0</v>
      </c>
      <c r="F124" s="373">
        <v>0</v>
      </c>
      <c r="G124" s="373">
        <v>0</v>
      </c>
      <c r="H124" s="373">
        <v>377615</v>
      </c>
      <c r="I124" s="373">
        <v>102813</v>
      </c>
      <c r="J124" s="373">
        <v>41983</v>
      </c>
      <c r="K124" s="373">
        <v>0</v>
      </c>
      <c r="L124" s="374">
        <f t="shared" si="7"/>
        <v>670415</v>
      </c>
    </row>
    <row r="125" spans="1:12">
      <c r="A125" s="366">
        <f>A124+1</f>
        <v>49</v>
      </c>
      <c r="B125" s="369" t="s">
        <v>81</v>
      </c>
      <c r="C125" s="373">
        <v>207243</v>
      </c>
      <c r="D125" s="373">
        <v>0</v>
      </c>
      <c r="E125" s="373">
        <v>0</v>
      </c>
      <c r="F125" s="373">
        <v>0</v>
      </c>
      <c r="G125" s="373">
        <v>0</v>
      </c>
      <c r="H125" s="373">
        <v>240381</v>
      </c>
      <c r="I125" s="373">
        <v>11400</v>
      </c>
      <c r="J125" s="373">
        <v>60182</v>
      </c>
      <c r="K125" s="373">
        <v>0</v>
      </c>
      <c r="L125" s="374">
        <f t="shared" si="7"/>
        <v>519206</v>
      </c>
    </row>
    <row r="126" spans="1:12">
      <c r="A126" s="366">
        <f>A125+1</f>
        <v>50</v>
      </c>
      <c r="B126" s="369" t="s">
        <v>91</v>
      </c>
      <c r="C126" s="373">
        <v>259762</v>
      </c>
      <c r="D126" s="373">
        <v>19744</v>
      </c>
      <c r="E126" s="373">
        <v>0</v>
      </c>
      <c r="F126" s="373">
        <v>0</v>
      </c>
      <c r="G126" s="373">
        <v>0</v>
      </c>
      <c r="H126" s="373">
        <f>390147+46500</f>
        <v>436647</v>
      </c>
      <c r="I126" s="373">
        <v>40951</v>
      </c>
      <c r="J126" s="373">
        <v>0</v>
      </c>
      <c r="K126" s="373">
        <v>0</v>
      </c>
      <c r="L126" s="374">
        <f t="shared" si="7"/>
        <v>757104</v>
      </c>
    </row>
    <row r="127" spans="1:12">
      <c r="A127" s="366">
        <f>A126+1</f>
        <v>51</v>
      </c>
      <c r="B127" s="369" t="s">
        <v>93</v>
      </c>
      <c r="C127" s="373">
        <v>77224</v>
      </c>
      <c r="D127" s="373">
        <v>0</v>
      </c>
      <c r="E127" s="373">
        <v>0</v>
      </c>
      <c r="F127" s="373">
        <v>0</v>
      </c>
      <c r="G127" s="373">
        <v>0</v>
      </c>
      <c r="H127" s="373">
        <v>233051</v>
      </c>
      <c r="I127" s="373">
        <v>8320</v>
      </c>
      <c r="J127" s="373">
        <v>0</v>
      </c>
      <c r="K127" s="373">
        <v>0</v>
      </c>
      <c r="L127" s="374">
        <f t="shared" si="7"/>
        <v>318595</v>
      </c>
    </row>
    <row r="128" spans="1:12">
      <c r="A128" s="366"/>
      <c r="B128" s="370" t="s">
        <v>473</v>
      </c>
      <c r="C128" s="374">
        <f>SUM(C124:C127)</f>
        <v>686382</v>
      </c>
      <c r="D128" s="374">
        <f t="shared" ref="D128:K128" si="11">SUM(D124:D127)</f>
        <v>25595</v>
      </c>
      <c r="E128" s="374">
        <f t="shared" si="11"/>
        <v>0</v>
      </c>
      <c r="F128" s="374">
        <f t="shared" si="11"/>
        <v>0</v>
      </c>
      <c r="G128" s="374">
        <f t="shared" si="11"/>
        <v>0</v>
      </c>
      <c r="H128" s="374">
        <f t="shared" si="11"/>
        <v>1287694</v>
      </c>
      <c r="I128" s="374">
        <f t="shared" si="11"/>
        <v>163484</v>
      </c>
      <c r="J128" s="374">
        <f t="shared" si="11"/>
        <v>102165</v>
      </c>
      <c r="K128" s="374">
        <f t="shared" si="11"/>
        <v>0</v>
      </c>
      <c r="L128" s="374">
        <f t="shared" si="7"/>
        <v>2265320</v>
      </c>
    </row>
    <row r="129" spans="1:12">
      <c r="A129" s="366"/>
      <c r="B129" s="370" t="s">
        <v>474</v>
      </c>
      <c r="C129" s="374">
        <f>SUM(C113,C122,C128)</f>
        <v>4789085</v>
      </c>
      <c r="D129" s="374">
        <f t="shared" ref="D129:K129" si="12">SUM(D113,D122,D128)</f>
        <v>232055</v>
      </c>
      <c r="E129" s="374">
        <f t="shared" si="12"/>
        <v>1781288</v>
      </c>
      <c r="F129" s="374">
        <f t="shared" si="12"/>
        <v>467398</v>
      </c>
      <c r="G129" s="374">
        <f t="shared" si="12"/>
        <v>2536978</v>
      </c>
      <c r="H129" s="374">
        <f t="shared" si="12"/>
        <v>33067176</v>
      </c>
      <c r="I129" s="374">
        <f t="shared" si="12"/>
        <v>5539852</v>
      </c>
      <c r="J129" s="374">
        <f t="shared" si="12"/>
        <v>3878308</v>
      </c>
      <c r="K129" s="374">
        <f t="shared" si="12"/>
        <v>198100</v>
      </c>
      <c r="L129" s="374">
        <f t="shared" si="7"/>
        <v>52490240</v>
      </c>
    </row>
    <row r="130" spans="1:12">
      <c r="J130" s="355"/>
    </row>
    <row r="131" spans="1:12">
      <c r="L131" s="377" t="s">
        <v>1085</v>
      </c>
    </row>
    <row r="135" spans="1:12">
      <c r="A135" s="349" t="s">
        <v>1087</v>
      </c>
      <c r="B135" s="359"/>
    </row>
    <row r="136" spans="1:12">
      <c r="A136" s="349"/>
      <c r="B136" s="359"/>
    </row>
    <row r="137" spans="1:12" ht="24">
      <c r="A137" s="361" t="s">
        <v>424</v>
      </c>
      <c r="B137" s="362" t="s">
        <v>439</v>
      </c>
      <c r="C137" s="361" t="s">
        <v>440</v>
      </c>
      <c r="D137" s="361" t="s">
        <v>441</v>
      </c>
      <c r="E137" s="361" t="s">
        <v>442</v>
      </c>
      <c r="F137" s="361" t="s">
        <v>443</v>
      </c>
      <c r="G137" s="361" t="s">
        <v>444</v>
      </c>
      <c r="H137" s="361" t="s">
        <v>445</v>
      </c>
      <c r="I137" s="361" t="s">
        <v>446</v>
      </c>
      <c r="J137" s="361" t="s">
        <v>447</v>
      </c>
      <c r="K137" s="361" t="s">
        <v>448</v>
      </c>
      <c r="L137" s="372" t="s">
        <v>449</v>
      </c>
    </row>
    <row r="138" spans="1:12" ht="24">
      <c r="A138" s="363">
        <v>1</v>
      </c>
      <c r="B138" s="364" t="s">
        <v>1293</v>
      </c>
      <c r="C138" s="373">
        <v>0</v>
      </c>
      <c r="D138" s="373">
        <v>0</v>
      </c>
      <c r="E138" s="373">
        <v>48055455</v>
      </c>
      <c r="F138" s="373">
        <v>0</v>
      </c>
      <c r="G138" s="373">
        <v>0</v>
      </c>
      <c r="H138" s="373">
        <v>0</v>
      </c>
      <c r="I138" s="373">
        <v>830109</v>
      </c>
      <c r="J138" s="373">
        <v>0</v>
      </c>
      <c r="K138" s="373">
        <v>0</v>
      </c>
      <c r="L138" s="374">
        <f>SUM(C138:K138)</f>
        <v>48885564</v>
      </c>
    </row>
    <row r="139" spans="1:12">
      <c r="A139" s="366">
        <v>2</v>
      </c>
      <c r="B139" s="367" t="s">
        <v>450</v>
      </c>
      <c r="C139" s="373">
        <v>0</v>
      </c>
      <c r="D139" s="373">
        <v>0</v>
      </c>
      <c r="E139" s="373">
        <v>0</v>
      </c>
      <c r="F139" s="373">
        <v>0</v>
      </c>
      <c r="G139" s="373">
        <v>0</v>
      </c>
      <c r="H139" s="373">
        <v>0</v>
      </c>
      <c r="I139" s="373">
        <v>0</v>
      </c>
      <c r="J139" s="373">
        <v>0</v>
      </c>
      <c r="K139" s="373">
        <v>0</v>
      </c>
      <c r="L139" s="374">
        <f t="shared" ref="L139:L194" si="13">SUM(C139:K139)</f>
        <v>0</v>
      </c>
    </row>
    <row r="140" spans="1:12">
      <c r="A140" s="363">
        <v>3</v>
      </c>
      <c r="B140" s="367" t="s">
        <v>451</v>
      </c>
      <c r="C140" s="373">
        <v>0</v>
      </c>
      <c r="D140" s="373">
        <v>0</v>
      </c>
      <c r="E140" s="373">
        <v>0</v>
      </c>
      <c r="F140" s="373">
        <v>0</v>
      </c>
      <c r="G140" s="373">
        <v>0</v>
      </c>
      <c r="H140" s="373">
        <v>0</v>
      </c>
      <c r="I140" s="373">
        <v>0</v>
      </c>
      <c r="J140" s="373">
        <v>0</v>
      </c>
      <c r="K140" s="373">
        <v>0</v>
      </c>
      <c r="L140" s="374">
        <f t="shared" si="13"/>
        <v>0</v>
      </c>
    </row>
    <row r="141" spans="1:12">
      <c r="A141" s="363">
        <v>4</v>
      </c>
      <c r="B141" s="367" t="s">
        <v>452</v>
      </c>
      <c r="C141" s="373">
        <v>0</v>
      </c>
      <c r="D141" s="373">
        <v>0</v>
      </c>
      <c r="E141" s="373">
        <v>0</v>
      </c>
      <c r="F141" s="373">
        <v>0</v>
      </c>
      <c r="G141" s="373">
        <v>0</v>
      </c>
      <c r="H141" s="373">
        <v>0</v>
      </c>
      <c r="I141" s="373">
        <v>0</v>
      </c>
      <c r="J141" s="373">
        <v>0</v>
      </c>
      <c r="K141" s="373">
        <v>0</v>
      </c>
      <c r="L141" s="374">
        <f t="shared" si="13"/>
        <v>0</v>
      </c>
    </row>
    <row r="142" spans="1:12">
      <c r="A142" s="366">
        <v>5</v>
      </c>
      <c r="B142" s="367" t="s">
        <v>453</v>
      </c>
      <c r="C142" s="373">
        <v>0</v>
      </c>
      <c r="D142" s="373">
        <v>0</v>
      </c>
      <c r="E142" s="373">
        <v>0</v>
      </c>
      <c r="F142" s="373">
        <v>0</v>
      </c>
      <c r="G142" s="373">
        <v>0</v>
      </c>
      <c r="H142" s="373">
        <v>0</v>
      </c>
      <c r="I142" s="373">
        <v>0</v>
      </c>
      <c r="J142" s="373">
        <v>0</v>
      </c>
      <c r="K142" s="373">
        <v>0</v>
      </c>
      <c r="L142" s="374">
        <f t="shared" si="13"/>
        <v>0</v>
      </c>
    </row>
    <row r="143" spans="1:12">
      <c r="A143" s="363">
        <v>6</v>
      </c>
      <c r="B143" s="367" t="s">
        <v>454</v>
      </c>
      <c r="C143" s="373">
        <v>0</v>
      </c>
      <c r="D143" s="373">
        <v>17947</v>
      </c>
      <c r="E143" s="373">
        <v>0</v>
      </c>
      <c r="F143" s="373">
        <v>6176478</v>
      </c>
      <c r="G143" s="373">
        <v>13740196</v>
      </c>
      <c r="H143" s="373">
        <v>0</v>
      </c>
      <c r="I143" s="373">
        <v>0</v>
      </c>
      <c r="J143" s="373">
        <v>0</v>
      </c>
      <c r="K143" s="373">
        <v>0</v>
      </c>
      <c r="L143" s="374">
        <f t="shared" si="13"/>
        <v>19934621</v>
      </c>
    </row>
    <row r="144" spans="1:12">
      <c r="A144" s="363">
        <v>7</v>
      </c>
      <c r="B144" s="367" t="s">
        <v>455</v>
      </c>
      <c r="C144" s="373">
        <v>0</v>
      </c>
      <c r="D144" s="373">
        <v>0</v>
      </c>
      <c r="E144" s="373">
        <v>0</v>
      </c>
      <c r="F144" s="373">
        <v>0</v>
      </c>
      <c r="G144" s="373">
        <v>0</v>
      </c>
      <c r="H144" s="373">
        <v>0</v>
      </c>
      <c r="I144" s="373">
        <v>592890</v>
      </c>
      <c r="J144" s="373">
        <v>0</v>
      </c>
      <c r="K144" s="373">
        <v>0</v>
      </c>
      <c r="L144" s="374">
        <f t="shared" si="13"/>
        <v>592890</v>
      </c>
    </row>
    <row r="145" spans="1:12" ht="24">
      <c r="A145" s="366">
        <v>8</v>
      </c>
      <c r="B145" s="367" t="s">
        <v>1294</v>
      </c>
      <c r="C145" s="373">
        <v>0</v>
      </c>
      <c r="D145" s="373">
        <v>0</v>
      </c>
      <c r="E145" s="373">
        <v>0</v>
      </c>
      <c r="F145" s="373">
        <v>0</v>
      </c>
      <c r="G145" s="373">
        <v>0</v>
      </c>
      <c r="H145" s="373">
        <v>0</v>
      </c>
      <c r="I145" s="373">
        <v>7639231</v>
      </c>
      <c r="J145" s="373">
        <v>0</v>
      </c>
      <c r="K145" s="373">
        <v>0</v>
      </c>
      <c r="L145" s="374">
        <f t="shared" si="13"/>
        <v>7639231</v>
      </c>
    </row>
    <row r="146" spans="1:12">
      <c r="A146" s="363">
        <v>9</v>
      </c>
      <c r="B146" s="367" t="s">
        <v>456</v>
      </c>
      <c r="C146" s="373">
        <v>0</v>
      </c>
      <c r="D146" s="373">
        <v>0</v>
      </c>
      <c r="E146" s="373">
        <v>0</v>
      </c>
      <c r="F146" s="373">
        <v>0</v>
      </c>
      <c r="G146" s="373">
        <v>0</v>
      </c>
      <c r="H146" s="373">
        <v>0</v>
      </c>
      <c r="I146" s="373">
        <v>533300</v>
      </c>
      <c r="J146" s="373">
        <v>0</v>
      </c>
      <c r="K146" s="373">
        <v>0</v>
      </c>
      <c r="L146" s="374">
        <f t="shared" si="13"/>
        <v>533300</v>
      </c>
    </row>
    <row r="147" spans="1:12">
      <c r="A147" s="363">
        <v>10</v>
      </c>
      <c r="B147" s="367" t="s">
        <v>457</v>
      </c>
      <c r="C147" s="373">
        <v>0</v>
      </c>
      <c r="D147" s="373">
        <v>0</v>
      </c>
      <c r="E147" s="373">
        <v>0</v>
      </c>
      <c r="F147" s="373">
        <v>0</v>
      </c>
      <c r="G147" s="373">
        <v>0</v>
      </c>
      <c r="H147" s="373">
        <v>0</v>
      </c>
      <c r="I147" s="373">
        <v>412309</v>
      </c>
      <c r="J147" s="373">
        <v>0</v>
      </c>
      <c r="K147" s="373">
        <v>0</v>
      </c>
      <c r="L147" s="374">
        <f t="shared" si="13"/>
        <v>412309</v>
      </c>
    </row>
    <row r="148" spans="1:12">
      <c r="A148" s="366">
        <v>11</v>
      </c>
      <c r="B148" s="367" t="s">
        <v>458</v>
      </c>
      <c r="C148" s="373">
        <v>0</v>
      </c>
      <c r="D148" s="373">
        <v>0</v>
      </c>
      <c r="E148" s="373">
        <v>0</v>
      </c>
      <c r="F148" s="373">
        <v>0</v>
      </c>
      <c r="G148" s="373">
        <v>0</v>
      </c>
      <c r="H148" s="373">
        <v>0</v>
      </c>
      <c r="I148" s="373">
        <v>0</v>
      </c>
      <c r="J148" s="373">
        <v>146059</v>
      </c>
      <c r="K148" s="373">
        <v>0</v>
      </c>
      <c r="L148" s="374">
        <f t="shared" si="13"/>
        <v>146059</v>
      </c>
    </row>
    <row r="149" spans="1:12">
      <c r="A149" s="363">
        <v>12</v>
      </c>
      <c r="B149" s="367" t="s">
        <v>459</v>
      </c>
      <c r="C149" s="373">
        <v>0</v>
      </c>
      <c r="D149" s="373">
        <v>0</v>
      </c>
      <c r="E149" s="373">
        <v>0</v>
      </c>
      <c r="F149" s="373">
        <v>0</v>
      </c>
      <c r="G149" s="373">
        <v>0</v>
      </c>
      <c r="H149" s="373">
        <v>3810544</v>
      </c>
      <c r="I149" s="373">
        <v>0</v>
      </c>
      <c r="J149" s="373">
        <v>0</v>
      </c>
      <c r="K149" s="373">
        <v>0</v>
      </c>
      <c r="L149" s="374">
        <f t="shared" si="13"/>
        <v>3810544</v>
      </c>
    </row>
    <row r="150" spans="1:12">
      <c r="A150" s="363">
        <v>13</v>
      </c>
      <c r="B150" s="367" t="s">
        <v>460</v>
      </c>
      <c r="C150" s="373">
        <v>0</v>
      </c>
      <c r="D150" s="373">
        <v>0</v>
      </c>
      <c r="E150" s="373">
        <v>0</v>
      </c>
      <c r="F150" s="373">
        <v>0</v>
      </c>
      <c r="G150" s="373">
        <v>0</v>
      </c>
      <c r="H150" s="373">
        <v>0</v>
      </c>
      <c r="I150" s="373">
        <v>0</v>
      </c>
      <c r="J150" s="373">
        <v>400378</v>
      </c>
      <c r="K150" s="373">
        <v>0</v>
      </c>
      <c r="L150" s="374">
        <f t="shared" si="13"/>
        <v>400378</v>
      </c>
    </row>
    <row r="151" spans="1:12">
      <c r="A151" s="366">
        <v>14</v>
      </c>
      <c r="B151" s="367" t="s">
        <v>461</v>
      </c>
      <c r="C151" s="373">
        <v>0</v>
      </c>
      <c r="D151" s="373">
        <v>0</v>
      </c>
      <c r="E151" s="373">
        <v>0</v>
      </c>
      <c r="F151" s="373">
        <v>0</v>
      </c>
      <c r="G151" s="373">
        <v>0</v>
      </c>
      <c r="H151" s="373">
        <v>0</v>
      </c>
      <c r="I151" s="373">
        <v>0</v>
      </c>
      <c r="J151" s="373">
        <v>159800</v>
      </c>
      <c r="K151" s="373">
        <v>0</v>
      </c>
      <c r="L151" s="374">
        <f t="shared" si="13"/>
        <v>159800</v>
      </c>
    </row>
    <row r="152" spans="1:12">
      <c r="A152" s="363">
        <v>15</v>
      </c>
      <c r="B152" s="369" t="s">
        <v>462</v>
      </c>
      <c r="C152" s="373">
        <f>8876895-9000</f>
        <v>8867895</v>
      </c>
      <c r="D152" s="373">
        <v>1200842</v>
      </c>
      <c r="E152" s="373">
        <v>469340</v>
      </c>
      <c r="F152" s="373">
        <v>376134</v>
      </c>
      <c r="G152" s="373">
        <v>421230</v>
      </c>
      <c r="H152" s="373">
        <f>25950321-46500</f>
        <v>25903821</v>
      </c>
      <c r="I152" s="373">
        <v>623209</v>
      </c>
      <c r="J152" s="373">
        <v>3176925</v>
      </c>
      <c r="K152" s="373">
        <v>198100</v>
      </c>
      <c r="L152" s="374">
        <f t="shared" si="13"/>
        <v>41237496</v>
      </c>
    </row>
    <row r="153" spans="1:12">
      <c r="A153" s="363">
        <v>16</v>
      </c>
      <c r="B153" s="369" t="s">
        <v>68</v>
      </c>
      <c r="C153" s="373">
        <v>53287</v>
      </c>
      <c r="D153" s="373">
        <v>110</v>
      </c>
      <c r="E153" s="373">
        <v>0</v>
      </c>
      <c r="F153" s="373">
        <v>0</v>
      </c>
      <c r="G153" s="373">
        <v>0</v>
      </c>
      <c r="H153" s="373">
        <v>117708</v>
      </c>
      <c r="I153" s="373">
        <v>1000</v>
      </c>
      <c r="J153" s="373">
        <v>0</v>
      </c>
      <c r="K153" s="373">
        <v>0</v>
      </c>
      <c r="L153" s="374">
        <f t="shared" si="13"/>
        <v>172105</v>
      </c>
    </row>
    <row r="154" spans="1:12">
      <c r="A154" s="366">
        <v>17</v>
      </c>
      <c r="B154" s="369" t="s">
        <v>69</v>
      </c>
      <c r="C154" s="373">
        <v>54907</v>
      </c>
      <c r="D154" s="373">
        <v>1320</v>
      </c>
      <c r="E154" s="373">
        <v>0</v>
      </c>
      <c r="F154" s="373">
        <v>0</v>
      </c>
      <c r="G154" s="373">
        <v>0</v>
      </c>
      <c r="H154" s="373">
        <v>104600</v>
      </c>
      <c r="I154" s="373">
        <v>1000</v>
      </c>
      <c r="J154" s="373">
        <v>0</v>
      </c>
      <c r="K154" s="373">
        <v>0</v>
      </c>
      <c r="L154" s="374">
        <f t="shared" si="13"/>
        <v>161827</v>
      </c>
    </row>
    <row r="155" spans="1:12">
      <c r="A155" s="363">
        <v>18</v>
      </c>
      <c r="B155" s="369" t="s">
        <v>70</v>
      </c>
      <c r="C155" s="373">
        <v>53846</v>
      </c>
      <c r="D155" s="373">
        <v>110</v>
      </c>
      <c r="E155" s="373">
        <v>0</v>
      </c>
      <c r="F155" s="373">
        <v>0</v>
      </c>
      <c r="G155" s="373">
        <v>0</v>
      </c>
      <c r="H155" s="373">
        <v>93561</v>
      </c>
      <c r="I155" s="373">
        <v>1000</v>
      </c>
      <c r="J155" s="373">
        <v>0</v>
      </c>
      <c r="K155" s="373">
        <v>0</v>
      </c>
      <c r="L155" s="374">
        <f t="shared" si="13"/>
        <v>148517</v>
      </c>
    </row>
    <row r="156" spans="1:12">
      <c r="A156" s="363">
        <v>19</v>
      </c>
      <c r="B156" s="369" t="s">
        <v>71</v>
      </c>
      <c r="C156" s="373">
        <v>24105</v>
      </c>
      <c r="D156" s="373">
        <v>150</v>
      </c>
      <c r="E156" s="373">
        <v>0</v>
      </c>
      <c r="F156" s="373">
        <v>0</v>
      </c>
      <c r="G156" s="373">
        <v>0</v>
      </c>
      <c r="H156" s="373">
        <v>21976</v>
      </c>
      <c r="I156" s="373">
        <v>0</v>
      </c>
      <c r="J156" s="373">
        <v>0</v>
      </c>
      <c r="K156" s="373">
        <v>0</v>
      </c>
      <c r="L156" s="374">
        <f t="shared" si="13"/>
        <v>46231</v>
      </c>
    </row>
    <row r="157" spans="1:12">
      <c r="A157" s="366">
        <v>20</v>
      </c>
      <c r="B157" s="369" t="s">
        <v>72</v>
      </c>
      <c r="C157" s="373">
        <v>24025</v>
      </c>
      <c r="D157" s="373">
        <v>250</v>
      </c>
      <c r="E157" s="373">
        <v>0</v>
      </c>
      <c r="F157" s="373">
        <v>0</v>
      </c>
      <c r="G157" s="373">
        <v>0</v>
      </c>
      <c r="H157" s="373">
        <v>58564</v>
      </c>
      <c r="I157" s="373">
        <v>0</v>
      </c>
      <c r="J157" s="373">
        <v>700</v>
      </c>
      <c r="K157" s="373">
        <v>0</v>
      </c>
      <c r="L157" s="374">
        <f t="shared" si="13"/>
        <v>83539</v>
      </c>
    </row>
    <row r="158" spans="1:12">
      <c r="A158" s="363">
        <v>21</v>
      </c>
      <c r="B158" s="369" t="s">
        <v>463</v>
      </c>
      <c r="C158" s="373">
        <v>20066</v>
      </c>
      <c r="D158" s="373">
        <v>150</v>
      </c>
      <c r="E158" s="373">
        <v>0</v>
      </c>
      <c r="F158" s="373">
        <v>0</v>
      </c>
      <c r="G158" s="373">
        <v>0</v>
      </c>
      <c r="H158" s="373">
        <v>40348</v>
      </c>
      <c r="I158" s="373">
        <v>0</v>
      </c>
      <c r="J158" s="373">
        <v>0</v>
      </c>
      <c r="K158" s="373">
        <v>0</v>
      </c>
      <c r="L158" s="374">
        <f t="shared" si="13"/>
        <v>60564</v>
      </c>
    </row>
    <row r="159" spans="1:12">
      <c r="A159" s="363">
        <v>22</v>
      </c>
      <c r="B159" s="369" t="s">
        <v>74</v>
      </c>
      <c r="C159" s="373">
        <v>45252</v>
      </c>
      <c r="D159" s="373">
        <v>150</v>
      </c>
      <c r="E159" s="373">
        <v>0</v>
      </c>
      <c r="F159" s="373">
        <v>0</v>
      </c>
      <c r="G159" s="373">
        <v>0</v>
      </c>
      <c r="H159" s="373">
        <v>48409</v>
      </c>
      <c r="I159" s="373">
        <v>0</v>
      </c>
      <c r="J159" s="373">
        <v>0</v>
      </c>
      <c r="K159" s="373">
        <v>0</v>
      </c>
      <c r="L159" s="374">
        <f t="shared" si="13"/>
        <v>93811</v>
      </c>
    </row>
    <row r="160" spans="1:12">
      <c r="A160" s="366">
        <v>23</v>
      </c>
      <c r="B160" s="369" t="s">
        <v>79</v>
      </c>
      <c r="C160" s="373">
        <v>41149</v>
      </c>
      <c r="D160" s="373">
        <v>250</v>
      </c>
      <c r="E160" s="373">
        <v>0</v>
      </c>
      <c r="F160" s="373">
        <v>0</v>
      </c>
      <c r="G160" s="373">
        <v>0</v>
      </c>
      <c r="H160" s="373">
        <v>53647</v>
      </c>
      <c r="I160" s="373">
        <v>0</v>
      </c>
      <c r="J160" s="373">
        <v>0</v>
      </c>
      <c r="K160" s="373">
        <v>0</v>
      </c>
      <c r="L160" s="374">
        <f t="shared" si="13"/>
        <v>95046</v>
      </c>
    </row>
    <row r="161" spans="1:12">
      <c r="A161" s="363">
        <v>24</v>
      </c>
      <c r="B161" s="369" t="s">
        <v>80</v>
      </c>
      <c r="C161" s="373">
        <v>24788</v>
      </c>
      <c r="D161" s="373">
        <v>180</v>
      </c>
      <c r="E161" s="373">
        <v>0</v>
      </c>
      <c r="F161" s="373">
        <v>0</v>
      </c>
      <c r="G161" s="373">
        <v>0</v>
      </c>
      <c r="H161" s="373">
        <v>33959</v>
      </c>
      <c r="I161" s="373">
        <v>0</v>
      </c>
      <c r="J161" s="373">
        <v>0</v>
      </c>
      <c r="K161" s="373">
        <v>0</v>
      </c>
      <c r="L161" s="374">
        <f t="shared" si="13"/>
        <v>58927</v>
      </c>
    </row>
    <row r="162" spans="1:12">
      <c r="A162" s="363">
        <v>25</v>
      </c>
      <c r="B162" s="369" t="s">
        <v>464</v>
      </c>
      <c r="C162" s="373">
        <v>41599</v>
      </c>
      <c r="D162" s="373">
        <v>180</v>
      </c>
      <c r="E162" s="373">
        <v>0</v>
      </c>
      <c r="F162" s="373">
        <v>0</v>
      </c>
      <c r="G162" s="373">
        <v>0</v>
      </c>
      <c r="H162" s="373">
        <v>56586</v>
      </c>
      <c r="I162" s="373">
        <v>0</v>
      </c>
      <c r="J162" s="373">
        <v>0</v>
      </c>
      <c r="K162" s="373">
        <v>0</v>
      </c>
      <c r="L162" s="374">
        <f t="shared" si="13"/>
        <v>98365</v>
      </c>
    </row>
    <row r="163" spans="1:12">
      <c r="A163" s="366">
        <v>26</v>
      </c>
      <c r="B163" s="369" t="s">
        <v>82</v>
      </c>
      <c r="C163" s="373">
        <v>50818</v>
      </c>
      <c r="D163" s="373">
        <v>150</v>
      </c>
      <c r="E163" s="373">
        <v>0</v>
      </c>
      <c r="F163" s="373">
        <v>0</v>
      </c>
      <c r="G163" s="373">
        <v>0</v>
      </c>
      <c r="H163" s="373">
        <v>142231</v>
      </c>
      <c r="I163" s="373">
        <v>1000</v>
      </c>
      <c r="J163" s="373">
        <v>0</v>
      </c>
      <c r="K163" s="373">
        <v>0</v>
      </c>
      <c r="L163" s="374">
        <f t="shared" si="13"/>
        <v>194199</v>
      </c>
    </row>
    <row r="164" spans="1:12">
      <c r="A164" s="363">
        <v>27</v>
      </c>
      <c r="B164" s="369" t="s">
        <v>465</v>
      </c>
      <c r="C164" s="373">
        <v>46284</v>
      </c>
      <c r="D164" s="373">
        <v>150</v>
      </c>
      <c r="E164" s="373">
        <v>0</v>
      </c>
      <c r="F164" s="373">
        <v>0</v>
      </c>
      <c r="G164" s="373">
        <v>0</v>
      </c>
      <c r="H164" s="373">
        <v>59038</v>
      </c>
      <c r="I164" s="373">
        <v>1000</v>
      </c>
      <c r="J164" s="373">
        <v>0</v>
      </c>
      <c r="K164" s="373">
        <v>0</v>
      </c>
      <c r="L164" s="374">
        <f t="shared" si="13"/>
        <v>106472</v>
      </c>
    </row>
    <row r="165" spans="1:12">
      <c r="A165" s="363">
        <v>28</v>
      </c>
      <c r="B165" s="369" t="s">
        <v>83</v>
      </c>
      <c r="C165" s="373">
        <v>44661</v>
      </c>
      <c r="D165" s="373">
        <v>110</v>
      </c>
      <c r="E165" s="373">
        <v>0</v>
      </c>
      <c r="F165" s="373">
        <v>0</v>
      </c>
      <c r="G165" s="373">
        <v>0</v>
      </c>
      <c r="H165" s="373">
        <v>65513</v>
      </c>
      <c r="I165" s="373">
        <v>0</v>
      </c>
      <c r="J165" s="373">
        <v>2200</v>
      </c>
      <c r="K165" s="373">
        <v>0</v>
      </c>
      <c r="L165" s="374">
        <f t="shared" si="13"/>
        <v>112484</v>
      </c>
    </row>
    <row r="166" spans="1:12">
      <c r="A166" s="366">
        <v>29</v>
      </c>
      <c r="B166" s="369" t="s">
        <v>466</v>
      </c>
      <c r="C166" s="373">
        <v>23180</v>
      </c>
      <c r="D166" s="373">
        <v>210</v>
      </c>
      <c r="E166" s="373">
        <v>0</v>
      </c>
      <c r="F166" s="373">
        <v>0</v>
      </c>
      <c r="G166" s="373">
        <v>0</v>
      </c>
      <c r="H166" s="373">
        <v>43354</v>
      </c>
      <c r="I166" s="373">
        <v>0</v>
      </c>
      <c r="J166" s="373">
        <v>0</v>
      </c>
      <c r="K166" s="373">
        <v>0</v>
      </c>
      <c r="L166" s="374">
        <f t="shared" si="13"/>
        <v>66744</v>
      </c>
    </row>
    <row r="167" spans="1:12">
      <c r="A167" s="363">
        <v>30</v>
      </c>
      <c r="B167" s="369" t="s">
        <v>85</v>
      </c>
      <c r="C167" s="373">
        <v>38804</v>
      </c>
      <c r="D167" s="373">
        <v>110</v>
      </c>
      <c r="E167" s="373">
        <v>0</v>
      </c>
      <c r="F167" s="373">
        <v>0</v>
      </c>
      <c r="G167" s="373">
        <v>0</v>
      </c>
      <c r="H167" s="373">
        <v>62730</v>
      </c>
      <c r="I167" s="373">
        <v>1000</v>
      </c>
      <c r="J167" s="373">
        <v>0</v>
      </c>
      <c r="K167" s="373">
        <v>0</v>
      </c>
      <c r="L167" s="374">
        <f t="shared" si="13"/>
        <v>102644</v>
      </c>
    </row>
    <row r="168" spans="1:12">
      <c r="A168" s="363">
        <v>31</v>
      </c>
      <c r="B168" s="369" t="s">
        <v>84</v>
      </c>
      <c r="C168" s="373">
        <v>66999</v>
      </c>
      <c r="D168" s="373">
        <v>320</v>
      </c>
      <c r="E168" s="373">
        <v>0</v>
      </c>
      <c r="F168" s="373">
        <v>0</v>
      </c>
      <c r="G168" s="373">
        <v>0</v>
      </c>
      <c r="H168" s="373">
        <v>118862</v>
      </c>
      <c r="I168" s="373">
        <v>1000</v>
      </c>
      <c r="J168" s="373">
        <v>0</v>
      </c>
      <c r="K168" s="373">
        <v>0</v>
      </c>
      <c r="L168" s="374">
        <f t="shared" si="13"/>
        <v>187181</v>
      </c>
    </row>
    <row r="169" spans="1:12">
      <c r="A169" s="366">
        <v>32</v>
      </c>
      <c r="B169" s="369" t="s">
        <v>87</v>
      </c>
      <c r="C169" s="373">
        <v>45830</v>
      </c>
      <c r="D169" s="373">
        <v>110</v>
      </c>
      <c r="E169" s="373">
        <v>0</v>
      </c>
      <c r="F169" s="373">
        <v>0</v>
      </c>
      <c r="G169" s="373">
        <v>0</v>
      </c>
      <c r="H169" s="373">
        <v>61548</v>
      </c>
      <c r="I169" s="373">
        <v>0</v>
      </c>
      <c r="J169" s="373">
        <v>0</v>
      </c>
      <c r="K169" s="373">
        <v>0</v>
      </c>
      <c r="L169" s="374">
        <f t="shared" si="13"/>
        <v>107488</v>
      </c>
    </row>
    <row r="170" spans="1:12">
      <c r="A170" s="363">
        <v>33</v>
      </c>
      <c r="B170" s="369" t="s">
        <v>86</v>
      </c>
      <c r="C170" s="373">
        <v>56228</v>
      </c>
      <c r="D170" s="373">
        <v>180</v>
      </c>
      <c r="E170" s="373">
        <v>0</v>
      </c>
      <c r="F170" s="373">
        <v>0</v>
      </c>
      <c r="G170" s="373">
        <v>0</v>
      </c>
      <c r="H170" s="373">
        <v>85707</v>
      </c>
      <c r="I170" s="373">
        <v>1000</v>
      </c>
      <c r="J170" s="373">
        <v>0</v>
      </c>
      <c r="K170" s="373">
        <v>0</v>
      </c>
      <c r="L170" s="374">
        <f t="shared" si="13"/>
        <v>143115</v>
      </c>
    </row>
    <row r="171" spans="1:12">
      <c r="A171" s="363">
        <v>34</v>
      </c>
      <c r="B171" s="369" t="s">
        <v>89</v>
      </c>
      <c r="C171" s="373">
        <v>24972</v>
      </c>
      <c r="D171" s="373">
        <v>150</v>
      </c>
      <c r="E171" s="373">
        <v>0</v>
      </c>
      <c r="F171" s="373">
        <v>0</v>
      </c>
      <c r="G171" s="373">
        <v>0</v>
      </c>
      <c r="H171" s="373">
        <v>44915</v>
      </c>
      <c r="I171" s="373">
        <v>0</v>
      </c>
      <c r="J171" s="373">
        <v>0</v>
      </c>
      <c r="K171" s="373">
        <v>0</v>
      </c>
      <c r="L171" s="374">
        <f t="shared" si="13"/>
        <v>70037</v>
      </c>
    </row>
    <row r="172" spans="1:12">
      <c r="A172" s="366">
        <v>35</v>
      </c>
      <c r="B172" s="369" t="s">
        <v>88</v>
      </c>
      <c r="C172" s="373">
        <v>56860</v>
      </c>
      <c r="D172" s="373">
        <v>180</v>
      </c>
      <c r="E172" s="373">
        <v>0</v>
      </c>
      <c r="F172" s="373">
        <v>0</v>
      </c>
      <c r="G172" s="373">
        <v>0</v>
      </c>
      <c r="H172" s="373">
        <v>100207</v>
      </c>
      <c r="I172" s="373">
        <v>2000</v>
      </c>
      <c r="J172" s="373">
        <v>0</v>
      </c>
      <c r="K172" s="373">
        <v>0</v>
      </c>
      <c r="L172" s="374">
        <f t="shared" si="13"/>
        <v>159247</v>
      </c>
    </row>
    <row r="173" spans="1:12">
      <c r="A173" s="363">
        <v>36</v>
      </c>
      <c r="B173" s="369" t="s">
        <v>92</v>
      </c>
      <c r="C173" s="373">
        <v>42746</v>
      </c>
      <c r="D173" s="373">
        <v>180</v>
      </c>
      <c r="E173" s="373">
        <v>0</v>
      </c>
      <c r="F173" s="373">
        <v>0</v>
      </c>
      <c r="G173" s="373">
        <v>0</v>
      </c>
      <c r="H173" s="373">
        <v>67387</v>
      </c>
      <c r="I173" s="373">
        <v>0</v>
      </c>
      <c r="J173" s="373">
        <v>0</v>
      </c>
      <c r="K173" s="373">
        <v>0</v>
      </c>
      <c r="L173" s="374">
        <f t="shared" si="13"/>
        <v>110313</v>
      </c>
    </row>
    <row r="174" spans="1:12">
      <c r="A174" s="363">
        <v>37</v>
      </c>
      <c r="B174" s="369" t="s">
        <v>94</v>
      </c>
      <c r="C174" s="373">
        <v>41925</v>
      </c>
      <c r="D174" s="373">
        <v>250</v>
      </c>
      <c r="E174" s="373">
        <v>0</v>
      </c>
      <c r="F174" s="373">
        <v>0</v>
      </c>
      <c r="G174" s="373">
        <v>0</v>
      </c>
      <c r="H174" s="373">
        <v>96743</v>
      </c>
      <c r="I174" s="373">
        <v>2000</v>
      </c>
      <c r="J174" s="373">
        <v>0</v>
      </c>
      <c r="K174" s="373">
        <v>0</v>
      </c>
      <c r="L174" s="374">
        <f t="shared" si="13"/>
        <v>140918</v>
      </c>
    </row>
    <row r="175" spans="1:12">
      <c r="A175" s="366">
        <v>38</v>
      </c>
      <c r="B175" s="369" t="s">
        <v>95</v>
      </c>
      <c r="C175" s="373">
        <v>44561</v>
      </c>
      <c r="D175" s="373">
        <v>250</v>
      </c>
      <c r="E175" s="373">
        <v>0</v>
      </c>
      <c r="F175" s="373">
        <v>0</v>
      </c>
      <c r="G175" s="373">
        <v>0</v>
      </c>
      <c r="H175" s="373">
        <v>77101</v>
      </c>
      <c r="I175" s="373">
        <v>1000</v>
      </c>
      <c r="J175" s="373">
        <v>0</v>
      </c>
      <c r="K175" s="373">
        <v>0</v>
      </c>
      <c r="L175" s="374">
        <f t="shared" si="13"/>
        <v>122912</v>
      </c>
    </row>
    <row r="176" spans="1:12">
      <c r="A176" s="363">
        <v>39</v>
      </c>
      <c r="B176" s="369" t="s">
        <v>96</v>
      </c>
      <c r="C176" s="373">
        <v>55562</v>
      </c>
      <c r="D176" s="373">
        <v>150</v>
      </c>
      <c r="E176" s="373">
        <v>0</v>
      </c>
      <c r="F176" s="373">
        <v>0</v>
      </c>
      <c r="G176" s="373">
        <v>0</v>
      </c>
      <c r="H176" s="373">
        <v>95991</v>
      </c>
      <c r="I176" s="373">
        <v>10000</v>
      </c>
      <c r="J176" s="373">
        <v>0</v>
      </c>
      <c r="K176" s="373">
        <v>0</v>
      </c>
      <c r="L176" s="374">
        <f t="shared" si="13"/>
        <v>161703</v>
      </c>
    </row>
    <row r="177" spans="1:12">
      <c r="A177" s="363">
        <v>40</v>
      </c>
      <c r="B177" s="369" t="s">
        <v>467</v>
      </c>
      <c r="C177" s="373">
        <v>53521</v>
      </c>
      <c r="D177" s="373">
        <v>180</v>
      </c>
      <c r="E177" s="373">
        <v>0</v>
      </c>
      <c r="F177" s="373">
        <v>0</v>
      </c>
      <c r="G177" s="373">
        <v>0</v>
      </c>
      <c r="H177" s="373">
        <v>66120</v>
      </c>
      <c r="I177" s="373">
        <v>1000</v>
      </c>
      <c r="J177" s="373">
        <v>0</v>
      </c>
      <c r="K177" s="373">
        <v>0</v>
      </c>
      <c r="L177" s="374">
        <f t="shared" si="13"/>
        <v>120821</v>
      </c>
    </row>
    <row r="178" spans="1:12">
      <c r="A178" s="366"/>
      <c r="B178" s="370" t="s">
        <v>468</v>
      </c>
      <c r="C178" s="643">
        <f>SUM(C138:C177)</f>
        <v>9943870</v>
      </c>
      <c r="D178" s="643">
        <f t="shared" ref="D178:K178" si="14">SUM(D138:D177)</f>
        <v>1224319</v>
      </c>
      <c r="E178" s="643">
        <f t="shared" si="14"/>
        <v>48524795</v>
      </c>
      <c r="F178" s="643">
        <f t="shared" si="14"/>
        <v>6552612</v>
      </c>
      <c r="G178" s="643">
        <f t="shared" si="14"/>
        <v>14161426</v>
      </c>
      <c r="H178" s="643">
        <f t="shared" si="14"/>
        <v>31531170</v>
      </c>
      <c r="I178" s="643">
        <f t="shared" si="14"/>
        <v>10655048</v>
      </c>
      <c r="J178" s="643">
        <f t="shared" si="14"/>
        <v>3886062</v>
      </c>
      <c r="K178" s="643">
        <f t="shared" si="14"/>
        <v>198100</v>
      </c>
      <c r="L178" s="374">
        <f t="shared" si="13"/>
        <v>126677402</v>
      </c>
    </row>
    <row r="179" spans="1:12">
      <c r="A179" s="366"/>
      <c r="B179" s="369" t="s">
        <v>469</v>
      </c>
      <c r="C179" s="375"/>
      <c r="D179" s="375"/>
      <c r="E179" s="375"/>
      <c r="F179" s="375"/>
      <c r="G179" s="375"/>
      <c r="H179" s="375"/>
      <c r="I179" s="375"/>
      <c r="J179" s="375"/>
      <c r="K179" s="375"/>
      <c r="L179" s="374"/>
    </row>
    <row r="180" spans="1:12">
      <c r="A180" s="366">
        <f>A177+1</f>
        <v>41</v>
      </c>
      <c r="B180" s="369" t="s">
        <v>75</v>
      </c>
      <c r="C180" s="373">
        <v>23910</v>
      </c>
      <c r="D180" s="373">
        <v>300</v>
      </c>
      <c r="E180" s="373">
        <v>0</v>
      </c>
      <c r="F180" s="373">
        <v>0</v>
      </c>
      <c r="G180" s="373">
        <v>0</v>
      </c>
      <c r="H180" s="373">
        <v>36714</v>
      </c>
      <c r="I180" s="373">
        <v>0</v>
      </c>
      <c r="J180" s="373">
        <v>0</v>
      </c>
      <c r="K180" s="373">
        <v>0</v>
      </c>
      <c r="L180" s="374">
        <f t="shared" si="13"/>
        <v>60924</v>
      </c>
    </row>
    <row r="181" spans="1:12">
      <c r="A181" s="366">
        <f t="shared" ref="A181:A186" si="15">A180+1</f>
        <v>42</v>
      </c>
      <c r="B181" s="369" t="s">
        <v>470</v>
      </c>
      <c r="C181" s="373">
        <v>41321</v>
      </c>
      <c r="D181" s="373">
        <v>100</v>
      </c>
      <c r="E181" s="373">
        <v>0</v>
      </c>
      <c r="F181" s="373">
        <v>0</v>
      </c>
      <c r="G181" s="373">
        <v>0</v>
      </c>
      <c r="H181" s="373">
        <v>78115</v>
      </c>
      <c r="I181" s="373">
        <v>1000</v>
      </c>
      <c r="J181" s="373">
        <v>2500</v>
      </c>
      <c r="K181" s="373">
        <v>0</v>
      </c>
      <c r="L181" s="374">
        <f t="shared" si="13"/>
        <v>123036</v>
      </c>
    </row>
    <row r="182" spans="1:12">
      <c r="A182" s="366">
        <f t="shared" si="15"/>
        <v>43</v>
      </c>
      <c r="B182" s="369" t="s">
        <v>76</v>
      </c>
      <c r="C182" s="373">
        <v>25833</v>
      </c>
      <c r="D182" s="373">
        <v>150</v>
      </c>
      <c r="E182" s="373">
        <v>0</v>
      </c>
      <c r="F182" s="373">
        <v>0</v>
      </c>
      <c r="G182" s="373">
        <v>0</v>
      </c>
      <c r="H182" s="373">
        <v>28912</v>
      </c>
      <c r="I182" s="373">
        <v>0</v>
      </c>
      <c r="J182" s="373">
        <v>0</v>
      </c>
      <c r="K182" s="373">
        <v>0</v>
      </c>
      <c r="L182" s="374">
        <f t="shared" si="13"/>
        <v>54895</v>
      </c>
    </row>
    <row r="183" spans="1:12">
      <c r="A183" s="366">
        <f t="shared" si="15"/>
        <v>44</v>
      </c>
      <c r="B183" s="369" t="s">
        <v>77</v>
      </c>
      <c r="C183" s="373">
        <v>19462</v>
      </c>
      <c r="D183" s="373">
        <v>150</v>
      </c>
      <c r="E183" s="373">
        <v>0</v>
      </c>
      <c r="F183" s="373">
        <v>0</v>
      </c>
      <c r="G183" s="373">
        <v>0</v>
      </c>
      <c r="H183" s="373">
        <v>28515</v>
      </c>
      <c r="I183" s="373">
        <v>0</v>
      </c>
      <c r="J183" s="373">
        <v>0</v>
      </c>
      <c r="K183" s="373">
        <v>0</v>
      </c>
      <c r="L183" s="374">
        <f t="shared" si="13"/>
        <v>48127</v>
      </c>
    </row>
    <row r="184" spans="1:12">
      <c r="A184" s="366">
        <f t="shared" si="15"/>
        <v>45</v>
      </c>
      <c r="B184" s="369" t="s">
        <v>115</v>
      </c>
      <c r="C184" s="373">
        <f>24567+9000</f>
        <v>33567</v>
      </c>
      <c r="D184" s="373">
        <v>0</v>
      </c>
      <c r="E184" s="373">
        <v>0</v>
      </c>
      <c r="F184" s="373">
        <v>0</v>
      </c>
      <c r="G184" s="373">
        <v>0</v>
      </c>
      <c r="H184" s="373">
        <v>22524</v>
      </c>
      <c r="I184" s="373">
        <v>0</v>
      </c>
      <c r="J184" s="373">
        <v>0</v>
      </c>
      <c r="K184" s="373">
        <v>0</v>
      </c>
      <c r="L184" s="374">
        <f t="shared" si="13"/>
        <v>56091</v>
      </c>
    </row>
    <row r="185" spans="1:12">
      <c r="A185" s="366">
        <f t="shared" si="15"/>
        <v>46</v>
      </c>
      <c r="B185" s="369" t="s">
        <v>90</v>
      </c>
      <c r="C185" s="373">
        <v>19291</v>
      </c>
      <c r="D185" s="373">
        <v>100</v>
      </c>
      <c r="E185" s="373">
        <v>0</v>
      </c>
      <c r="F185" s="373">
        <v>0</v>
      </c>
      <c r="G185" s="373">
        <v>0</v>
      </c>
      <c r="H185" s="373">
        <v>28367</v>
      </c>
      <c r="I185" s="373">
        <v>0</v>
      </c>
      <c r="J185" s="373">
        <v>0</v>
      </c>
      <c r="K185" s="373">
        <v>0</v>
      </c>
      <c r="L185" s="374">
        <f t="shared" si="13"/>
        <v>47758</v>
      </c>
    </row>
    <row r="186" spans="1:12">
      <c r="A186" s="366">
        <f t="shared" si="15"/>
        <v>47</v>
      </c>
      <c r="B186" s="369" t="s">
        <v>97</v>
      </c>
      <c r="C186" s="373">
        <v>24567</v>
      </c>
      <c r="D186" s="373">
        <v>100</v>
      </c>
      <c r="E186" s="373">
        <v>0</v>
      </c>
      <c r="F186" s="373">
        <v>0</v>
      </c>
      <c r="G186" s="373">
        <v>0</v>
      </c>
      <c r="H186" s="373">
        <v>25165</v>
      </c>
      <c r="I186" s="373">
        <v>0</v>
      </c>
      <c r="J186" s="373">
        <v>0</v>
      </c>
      <c r="K186" s="373">
        <v>0</v>
      </c>
      <c r="L186" s="374">
        <f t="shared" si="13"/>
        <v>49832</v>
      </c>
    </row>
    <row r="187" spans="1:12">
      <c r="A187" s="366"/>
      <c r="B187" s="370" t="s">
        <v>471</v>
      </c>
      <c r="C187" s="374">
        <f>SUM(C180:C186)</f>
        <v>187951</v>
      </c>
      <c r="D187" s="374">
        <f t="shared" ref="D187:K187" si="16">SUM(D180:D186)</f>
        <v>900</v>
      </c>
      <c r="E187" s="374">
        <f t="shared" si="16"/>
        <v>0</v>
      </c>
      <c r="F187" s="374">
        <f t="shared" si="16"/>
        <v>0</v>
      </c>
      <c r="G187" s="374">
        <f t="shared" si="16"/>
        <v>0</v>
      </c>
      <c r="H187" s="374">
        <f t="shared" si="16"/>
        <v>248312</v>
      </c>
      <c r="I187" s="374">
        <f t="shared" si="16"/>
        <v>1000</v>
      </c>
      <c r="J187" s="374">
        <f t="shared" si="16"/>
        <v>2500</v>
      </c>
      <c r="K187" s="374">
        <f t="shared" si="16"/>
        <v>0</v>
      </c>
      <c r="L187" s="374">
        <f t="shared" si="13"/>
        <v>440663</v>
      </c>
    </row>
    <row r="188" spans="1:12">
      <c r="A188" s="366"/>
      <c r="B188" s="369" t="s">
        <v>472</v>
      </c>
      <c r="C188" s="376"/>
      <c r="D188" s="376"/>
      <c r="E188" s="376"/>
      <c r="F188" s="376"/>
      <c r="G188" s="376"/>
      <c r="H188" s="376"/>
      <c r="I188" s="376"/>
      <c r="J188" s="376"/>
      <c r="K188" s="376"/>
      <c r="L188" s="374"/>
    </row>
    <row r="189" spans="1:12">
      <c r="A189" s="366">
        <f>A186+1</f>
        <v>48</v>
      </c>
      <c r="B189" s="369" t="s">
        <v>78</v>
      </c>
      <c r="C189" s="373">
        <v>173661</v>
      </c>
      <c r="D189" s="373">
        <v>6851</v>
      </c>
      <c r="E189" s="373">
        <v>0</v>
      </c>
      <c r="F189" s="373">
        <v>0</v>
      </c>
      <c r="G189" s="373">
        <v>0</v>
      </c>
      <c r="H189" s="373">
        <v>377615</v>
      </c>
      <c r="I189" s="373">
        <v>102813</v>
      </c>
      <c r="J189" s="373">
        <v>41983</v>
      </c>
      <c r="K189" s="373">
        <v>0</v>
      </c>
      <c r="L189" s="374">
        <f t="shared" si="13"/>
        <v>702923</v>
      </c>
    </row>
    <row r="190" spans="1:12">
      <c r="A190" s="366">
        <f>A189+1</f>
        <v>49</v>
      </c>
      <c r="B190" s="369" t="s">
        <v>81</v>
      </c>
      <c r="C190" s="373">
        <v>240081</v>
      </c>
      <c r="D190" s="373">
        <v>2100</v>
      </c>
      <c r="E190" s="373">
        <v>0</v>
      </c>
      <c r="F190" s="373">
        <v>0</v>
      </c>
      <c r="G190" s="373">
        <v>0</v>
      </c>
      <c r="H190" s="373">
        <v>240381</v>
      </c>
      <c r="I190" s="373">
        <v>11400</v>
      </c>
      <c r="J190" s="373">
        <v>60182</v>
      </c>
      <c r="K190" s="373">
        <v>0</v>
      </c>
      <c r="L190" s="374">
        <f t="shared" si="13"/>
        <v>554144</v>
      </c>
    </row>
    <row r="191" spans="1:12">
      <c r="A191" s="366">
        <f>A190+1</f>
        <v>50</v>
      </c>
      <c r="B191" s="369" t="s">
        <v>91</v>
      </c>
      <c r="C191" s="373">
        <v>293701</v>
      </c>
      <c r="D191" s="373">
        <v>20764</v>
      </c>
      <c r="E191" s="373">
        <v>0</v>
      </c>
      <c r="F191" s="373">
        <v>0</v>
      </c>
      <c r="G191" s="373">
        <v>0</v>
      </c>
      <c r="H191" s="373">
        <f>390147+46500</f>
        <v>436647</v>
      </c>
      <c r="I191" s="373">
        <v>40951</v>
      </c>
      <c r="J191" s="373">
        <v>0</v>
      </c>
      <c r="K191" s="373">
        <v>0</v>
      </c>
      <c r="L191" s="374">
        <f>SUM(C191:K191)</f>
        <v>792063</v>
      </c>
    </row>
    <row r="192" spans="1:12">
      <c r="A192" s="366">
        <f>A191+1</f>
        <v>51</v>
      </c>
      <c r="B192" s="369" t="s">
        <v>93</v>
      </c>
      <c r="C192" s="373">
        <v>102555</v>
      </c>
      <c r="D192" s="373">
        <v>0</v>
      </c>
      <c r="E192" s="373">
        <v>0</v>
      </c>
      <c r="F192" s="373">
        <v>0</v>
      </c>
      <c r="G192" s="373">
        <v>0</v>
      </c>
      <c r="H192" s="373">
        <v>233051</v>
      </c>
      <c r="I192" s="373">
        <v>8320</v>
      </c>
      <c r="J192" s="373">
        <v>0</v>
      </c>
      <c r="K192" s="373">
        <v>0</v>
      </c>
      <c r="L192" s="374">
        <f t="shared" si="13"/>
        <v>343926</v>
      </c>
    </row>
    <row r="193" spans="1:12">
      <c r="A193" s="366"/>
      <c r="B193" s="370" t="s">
        <v>473</v>
      </c>
      <c r="C193" s="374">
        <f>SUM(C189:C192)</f>
        <v>809998</v>
      </c>
      <c r="D193" s="374">
        <f t="shared" ref="D193:K193" si="17">SUM(D189:D192)</f>
        <v>29715</v>
      </c>
      <c r="E193" s="374">
        <f t="shared" si="17"/>
        <v>0</v>
      </c>
      <c r="F193" s="374">
        <f t="shared" si="17"/>
        <v>0</v>
      </c>
      <c r="G193" s="374">
        <f t="shared" si="17"/>
        <v>0</v>
      </c>
      <c r="H193" s="374">
        <f t="shared" si="17"/>
        <v>1287694</v>
      </c>
      <c r="I193" s="374">
        <f t="shared" si="17"/>
        <v>163484</v>
      </c>
      <c r="J193" s="374">
        <f t="shared" si="17"/>
        <v>102165</v>
      </c>
      <c r="K193" s="374">
        <f t="shared" si="17"/>
        <v>0</v>
      </c>
      <c r="L193" s="374">
        <f t="shared" si="13"/>
        <v>2393056</v>
      </c>
    </row>
    <row r="194" spans="1:12">
      <c r="A194" s="366"/>
      <c r="B194" s="370" t="s">
        <v>474</v>
      </c>
      <c r="C194" s="374">
        <f>SUM(C178,C187,C193)</f>
        <v>10941819</v>
      </c>
      <c r="D194" s="374">
        <f t="shared" ref="D194:K194" si="18">SUM(D178,D187,D193)</f>
        <v>1254934</v>
      </c>
      <c r="E194" s="374">
        <f t="shared" si="18"/>
        <v>48524795</v>
      </c>
      <c r="F194" s="374">
        <f t="shared" si="18"/>
        <v>6552612</v>
      </c>
      <c r="G194" s="374">
        <f t="shared" si="18"/>
        <v>14161426</v>
      </c>
      <c r="H194" s="374">
        <f t="shared" si="18"/>
        <v>33067176</v>
      </c>
      <c r="I194" s="374">
        <f t="shared" si="18"/>
        <v>10819532</v>
      </c>
      <c r="J194" s="374">
        <f t="shared" si="18"/>
        <v>3990727</v>
      </c>
      <c r="K194" s="374">
        <f t="shared" si="18"/>
        <v>198100</v>
      </c>
      <c r="L194" s="374">
        <f t="shared" si="13"/>
        <v>129511121</v>
      </c>
    </row>
    <row r="195" spans="1:12">
      <c r="J195" s="355"/>
    </row>
    <row r="196" spans="1:12">
      <c r="A196" s="378"/>
      <c r="D196" s="378"/>
      <c r="H196" s="379"/>
      <c r="L196" s="377" t="s">
        <v>1088</v>
      </c>
    </row>
    <row r="197" spans="1:12">
      <c r="A197" s="380"/>
      <c r="D197" s="380"/>
      <c r="H197" s="381"/>
    </row>
    <row r="198" spans="1:12">
      <c r="A198" s="378"/>
      <c r="D198" s="378"/>
    </row>
    <row r="199" spans="1:12">
      <c r="A199" s="382"/>
      <c r="D199" s="378"/>
      <c r="H199" s="381"/>
    </row>
    <row r="200" spans="1:12">
      <c r="A200" s="382" t="s">
        <v>1589</v>
      </c>
      <c r="D200" s="380"/>
    </row>
    <row r="201" spans="1:12">
      <c r="A201" s="382" t="s">
        <v>1590</v>
      </c>
    </row>
    <row r="202" spans="1:12">
      <c r="A202" s="382" t="s">
        <v>1591</v>
      </c>
    </row>
    <row r="208" spans="1:12">
      <c r="A208" s="380"/>
    </row>
  </sheetData>
  <printOptions horizontalCentered="1" verticalCentered="1"/>
  <pageMargins left="0.15748031496062992" right="0.15748031496062992" top="0.15748031496062992" bottom="0.15748031496062992" header="0.11811023622047245" footer="0.11811023622047245"/>
  <pageSetup paperSize="9" scale="69" orientation="landscape" r:id="rId1"/>
  <headerFooter alignWithMargins="0"/>
  <rowBreaks count="1" manualBreakCount="1">
    <brk id="134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E44"/>
  <sheetViews>
    <sheetView topLeftCell="A26" zoomScale="98" zoomScaleNormal="98" workbookViewId="0">
      <selection activeCell="B30" sqref="B30"/>
    </sheetView>
  </sheetViews>
  <sheetFormatPr defaultRowHeight="15.75"/>
  <cols>
    <col min="1" max="1" width="7.28515625" style="41" customWidth="1"/>
    <col min="2" max="2" width="45" style="42" customWidth="1"/>
    <col min="3" max="3" width="10.140625" style="43" customWidth="1"/>
    <col min="4" max="4" width="49.140625" style="42" customWidth="1"/>
    <col min="5" max="5" width="10.28515625" style="42" bestFit="1" customWidth="1"/>
    <col min="6" max="6" width="18.7109375" style="42" customWidth="1"/>
    <col min="7" max="16384" width="9.140625" style="42"/>
  </cols>
  <sheetData>
    <row r="1" spans="1:5">
      <c r="D1" s="44" t="s">
        <v>1317</v>
      </c>
    </row>
    <row r="2" spans="1:5">
      <c r="D2" s="44"/>
    </row>
    <row r="3" spans="1:5">
      <c r="A3" s="45" t="s">
        <v>476</v>
      </c>
      <c r="B3" s="45"/>
      <c r="C3" s="46"/>
      <c r="D3" s="45"/>
    </row>
    <row r="4" spans="1:5">
      <c r="A4" s="45" t="s">
        <v>1311</v>
      </c>
      <c r="B4" s="45"/>
      <c r="C4" s="46"/>
      <c r="D4" s="45"/>
    </row>
    <row r="5" spans="1:5">
      <c r="A5" s="45"/>
      <c r="B5" s="45"/>
      <c r="C5" s="46"/>
      <c r="D5" s="45"/>
    </row>
    <row r="6" spans="1:5" s="47" customFormat="1" ht="31.5">
      <c r="A6" s="336" t="s">
        <v>424</v>
      </c>
      <c r="B6" s="336" t="s">
        <v>477</v>
      </c>
      <c r="C6" s="337" t="s">
        <v>478</v>
      </c>
      <c r="D6" s="336" t="s">
        <v>479</v>
      </c>
    </row>
    <row r="7" spans="1:5" s="48" customFormat="1" ht="31.5">
      <c r="A7" s="336">
        <v>1</v>
      </c>
      <c r="B7" s="108" t="s">
        <v>481</v>
      </c>
      <c r="C7" s="419">
        <v>20000</v>
      </c>
      <c r="D7" s="108" t="s">
        <v>480</v>
      </c>
      <c r="E7" s="201"/>
    </row>
    <row r="8" spans="1:5" s="48" customFormat="1" ht="63">
      <c r="A8" s="336">
        <v>2</v>
      </c>
      <c r="B8" s="108" t="s">
        <v>482</v>
      </c>
      <c r="C8" s="419">
        <v>500</v>
      </c>
      <c r="D8" s="108" t="s">
        <v>483</v>
      </c>
    </row>
    <row r="9" spans="1:5" s="48" customFormat="1" ht="31.5">
      <c r="A9" s="336">
        <v>3</v>
      </c>
      <c r="B9" s="108" t="s">
        <v>1458</v>
      </c>
      <c r="C9" s="419">
        <v>60000</v>
      </c>
      <c r="D9" s="108" t="s">
        <v>1459</v>
      </c>
    </row>
    <row r="10" spans="1:5" s="48" customFormat="1" ht="94.5">
      <c r="A10" s="336">
        <v>4</v>
      </c>
      <c r="B10" s="108" t="s">
        <v>1460</v>
      </c>
      <c r="C10" s="201">
        <f>42754+158633</f>
        <v>201387</v>
      </c>
      <c r="D10" s="108" t="s">
        <v>1461</v>
      </c>
    </row>
    <row r="11" spans="1:5" s="48" customFormat="1" ht="63">
      <c r="A11" s="336">
        <v>5</v>
      </c>
      <c r="B11" s="108" t="s">
        <v>484</v>
      </c>
      <c r="C11" s="419">
        <v>500000</v>
      </c>
      <c r="D11" s="108" t="s">
        <v>485</v>
      </c>
    </row>
    <row r="12" spans="1:5" s="48" customFormat="1" ht="63">
      <c r="A12" s="336">
        <v>6</v>
      </c>
      <c r="B12" s="108" t="s">
        <v>486</v>
      </c>
      <c r="C12" s="419">
        <v>24000</v>
      </c>
      <c r="D12" s="108" t="s">
        <v>1462</v>
      </c>
    </row>
    <row r="13" spans="1:5" s="48" customFormat="1" ht="47.25">
      <c r="A13" s="336">
        <v>7</v>
      </c>
      <c r="B13" s="108" t="s">
        <v>487</v>
      </c>
      <c r="C13" s="419">
        <v>554700</v>
      </c>
      <c r="D13" s="108" t="s">
        <v>1463</v>
      </c>
    </row>
    <row r="14" spans="1:5" s="48" customFormat="1" ht="47.25">
      <c r="A14" s="336">
        <v>8</v>
      </c>
      <c r="B14" s="108" t="s">
        <v>488</v>
      </c>
      <c r="C14" s="419">
        <v>700000</v>
      </c>
      <c r="D14" s="108" t="s">
        <v>1464</v>
      </c>
    </row>
    <row r="15" spans="1:5" s="48" customFormat="1" ht="47.25">
      <c r="A15" s="336">
        <v>9</v>
      </c>
      <c r="B15" s="108" t="s">
        <v>489</v>
      </c>
      <c r="C15" s="419">
        <v>50000</v>
      </c>
      <c r="D15" s="108" t="s">
        <v>1464</v>
      </c>
    </row>
    <row r="16" spans="1:5" s="48" customFormat="1" ht="31.5">
      <c r="A16" s="336">
        <v>10</v>
      </c>
      <c r="B16" s="108" t="s">
        <v>490</v>
      </c>
      <c r="C16" s="419">
        <v>20000</v>
      </c>
      <c r="D16" s="108" t="s">
        <v>1466</v>
      </c>
    </row>
    <row r="17" spans="1:5" s="48" customFormat="1" ht="63">
      <c r="A17" s="336">
        <v>11</v>
      </c>
      <c r="B17" s="108" t="s">
        <v>1155</v>
      </c>
      <c r="C17" s="419">
        <v>30000</v>
      </c>
      <c r="D17" s="108" t="s">
        <v>1465</v>
      </c>
    </row>
    <row r="18" spans="1:5" s="48" customFormat="1" ht="31.5">
      <c r="A18" s="336">
        <v>12</v>
      </c>
      <c r="B18" s="108" t="s">
        <v>491</v>
      </c>
      <c r="C18" s="419">
        <v>12000</v>
      </c>
      <c r="D18" s="108" t="s">
        <v>492</v>
      </c>
    </row>
    <row r="19" spans="1:5" s="48" customFormat="1" ht="47.25">
      <c r="A19" s="336">
        <v>13</v>
      </c>
      <c r="B19" s="108" t="s">
        <v>1306</v>
      </c>
      <c r="C19" s="419">
        <v>4000</v>
      </c>
      <c r="D19" s="108" t="s">
        <v>492</v>
      </c>
    </row>
    <row r="20" spans="1:5" s="48" customFormat="1" ht="47.25">
      <c r="A20" s="336">
        <v>14</v>
      </c>
      <c r="B20" s="108" t="s">
        <v>1307</v>
      </c>
      <c r="C20" s="419">
        <v>3000</v>
      </c>
      <c r="D20" s="108" t="s">
        <v>492</v>
      </c>
      <c r="E20" s="201"/>
    </row>
    <row r="21" spans="1:5" s="48" customFormat="1" ht="31.5">
      <c r="A21" s="336">
        <v>15</v>
      </c>
      <c r="B21" s="108" t="s">
        <v>493</v>
      </c>
      <c r="C21" s="419">
        <v>10000</v>
      </c>
      <c r="D21" s="108" t="s">
        <v>494</v>
      </c>
    </row>
    <row r="22" spans="1:5" s="48" customFormat="1" ht="47.25">
      <c r="A22" s="336">
        <v>16</v>
      </c>
      <c r="B22" s="108" t="s">
        <v>1308</v>
      </c>
      <c r="C22" s="419">
        <v>4000</v>
      </c>
      <c r="D22" s="108" t="s">
        <v>495</v>
      </c>
    </row>
    <row r="23" spans="1:5" s="48" customFormat="1" ht="47.25">
      <c r="A23" s="336">
        <v>17</v>
      </c>
      <c r="B23" s="108" t="s">
        <v>1309</v>
      </c>
      <c r="C23" s="419">
        <v>7000</v>
      </c>
      <c r="D23" s="108" t="s">
        <v>496</v>
      </c>
    </row>
    <row r="24" spans="1:5" s="48" customFormat="1" ht="47.25">
      <c r="A24" s="336">
        <v>18</v>
      </c>
      <c r="B24" s="108" t="s">
        <v>1310</v>
      </c>
      <c r="C24" s="419">
        <v>6000</v>
      </c>
      <c r="D24" s="108" t="s">
        <v>495</v>
      </c>
      <c r="E24" s="201"/>
    </row>
    <row r="25" spans="1:5" s="48" customFormat="1" ht="31.5">
      <c r="A25" s="336">
        <v>19</v>
      </c>
      <c r="B25" s="108" t="s">
        <v>497</v>
      </c>
      <c r="C25" s="419">
        <v>10000</v>
      </c>
      <c r="D25" s="108" t="s">
        <v>492</v>
      </c>
      <c r="E25" s="201"/>
    </row>
    <row r="26" spans="1:5" s="48" customFormat="1" ht="31.5">
      <c r="A26" s="336">
        <v>20</v>
      </c>
      <c r="B26" s="108" t="s">
        <v>1004</v>
      </c>
      <c r="C26" s="419">
        <v>1000</v>
      </c>
      <c r="D26" s="108" t="s">
        <v>492</v>
      </c>
      <c r="E26" s="201"/>
    </row>
    <row r="27" spans="1:5" s="48" customFormat="1" ht="47.25">
      <c r="A27" s="336">
        <v>21</v>
      </c>
      <c r="B27" s="108" t="s">
        <v>1156</v>
      </c>
      <c r="C27" s="419">
        <v>70000</v>
      </c>
      <c r="D27" s="108" t="s">
        <v>492</v>
      </c>
    </row>
    <row r="28" spans="1:5" s="48" customFormat="1">
      <c r="A28" s="49"/>
      <c r="B28" s="50"/>
      <c r="C28" s="51"/>
      <c r="D28" s="50"/>
    </row>
    <row r="29" spans="1:5" s="11" customFormat="1">
      <c r="A29" s="52"/>
      <c r="B29" s="17"/>
      <c r="C29" s="17"/>
      <c r="D29" s="17"/>
    </row>
    <row r="30" spans="1:5" s="11" customFormat="1">
      <c r="A30" s="54"/>
      <c r="B30" s="17"/>
      <c r="C30" s="17"/>
      <c r="D30" s="17"/>
    </row>
    <row r="31" spans="1:5" s="11" customFormat="1">
      <c r="A31" s="52"/>
      <c r="B31" s="17"/>
      <c r="C31" s="17"/>
      <c r="D31" s="17"/>
    </row>
    <row r="32" spans="1:5" s="11" customFormat="1">
      <c r="A32" s="55"/>
      <c r="B32" s="17"/>
      <c r="C32" s="17"/>
      <c r="D32" s="17"/>
    </row>
    <row r="33" spans="1:4" s="57" customFormat="1">
      <c r="A33" s="55" t="s">
        <v>1589</v>
      </c>
    </row>
    <row r="34" spans="1:4" s="18" customFormat="1">
      <c r="A34" s="55" t="s">
        <v>1590</v>
      </c>
    </row>
    <row r="35" spans="1:4" s="9" customFormat="1">
      <c r="A35" s="55" t="s">
        <v>1591</v>
      </c>
      <c r="B35" s="8"/>
      <c r="C35" s="8"/>
      <c r="D35" s="8"/>
    </row>
    <row r="36" spans="1:4" s="11" customFormat="1">
      <c r="A36" s="52"/>
      <c r="B36" s="10"/>
      <c r="C36" s="10"/>
      <c r="D36" s="10"/>
    </row>
    <row r="37" spans="1:4" s="13" customFormat="1">
      <c r="A37" s="54"/>
      <c r="B37" s="12"/>
      <c r="C37" s="12"/>
      <c r="D37" s="12"/>
    </row>
    <row r="38" spans="1:4" s="15" customFormat="1">
      <c r="A38" s="52"/>
      <c r="B38" s="14"/>
      <c r="C38" s="14"/>
      <c r="D38" s="14"/>
    </row>
    <row r="39" spans="1:4" s="11" customFormat="1">
      <c r="A39" s="52"/>
      <c r="B39" s="10"/>
      <c r="C39" s="10"/>
      <c r="D39" s="20"/>
    </row>
    <row r="40" spans="1:4" s="13" customFormat="1">
      <c r="A40" s="54"/>
      <c r="B40" s="12"/>
      <c r="C40" s="12"/>
      <c r="D40" s="21"/>
    </row>
    <row r="41" spans="1:4" s="13" customFormat="1">
      <c r="A41" s="54"/>
      <c r="B41" s="12"/>
      <c r="C41" s="12"/>
      <c r="D41" s="21"/>
    </row>
    <row r="42" spans="1:4" s="13" customFormat="1">
      <c r="A42" s="59"/>
      <c r="B42" s="16"/>
      <c r="C42" s="16"/>
      <c r="D42" s="16"/>
    </row>
    <row r="43" spans="1:4" s="55" customFormat="1">
      <c r="A43" s="60"/>
    </row>
    <row r="44" spans="1:4" s="55" customFormat="1">
      <c r="A44" s="60"/>
    </row>
  </sheetData>
  <pageMargins left="0.59055118110236227" right="0" top="0.39370078740157483" bottom="0.39370078740157483" header="0.51181102362204722" footer="0.11811023622047245"/>
  <pageSetup paperSize="9" scale="85" orientation="portrait" r:id="rId1"/>
  <headerFooter alignWithMargins="0">
    <oddFooter>Стр.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2:Q51"/>
  <sheetViews>
    <sheetView workbookViewId="0">
      <selection activeCell="B46" sqref="B46"/>
    </sheetView>
  </sheetViews>
  <sheetFormatPr defaultRowHeight="15"/>
  <cols>
    <col min="1" max="1" width="9.7109375" style="323" customWidth="1"/>
    <col min="2" max="2" width="78.85546875" style="323" customWidth="1"/>
    <col min="3" max="3" width="12.42578125" style="463" customWidth="1"/>
    <col min="4" max="4" width="13.85546875" style="463" customWidth="1"/>
    <col min="5" max="5" width="12.5703125" style="463" customWidth="1"/>
    <col min="6" max="6" width="13.28515625" style="463" customWidth="1"/>
    <col min="7" max="7" width="13.140625" style="463" customWidth="1"/>
    <col min="8" max="8" width="13.42578125" style="463" customWidth="1"/>
    <col min="9" max="9" width="13.7109375" style="463" customWidth="1"/>
    <col min="10" max="249" width="9.140625" style="323"/>
    <col min="250" max="250" width="9.7109375" style="323" customWidth="1"/>
    <col min="251" max="251" width="48.7109375" style="323" customWidth="1"/>
    <col min="252" max="252" width="10.85546875" style="323" customWidth="1"/>
    <col min="253" max="253" width="10.7109375" style="323" customWidth="1"/>
    <col min="254" max="254" width="12.42578125" style="323" customWidth="1"/>
    <col min="255" max="255" width="8.5703125" style="323" customWidth="1"/>
    <col min="256" max="256" width="10.7109375" style="323" customWidth="1"/>
    <col min="257" max="257" width="11.28515625" style="323" customWidth="1"/>
    <col min="258" max="258" width="13.28515625" style="323" customWidth="1"/>
    <col min="259" max="259" width="13.42578125" style="323" customWidth="1"/>
    <col min="260" max="260" width="12.28515625" style="323" customWidth="1"/>
    <col min="261" max="261" width="12.42578125" style="323" customWidth="1"/>
    <col min="262" max="262" width="12.28515625" style="323" customWidth="1"/>
    <col min="263" max="263" width="12.42578125" style="323" customWidth="1"/>
    <col min="264" max="264" width="12.28515625" style="323" customWidth="1"/>
    <col min="265" max="265" width="13.7109375" style="323" customWidth="1"/>
    <col min="266" max="505" width="9.140625" style="323"/>
    <col min="506" max="506" width="9.7109375" style="323" customWidth="1"/>
    <col min="507" max="507" width="48.7109375" style="323" customWidth="1"/>
    <col min="508" max="508" width="10.85546875" style="323" customWidth="1"/>
    <col min="509" max="509" width="10.7109375" style="323" customWidth="1"/>
    <col min="510" max="510" width="12.42578125" style="323" customWidth="1"/>
    <col min="511" max="511" width="8.5703125" style="323" customWidth="1"/>
    <col min="512" max="512" width="10.7109375" style="323" customWidth="1"/>
    <col min="513" max="513" width="11.28515625" style="323" customWidth="1"/>
    <col min="514" max="514" width="13.28515625" style="323" customWidth="1"/>
    <col min="515" max="515" width="13.42578125" style="323" customWidth="1"/>
    <col min="516" max="516" width="12.28515625" style="323" customWidth="1"/>
    <col min="517" max="517" width="12.42578125" style="323" customWidth="1"/>
    <col min="518" max="518" width="12.28515625" style="323" customWidth="1"/>
    <col min="519" max="519" width="12.42578125" style="323" customWidth="1"/>
    <col min="520" max="520" width="12.28515625" style="323" customWidth="1"/>
    <col min="521" max="521" width="13.7109375" style="323" customWidth="1"/>
    <col min="522" max="761" width="9.140625" style="323"/>
    <col min="762" max="762" width="9.7109375" style="323" customWidth="1"/>
    <col min="763" max="763" width="48.7109375" style="323" customWidth="1"/>
    <col min="764" max="764" width="10.85546875" style="323" customWidth="1"/>
    <col min="765" max="765" width="10.7109375" style="323" customWidth="1"/>
    <col min="766" max="766" width="12.42578125" style="323" customWidth="1"/>
    <col min="767" max="767" width="8.5703125" style="323" customWidth="1"/>
    <col min="768" max="768" width="10.7109375" style="323" customWidth="1"/>
    <col min="769" max="769" width="11.28515625" style="323" customWidth="1"/>
    <col min="770" max="770" width="13.28515625" style="323" customWidth="1"/>
    <col min="771" max="771" width="13.42578125" style="323" customWidth="1"/>
    <col min="772" max="772" width="12.28515625" style="323" customWidth="1"/>
    <col min="773" max="773" width="12.42578125" style="323" customWidth="1"/>
    <col min="774" max="774" width="12.28515625" style="323" customWidth="1"/>
    <col min="775" max="775" width="12.42578125" style="323" customWidth="1"/>
    <col min="776" max="776" width="12.28515625" style="323" customWidth="1"/>
    <col min="777" max="777" width="13.7109375" style="323" customWidth="1"/>
    <col min="778" max="1017" width="9.140625" style="323"/>
    <col min="1018" max="1018" width="9.7109375" style="323" customWidth="1"/>
    <col min="1019" max="1019" width="48.7109375" style="323" customWidth="1"/>
    <col min="1020" max="1020" width="10.85546875" style="323" customWidth="1"/>
    <col min="1021" max="1021" width="10.7109375" style="323" customWidth="1"/>
    <col min="1022" max="1022" width="12.42578125" style="323" customWidth="1"/>
    <col min="1023" max="1023" width="8.5703125" style="323" customWidth="1"/>
    <col min="1024" max="1024" width="10.7109375" style="323" customWidth="1"/>
    <col min="1025" max="1025" width="11.28515625" style="323" customWidth="1"/>
    <col min="1026" max="1026" width="13.28515625" style="323" customWidth="1"/>
    <col min="1027" max="1027" width="13.42578125" style="323" customWidth="1"/>
    <col min="1028" max="1028" width="12.28515625" style="323" customWidth="1"/>
    <col min="1029" max="1029" width="12.42578125" style="323" customWidth="1"/>
    <col min="1030" max="1030" width="12.28515625" style="323" customWidth="1"/>
    <col min="1031" max="1031" width="12.42578125" style="323" customWidth="1"/>
    <col min="1032" max="1032" width="12.28515625" style="323" customWidth="1"/>
    <col min="1033" max="1033" width="13.7109375" style="323" customWidth="1"/>
    <col min="1034" max="1273" width="9.140625" style="323"/>
    <col min="1274" max="1274" width="9.7109375" style="323" customWidth="1"/>
    <col min="1275" max="1275" width="48.7109375" style="323" customWidth="1"/>
    <col min="1276" max="1276" width="10.85546875" style="323" customWidth="1"/>
    <col min="1277" max="1277" width="10.7109375" style="323" customWidth="1"/>
    <col min="1278" max="1278" width="12.42578125" style="323" customWidth="1"/>
    <col min="1279" max="1279" width="8.5703125" style="323" customWidth="1"/>
    <col min="1280" max="1280" width="10.7109375" style="323" customWidth="1"/>
    <col min="1281" max="1281" width="11.28515625" style="323" customWidth="1"/>
    <col min="1282" max="1282" width="13.28515625" style="323" customWidth="1"/>
    <col min="1283" max="1283" width="13.42578125" style="323" customWidth="1"/>
    <col min="1284" max="1284" width="12.28515625" style="323" customWidth="1"/>
    <col min="1285" max="1285" width="12.42578125" style="323" customWidth="1"/>
    <col min="1286" max="1286" width="12.28515625" style="323" customWidth="1"/>
    <col min="1287" max="1287" width="12.42578125" style="323" customWidth="1"/>
    <col min="1288" max="1288" width="12.28515625" style="323" customWidth="1"/>
    <col min="1289" max="1289" width="13.7109375" style="323" customWidth="1"/>
    <col min="1290" max="1529" width="9.140625" style="323"/>
    <col min="1530" max="1530" width="9.7109375" style="323" customWidth="1"/>
    <col min="1531" max="1531" width="48.7109375" style="323" customWidth="1"/>
    <col min="1532" max="1532" width="10.85546875" style="323" customWidth="1"/>
    <col min="1533" max="1533" width="10.7109375" style="323" customWidth="1"/>
    <col min="1534" max="1534" width="12.42578125" style="323" customWidth="1"/>
    <col min="1535" max="1535" width="8.5703125" style="323" customWidth="1"/>
    <col min="1536" max="1536" width="10.7109375" style="323" customWidth="1"/>
    <col min="1537" max="1537" width="11.28515625" style="323" customWidth="1"/>
    <col min="1538" max="1538" width="13.28515625" style="323" customWidth="1"/>
    <col min="1539" max="1539" width="13.42578125" style="323" customWidth="1"/>
    <col min="1540" max="1540" width="12.28515625" style="323" customWidth="1"/>
    <col min="1541" max="1541" width="12.42578125" style="323" customWidth="1"/>
    <col min="1542" max="1542" width="12.28515625" style="323" customWidth="1"/>
    <col min="1543" max="1543" width="12.42578125" style="323" customWidth="1"/>
    <col min="1544" max="1544" width="12.28515625" style="323" customWidth="1"/>
    <col min="1545" max="1545" width="13.7109375" style="323" customWidth="1"/>
    <col min="1546" max="1785" width="9.140625" style="323"/>
    <col min="1786" max="1786" width="9.7109375" style="323" customWidth="1"/>
    <col min="1787" max="1787" width="48.7109375" style="323" customWidth="1"/>
    <col min="1788" max="1788" width="10.85546875" style="323" customWidth="1"/>
    <col min="1789" max="1789" width="10.7109375" style="323" customWidth="1"/>
    <col min="1790" max="1790" width="12.42578125" style="323" customWidth="1"/>
    <col min="1791" max="1791" width="8.5703125" style="323" customWidth="1"/>
    <col min="1792" max="1792" width="10.7109375" style="323" customWidth="1"/>
    <col min="1793" max="1793" width="11.28515625" style="323" customWidth="1"/>
    <col min="1794" max="1794" width="13.28515625" style="323" customWidth="1"/>
    <col min="1795" max="1795" width="13.42578125" style="323" customWidth="1"/>
    <col min="1796" max="1796" width="12.28515625" style="323" customWidth="1"/>
    <col min="1797" max="1797" width="12.42578125" style="323" customWidth="1"/>
    <col min="1798" max="1798" width="12.28515625" style="323" customWidth="1"/>
    <col min="1799" max="1799" width="12.42578125" style="323" customWidth="1"/>
    <col min="1800" max="1800" width="12.28515625" style="323" customWidth="1"/>
    <col min="1801" max="1801" width="13.7109375" style="323" customWidth="1"/>
    <col min="1802" max="2041" width="9.140625" style="323"/>
    <col min="2042" max="2042" width="9.7109375" style="323" customWidth="1"/>
    <col min="2043" max="2043" width="48.7109375" style="323" customWidth="1"/>
    <col min="2044" max="2044" width="10.85546875" style="323" customWidth="1"/>
    <col min="2045" max="2045" width="10.7109375" style="323" customWidth="1"/>
    <col min="2046" max="2046" width="12.42578125" style="323" customWidth="1"/>
    <col min="2047" max="2047" width="8.5703125" style="323" customWidth="1"/>
    <col min="2048" max="2048" width="10.7109375" style="323" customWidth="1"/>
    <col min="2049" max="2049" width="11.28515625" style="323" customWidth="1"/>
    <col min="2050" max="2050" width="13.28515625" style="323" customWidth="1"/>
    <col min="2051" max="2051" width="13.42578125" style="323" customWidth="1"/>
    <col min="2052" max="2052" width="12.28515625" style="323" customWidth="1"/>
    <col min="2053" max="2053" width="12.42578125" style="323" customWidth="1"/>
    <col min="2054" max="2054" width="12.28515625" style="323" customWidth="1"/>
    <col min="2055" max="2055" width="12.42578125" style="323" customWidth="1"/>
    <col min="2056" max="2056" width="12.28515625" style="323" customWidth="1"/>
    <col min="2057" max="2057" width="13.7109375" style="323" customWidth="1"/>
    <col min="2058" max="2297" width="9.140625" style="323"/>
    <col min="2298" max="2298" width="9.7109375" style="323" customWidth="1"/>
    <col min="2299" max="2299" width="48.7109375" style="323" customWidth="1"/>
    <col min="2300" max="2300" width="10.85546875" style="323" customWidth="1"/>
    <col min="2301" max="2301" width="10.7109375" style="323" customWidth="1"/>
    <col min="2302" max="2302" width="12.42578125" style="323" customWidth="1"/>
    <col min="2303" max="2303" width="8.5703125" style="323" customWidth="1"/>
    <col min="2304" max="2304" width="10.7109375" style="323" customWidth="1"/>
    <col min="2305" max="2305" width="11.28515625" style="323" customWidth="1"/>
    <col min="2306" max="2306" width="13.28515625" style="323" customWidth="1"/>
    <col min="2307" max="2307" width="13.42578125" style="323" customWidth="1"/>
    <col min="2308" max="2308" width="12.28515625" style="323" customWidth="1"/>
    <col min="2309" max="2309" width="12.42578125" style="323" customWidth="1"/>
    <col min="2310" max="2310" width="12.28515625" style="323" customWidth="1"/>
    <col min="2311" max="2311" width="12.42578125" style="323" customWidth="1"/>
    <col min="2312" max="2312" width="12.28515625" style="323" customWidth="1"/>
    <col min="2313" max="2313" width="13.7109375" style="323" customWidth="1"/>
    <col min="2314" max="2553" width="9.140625" style="323"/>
    <col min="2554" max="2554" width="9.7109375" style="323" customWidth="1"/>
    <col min="2555" max="2555" width="48.7109375" style="323" customWidth="1"/>
    <col min="2556" max="2556" width="10.85546875" style="323" customWidth="1"/>
    <col min="2557" max="2557" width="10.7109375" style="323" customWidth="1"/>
    <col min="2558" max="2558" width="12.42578125" style="323" customWidth="1"/>
    <col min="2559" max="2559" width="8.5703125" style="323" customWidth="1"/>
    <col min="2560" max="2560" width="10.7109375" style="323" customWidth="1"/>
    <col min="2561" max="2561" width="11.28515625" style="323" customWidth="1"/>
    <col min="2562" max="2562" width="13.28515625" style="323" customWidth="1"/>
    <col min="2563" max="2563" width="13.42578125" style="323" customWidth="1"/>
    <col min="2564" max="2564" width="12.28515625" style="323" customWidth="1"/>
    <col min="2565" max="2565" width="12.42578125" style="323" customWidth="1"/>
    <col min="2566" max="2566" width="12.28515625" style="323" customWidth="1"/>
    <col min="2567" max="2567" width="12.42578125" style="323" customWidth="1"/>
    <col min="2568" max="2568" width="12.28515625" style="323" customWidth="1"/>
    <col min="2569" max="2569" width="13.7109375" style="323" customWidth="1"/>
    <col min="2570" max="2809" width="9.140625" style="323"/>
    <col min="2810" max="2810" width="9.7109375" style="323" customWidth="1"/>
    <col min="2811" max="2811" width="48.7109375" style="323" customWidth="1"/>
    <col min="2812" max="2812" width="10.85546875" style="323" customWidth="1"/>
    <col min="2813" max="2813" width="10.7109375" style="323" customWidth="1"/>
    <col min="2814" max="2814" width="12.42578125" style="323" customWidth="1"/>
    <col min="2815" max="2815" width="8.5703125" style="323" customWidth="1"/>
    <col min="2816" max="2816" width="10.7109375" style="323" customWidth="1"/>
    <col min="2817" max="2817" width="11.28515625" style="323" customWidth="1"/>
    <col min="2818" max="2818" width="13.28515625" style="323" customWidth="1"/>
    <col min="2819" max="2819" width="13.42578125" style="323" customWidth="1"/>
    <col min="2820" max="2820" width="12.28515625" style="323" customWidth="1"/>
    <col min="2821" max="2821" width="12.42578125" style="323" customWidth="1"/>
    <col min="2822" max="2822" width="12.28515625" style="323" customWidth="1"/>
    <col min="2823" max="2823" width="12.42578125" style="323" customWidth="1"/>
    <col min="2824" max="2824" width="12.28515625" style="323" customWidth="1"/>
    <col min="2825" max="2825" width="13.7109375" style="323" customWidth="1"/>
    <col min="2826" max="3065" width="9.140625" style="323"/>
    <col min="3066" max="3066" width="9.7109375" style="323" customWidth="1"/>
    <col min="3067" max="3067" width="48.7109375" style="323" customWidth="1"/>
    <col min="3068" max="3068" width="10.85546875" style="323" customWidth="1"/>
    <col min="3069" max="3069" width="10.7109375" style="323" customWidth="1"/>
    <col min="3070" max="3070" width="12.42578125" style="323" customWidth="1"/>
    <col min="3071" max="3071" width="8.5703125" style="323" customWidth="1"/>
    <col min="3072" max="3072" width="10.7109375" style="323" customWidth="1"/>
    <col min="3073" max="3073" width="11.28515625" style="323" customWidth="1"/>
    <col min="3074" max="3074" width="13.28515625" style="323" customWidth="1"/>
    <col min="3075" max="3075" width="13.42578125" style="323" customWidth="1"/>
    <col min="3076" max="3076" width="12.28515625" style="323" customWidth="1"/>
    <col min="3077" max="3077" width="12.42578125" style="323" customWidth="1"/>
    <col min="3078" max="3078" width="12.28515625" style="323" customWidth="1"/>
    <col min="3079" max="3079" width="12.42578125" style="323" customWidth="1"/>
    <col min="3080" max="3080" width="12.28515625" style="323" customWidth="1"/>
    <col min="3081" max="3081" width="13.7109375" style="323" customWidth="1"/>
    <col min="3082" max="3321" width="9.140625" style="323"/>
    <col min="3322" max="3322" width="9.7109375" style="323" customWidth="1"/>
    <col min="3323" max="3323" width="48.7109375" style="323" customWidth="1"/>
    <col min="3324" max="3324" width="10.85546875" style="323" customWidth="1"/>
    <col min="3325" max="3325" width="10.7109375" style="323" customWidth="1"/>
    <col min="3326" max="3326" width="12.42578125" style="323" customWidth="1"/>
    <col min="3327" max="3327" width="8.5703125" style="323" customWidth="1"/>
    <col min="3328" max="3328" width="10.7109375" style="323" customWidth="1"/>
    <col min="3329" max="3329" width="11.28515625" style="323" customWidth="1"/>
    <col min="3330" max="3330" width="13.28515625" style="323" customWidth="1"/>
    <col min="3331" max="3331" width="13.42578125" style="323" customWidth="1"/>
    <col min="3332" max="3332" width="12.28515625" style="323" customWidth="1"/>
    <col min="3333" max="3333" width="12.42578125" style="323" customWidth="1"/>
    <col min="3334" max="3334" width="12.28515625" style="323" customWidth="1"/>
    <col min="3335" max="3335" width="12.42578125" style="323" customWidth="1"/>
    <col min="3336" max="3336" width="12.28515625" style="323" customWidth="1"/>
    <col min="3337" max="3337" width="13.7109375" style="323" customWidth="1"/>
    <col min="3338" max="3577" width="9.140625" style="323"/>
    <col min="3578" max="3578" width="9.7109375" style="323" customWidth="1"/>
    <col min="3579" max="3579" width="48.7109375" style="323" customWidth="1"/>
    <col min="3580" max="3580" width="10.85546875" style="323" customWidth="1"/>
    <col min="3581" max="3581" width="10.7109375" style="323" customWidth="1"/>
    <col min="3582" max="3582" width="12.42578125" style="323" customWidth="1"/>
    <col min="3583" max="3583" width="8.5703125" style="323" customWidth="1"/>
    <col min="3584" max="3584" width="10.7109375" style="323" customWidth="1"/>
    <col min="3585" max="3585" width="11.28515625" style="323" customWidth="1"/>
    <col min="3586" max="3586" width="13.28515625" style="323" customWidth="1"/>
    <col min="3587" max="3587" width="13.42578125" style="323" customWidth="1"/>
    <col min="3588" max="3588" width="12.28515625" style="323" customWidth="1"/>
    <col min="3589" max="3589" width="12.42578125" style="323" customWidth="1"/>
    <col min="3590" max="3590" width="12.28515625" style="323" customWidth="1"/>
    <col min="3591" max="3591" width="12.42578125" style="323" customWidth="1"/>
    <col min="3592" max="3592" width="12.28515625" style="323" customWidth="1"/>
    <col min="3593" max="3593" width="13.7109375" style="323" customWidth="1"/>
    <col min="3594" max="3833" width="9.140625" style="323"/>
    <col min="3834" max="3834" width="9.7109375" style="323" customWidth="1"/>
    <col min="3835" max="3835" width="48.7109375" style="323" customWidth="1"/>
    <col min="3836" max="3836" width="10.85546875" style="323" customWidth="1"/>
    <col min="3837" max="3837" width="10.7109375" style="323" customWidth="1"/>
    <col min="3838" max="3838" width="12.42578125" style="323" customWidth="1"/>
    <col min="3839" max="3839" width="8.5703125" style="323" customWidth="1"/>
    <col min="3840" max="3840" width="10.7109375" style="323" customWidth="1"/>
    <col min="3841" max="3841" width="11.28515625" style="323" customWidth="1"/>
    <col min="3842" max="3842" width="13.28515625" style="323" customWidth="1"/>
    <col min="3843" max="3843" width="13.42578125" style="323" customWidth="1"/>
    <col min="3844" max="3844" width="12.28515625" style="323" customWidth="1"/>
    <col min="3845" max="3845" width="12.42578125" style="323" customWidth="1"/>
    <col min="3846" max="3846" width="12.28515625" style="323" customWidth="1"/>
    <col min="3847" max="3847" width="12.42578125" style="323" customWidth="1"/>
    <col min="3848" max="3848" width="12.28515625" style="323" customWidth="1"/>
    <col min="3849" max="3849" width="13.7109375" style="323" customWidth="1"/>
    <col min="3850" max="4089" width="9.140625" style="323"/>
    <col min="4090" max="4090" width="9.7109375" style="323" customWidth="1"/>
    <col min="4091" max="4091" width="48.7109375" style="323" customWidth="1"/>
    <col min="4092" max="4092" width="10.85546875" style="323" customWidth="1"/>
    <col min="4093" max="4093" width="10.7109375" style="323" customWidth="1"/>
    <col min="4094" max="4094" width="12.42578125" style="323" customWidth="1"/>
    <col min="4095" max="4095" width="8.5703125" style="323" customWidth="1"/>
    <col min="4096" max="4096" width="10.7109375" style="323" customWidth="1"/>
    <col min="4097" max="4097" width="11.28515625" style="323" customWidth="1"/>
    <col min="4098" max="4098" width="13.28515625" style="323" customWidth="1"/>
    <col min="4099" max="4099" width="13.42578125" style="323" customWidth="1"/>
    <col min="4100" max="4100" width="12.28515625" style="323" customWidth="1"/>
    <col min="4101" max="4101" width="12.42578125" style="323" customWidth="1"/>
    <col min="4102" max="4102" width="12.28515625" style="323" customWidth="1"/>
    <col min="4103" max="4103" width="12.42578125" style="323" customWidth="1"/>
    <col min="4104" max="4104" width="12.28515625" style="323" customWidth="1"/>
    <col min="4105" max="4105" width="13.7109375" style="323" customWidth="1"/>
    <col min="4106" max="4345" width="9.140625" style="323"/>
    <col min="4346" max="4346" width="9.7109375" style="323" customWidth="1"/>
    <col min="4347" max="4347" width="48.7109375" style="323" customWidth="1"/>
    <col min="4348" max="4348" width="10.85546875" style="323" customWidth="1"/>
    <col min="4349" max="4349" width="10.7109375" style="323" customWidth="1"/>
    <col min="4350" max="4350" width="12.42578125" style="323" customWidth="1"/>
    <col min="4351" max="4351" width="8.5703125" style="323" customWidth="1"/>
    <col min="4352" max="4352" width="10.7109375" style="323" customWidth="1"/>
    <col min="4353" max="4353" width="11.28515625" style="323" customWidth="1"/>
    <col min="4354" max="4354" width="13.28515625" style="323" customWidth="1"/>
    <col min="4355" max="4355" width="13.42578125" style="323" customWidth="1"/>
    <col min="4356" max="4356" width="12.28515625" style="323" customWidth="1"/>
    <col min="4357" max="4357" width="12.42578125" style="323" customWidth="1"/>
    <col min="4358" max="4358" width="12.28515625" style="323" customWidth="1"/>
    <col min="4359" max="4359" width="12.42578125" style="323" customWidth="1"/>
    <col min="4360" max="4360" width="12.28515625" style="323" customWidth="1"/>
    <col min="4361" max="4361" width="13.7109375" style="323" customWidth="1"/>
    <col min="4362" max="4601" width="9.140625" style="323"/>
    <col min="4602" max="4602" width="9.7109375" style="323" customWidth="1"/>
    <col min="4603" max="4603" width="48.7109375" style="323" customWidth="1"/>
    <col min="4604" max="4604" width="10.85546875" style="323" customWidth="1"/>
    <col min="4605" max="4605" width="10.7109375" style="323" customWidth="1"/>
    <col min="4606" max="4606" width="12.42578125" style="323" customWidth="1"/>
    <col min="4607" max="4607" width="8.5703125" style="323" customWidth="1"/>
    <col min="4608" max="4608" width="10.7109375" style="323" customWidth="1"/>
    <col min="4609" max="4609" width="11.28515625" style="323" customWidth="1"/>
    <col min="4610" max="4610" width="13.28515625" style="323" customWidth="1"/>
    <col min="4611" max="4611" width="13.42578125" style="323" customWidth="1"/>
    <col min="4612" max="4612" width="12.28515625" style="323" customWidth="1"/>
    <col min="4613" max="4613" width="12.42578125" style="323" customWidth="1"/>
    <col min="4614" max="4614" width="12.28515625" style="323" customWidth="1"/>
    <col min="4615" max="4615" width="12.42578125" style="323" customWidth="1"/>
    <col min="4616" max="4616" width="12.28515625" style="323" customWidth="1"/>
    <col min="4617" max="4617" width="13.7109375" style="323" customWidth="1"/>
    <col min="4618" max="4857" width="9.140625" style="323"/>
    <col min="4858" max="4858" width="9.7109375" style="323" customWidth="1"/>
    <col min="4859" max="4859" width="48.7109375" style="323" customWidth="1"/>
    <col min="4860" max="4860" width="10.85546875" style="323" customWidth="1"/>
    <col min="4861" max="4861" width="10.7109375" style="323" customWidth="1"/>
    <col min="4862" max="4862" width="12.42578125" style="323" customWidth="1"/>
    <col min="4863" max="4863" width="8.5703125" style="323" customWidth="1"/>
    <col min="4864" max="4864" width="10.7109375" style="323" customWidth="1"/>
    <col min="4865" max="4865" width="11.28515625" style="323" customWidth="1"/>
    <col min="4866" max="4866" width="13.28515625" style="323" customWidth="1"/>
    <col min="4867" max="4867" width="13.42578125" style="323" customWidth="1"/>
    <col min="4868" max="4868" width="12.28515625" style="323" customWidth="1"/>
    <col min="4869" max="4869" width="12.42578125" style="323" customWidth="1"/>
    <col min="4870" max="4870" width="12.28515625" style="323" customWidth="1"/>
    <col min="4871" max="4871" width="12.42578125" style="323" customWidth="1"/>
    <col min="4872" max="4872" width="12.28515625" style="323" customWidth="1"/>
    <col min="4873" max="4873" width="13.7109375" style="323" customWidth="1"/>
    <col min="4874" max="5113" width="9.140625" style="323"/>
    <col min="5114" max="5114" width="9.7109375" style="323" customWidth="1"/>
    <col min="5115" max="5115" width="48.7109375" style="323" customWidth="1"/>
    <col min="5116" max="5116" width="10.85546875" style="323" customWidth="1"/>
    <col min="5117" max="5117" width="10.7109375" style="323" customWidth="1"/>
    <col min="5118" max="5118" width="12.42578125" style="323" customWidth="1"/>
    <col min="5119" max="5119" width="8.5703125" style="323" customWidth="1"/>
    <col min="5120" max="5120" width="10.7109375" style="323" customWidth="1"/>
    <col min="5121" max="5121" width="11.28515625" style="323" customWidth="1"/>
    <col min="5122" max="5122" width="13.28515625" style="323" customWidth="1"/>
    <col min="5123" max="5123" width="13.42578125" style="323" customWidth="1"/>
    <col min="5124" max="5124" width="12.28515625" style="323" customWidth="1"/>
    <col min="5125" max="5125" width="12.42578125" style="323" customWidth="1"/>
    <col min="5126" max="5126" width="12.28515625" style="323" customWidth="1"/>
    <col min="5127" max="5127" width="12.42578125" style="323" customWidth="1"/>
    <col min="5128" max="5128" width="12.28515625" style="323" customWidth="1"/>
    <col min="5129" max="5129" width="13.7109375" style="323" customWidth="1"/>
    <col min="5130" max="5369" width="9.140625" style="323"/>
    <col min="5370" max="5370" width="9.7109375" style="323" customWidth="1"/>
    <col min="5371" max="5371" width="48.7109375" style="323" customWidth="1"/>
    <col min="5372" max="5372" width="10.85546875" style="323" customWidth="1"/>
    <col min="5373" max="5373" width="10.7109375" style="323" customWidth="1"/>
    <col min="5374" max="5374" width="12.42578125" style="323" customWidth="1"/>
    <col min="5375" max="5375" width="8.5703125" style="323" customWidth="1"/>
    <col min="5376" max="5376" width="10.7109375" style="323" customWidth="1"/>
    <col min="5377" max="5377" width="11.28515625" style="323" customWidth="1"/>
    <col min="5378" max="5378" width="13.28515625" style="323" customWidth="1"/>
    <col min="5379" max="5379" width="13.42578125" style="323" customWidth="1"/>
    <col min="5380" max="5380" width="12.28515625" style="323" customWidth="1"/>
    <col min="5381" max="5381" width="12.42578125" style="323" customWidth="1"/>
    <col min="5382" max="5382" width="12.28515625" style="323" customWidth="1"/>
    <col min="5383" max="5383" width="12.42578125" style="323" customWidth="1"/>
    <col min="5384" max="5384" width="12.28515625" style="323" customWidth="1"/>
    <col min="5385" max="5385" width="13.7109375" style="323" customWidth="1"/>
    <col min="5386" max="5625" width="9.140625" style="323"/>
    <col min="5626" max="5626" width="9.7109375" style="323" customWidth="1"/>
    <col min="5627" max="5627" width="48.7109375" style="323" customWidth="1"/>
    <col min="5628" max="5628" width="10.85546875" style="323" customWidth="1"/>
    <col min="5629" max="5629" width="10.7109375" style="323" customWidth="1"/>
    <col min="5630" max="5630" width="12.42578125" style="323" customWidth="1"/>
    <col min="5631" max="5631" width="8.5703125" style="323" customWidth="1"/>
    <col min="5632" max="5632" width="10.7109375" style="323" customWidth="1"/>
    <col min="5633" max="5633" width="11.28515625" style="323" customWidth="1"/>
    <col min="5634" max="5634" width="13.28515625" style="323" customWidth="1"/>
    <col min="5635" max="5635" width="13.42578125" style="323" customWidth="1"/>
    <col min="5636" max="5636" width="12.28515625" style="323" customWidth="1"/>
    <col min="5637" max="5637" width="12.42578125" style="323" customWidth="1"/>
    <col min="5638" max="5638" width="12.28515625" style="323" customWidth="1"/>
    <col min="5639" max="5639" width="12.42578125" style="323" customWidth="1"/>
    <col min="5640" max="5640" width="12.28515625" style="323" customWidth="1"/>
    <col min="5641" max="5641" width="13.7109375" style="323" customWidth="1"/>
    <col min="5642" max="5881" width="9.140625" style="323"/>
    <col min="5882" max="5882" width="9.7109375" style="323" customWidth="1"/>
    <col min="5883" max="5883" width="48.7109375" style="323" customWidth="1"/>
    <col min="5884" max="5884" width="10.85546875" style="323" customWidth="1"/>
    <col min="5885" max="5885" width="10.7109375" style="323" customWidth="1"/>
    <col min="5886" max="5886" width="12.42578125" style="323" customWidth="1"/>
    <col min="5887" max="5887" width="8.5703125" style="323" customWidth="1"/>
    <col min="5888" max="5888" width="10.7109375" style="323" customWidth="1"/>
    <col min="5889" max="5889" width="11.28515625" style="323" customWidth="1"/>
    <col min="5890" max="5890" width="13.28515625" style="323" customWidth="1"/>
    <col min="5891" max="5891" width="13.42578125" style="323" customWidth="1"/>
    <col min="5892" max="5892" width="12.28515625" style="323" customWidth="1"/>
    <col min="5893" max="5893" width="12.42578125" style="323" customWidth="1"/>
    <col min="5894" max="5894" width="12.28515625" style="323" customWidth="1"/>
    <col min="5895" max="5895" width="12.42578125" style="323" customWidth="1"/>
    <col min="5896" max="5896" width="12.28515625" style="323" customWidth="1"/>
    <col min="5897" max="5897" width="13.7109375" style="323" customWidth="1"/>
    <col min="5898" max="6137" width="9.140625" style="323"/>
    <col min="6138" max="6138" width="9.7109375" style="323" customWidth="1"/>
    <col min="6139" max="6139" width="48.7109375" style="323" customWidth="1"/>
    <col min="6140" max="6140" width="10.85546875" style="323" customWidth="1"/>
    <col min="6141" max="6141" width="10.7109375" style="323" customWidth="1"/>
    <col min="6142" max="6142" width="12.42578125" style="323" customWidth="1"/>
    <col min="6143" max="6143" width="8.5703125" style="323" customWidth="1"/>
    <col min="6144" max="6144" width="10.7109375" style="323" customWidth="1"/>
    <col min="6145" max="6145" width="11.28515625" style="323" customWidth="1"/>
    <col min="6146" max="6146" width="13.28515625" style="323" customWidth="1"/>
    <col min="6147" max="6147" width="13.42578125" style="323" customWidth="1"/>
    <col min="6148" max="6148" width="12.28515625" style="323" customWidth="1"/>
    <col min="6149" max="6149" width="12.42578125" style="323" customWidth="1"/>
    <col min="6150" max="6150" width="12.28515625" style="323" customWidth="1"/>
    <col min="6151" max="6151" width="12.42578125" style="323" customWidth="1"/>
    <col min="6152" max="6152" width="12.28515625" style="323" customWidth="1"/>
    <col min="6153" max="6153" width="13.7109375" style="323" customWidth="1"/>
    <col min="6154" max="6393" width="9.140625" style="323"/>
    <col min="6394" max="6394" width="9.7109375" style="323" customWidth="1"/>
    <col min="6395" max="6395" width="48.7109375" style="323" customWidth="1"/>
    <col min="6396" max="6396" width="10.85546875" style="323" customWidth="1"/>
    <col min="6397" max="6397" width="10.7109375" style="323" customWidth="1"/>
    <col min="6398" max="6398" width="12.42578125" style="323" customWidth="1"/>
    <col min="6399" max="6399" width="8.5703125" style="323" customWidth="1"/>
    <col min="6400" max="6400" width="10.7109375" style="323" customWidth="1"/>
    <col min="6401" max="6401" width="11.28515625" style="323" customWidth="1"/>
    <col min="6402" max="6402" width="13.28515625" style="323" customWidth="1"/>
    <col min="6403" max="6403" width="13.42578125" style="323" customWidth="1"/>
    <col min="6404" max="6404" width="12.28515625" style="323" customWidth="1"/>
    <col min="6405" max="6405" width="12.42578125" style="323" customWidth="1"/>
    <col min="6406" max="6406" width="12.28515625" style="323" customWidth="1"/>
    <col min="6407" max="6407" width="12.42578125" style="323" customWidth="1"/>
    <col min="6408" max="6408" width="12.28515625" style="323" customWidth="1"/>
    <col min="6409" max="6409" width="13.7109375" style="323" customWidth="1"/>
    <col min="6410" max="6649" width="9.140625" style="323"/>
    <col min="6650" max="6650" width="9.7109375" style="323" customWidth="1"/>
    <col min="6651" max="6651" width="48.7109375" style="323" customWidth="1"/>
    <col min="6652" max="6652" width="10.85546875" style="323" customWidth="1"/>
    <col min="6653" max="6653" width="10.7109375" style="323" customWidth="1"/>
    <col min="6654" max="6654" width="12.42578125" style="323" customWidth="1"/>
    <col min="6655" max="6655" width="8.5703125" style="323" customWidth="1"/>
    <col min="6656" max="6656" width="10.7109375" style="323" customWidth="1"/>
    <col min="6657" max="6657" width="11.28515625" style="323" customWidth="1"/>
    <col min="6658" max="6658" width="13.28515625" style="323" customWidth="1"/>
    <col min="6659" max="6659" width="13.42578125" style="323" customWidth="1"/>
    <col min="6660" max="6660" width="12.28515625" style="323" customWidth="1"/>
    <col min="6661" max="6661" width="12.42578125" style="323" customWidth="1"/>
    <col min="6662" max="6662" width="12.28515625" style="323" customWidth="1"/>
    <col min="6663" max="6663" width="12.42578125" style="323" customWidth="1"/>
    <col min="6664" max="6664" width="12.28515625" style="323" customWidth="1"/>
    <col min="6665" max="6665" width="13.7109375" style="323" customWidth="1"/>
    <col min="6666" max="6905" width="9.140625" style="323"/>
    <col min="6906" max="6906" width="9.7109375" style="323" customWidth="1"/>
    <col min="6907" max="6907" width="48.7109375" style="323" customWidth="1"/>
    <col min="6908" max="6908" width="10.85546875" style="323" customWidth="1"/>
    <col min="6909" max="6909" width="10.7109375" style="323" customWidth="1"/>
    <col min="6910" max="6910" width="12.42578125" style="323" customWidth="1"/>
    <col min="6911" max="6911" width="8.5703125" style="323" customWidth="1"/>
    <col min="6912" max="6912" width="10.7109375" style="323" customWidth="1"/>
    <col min="6913" max="6913" width="11.28515625" style="323" customWidth="1"/>
    <col min="6914" max="6914" width="13.28515625" style="323" customWidth="1"/>
    <col min="6915" max="6915" width="13.42578125" style="323" customWidth="1"/>
    <col min="6916" max="6916" width="12.28515625" style="323" customWidth="1"/>
    <col min="6917" max="6917" width="12.42578125" style="323" customWidth="1"/>
    <col min="6918" max="6918" width="12.28515625" style="323" customWidth="1"/>
    <col min="6919" max="6919" width="12.42578125" style="323" customWidth="1"/>
    <col min="6920" max="6920" width="12.28515625" style="323" customWidth="1"/>
    <col min="6921" max="6921" width="13.7109375" style="323" customWidth="1"/>
    <col min="6922" max="7161" width="9.140625" style="323"/>
    <col min="7162" max="7162" width="9.7109375" style="323" customWidth="1"/>
    <col min="7163" max="7163" width="48.7109375" style="323" customWidth="1"/>
    <col min="7164" max="7164" width="10.85546875" style="323" customWidth="1"/>
    <col min="7165" max="7165" width="10.7109375" style="323" customWidth="1"/>
    <col min="7166" max="7166" width="12.42578125" style="323" customWidth="1"/>
    <col min="7167" max="7167" width="8.5703125" style="323" customWidth="1"/>
    <col min="7168" max="7168" width="10.7109375" style="323" customWidth="1"/>
    <col min="7169" max="7169" width="11.28515625" style="323" customWidth="1"/>
    <col min="7170" max="7170" width="13.28515625" style="323" customWidth="1"/>
    <col min="7171" max="7171" width="13.42578125" style="323" customWidth="1"/>
    <col min="7172" max="7172" width="12.28515625" style="323" customWidth="1"/>
    <col min="7173" max="7173" width="12.42578125" style="323" customWidth="1"/>
    <col min="7174" max="7174" width="12.28515625" style="323" customWidth="1"/>
    <col min="7175" max="7175" width="12.42578125" style="323" customWidth="1"/>
    <col min="7176" max="7176" width="12.28515625" style="323" customWidth="1"/>
    <col min="7177" max="7177" width="13.7109375" style="323" customWidth="1"/>
    <col min="7178" max="7417" width="9.140625" style="323"/>
    <col min="7418" max="7418" width="9.7109375" style="323" customWidth="1"/>
    <col min="7419" max="7419" width="48.7109375" style="323" customWidth="1"/>
    <col min="7420" max="7420" width="10.85546875" style="323" customWidth="1"/>
    <col min="7421" max="7421" width="10.7109375" style="323" customWidth="1"/>
    <col min="7422" max="7422" width="12.42578125" style="323" customWidth="1"/>
    <col min="7423" max="7423" width="8.5703125" style="323" customWidth="1"/>
    <col min="7424" max="7424" width="10.7109375" style="323" customWidth="1"/>
    <col min="7425" max="7425" width="11.28515625" style="323" customWidth="1"/>
    <col min="7426" max="7426" width="13.28515625" style="323" customWidth="1"/>
    <col min="7427" max="7427" width="13.42578125" style="323" customWidth="1"/>
    <col min="7428" max="7428" width="12.28515625" style="323" customWidth="1"/>
    <col min="7429" max="7429" width="12.42578125" style="323" customWidth="1"/>
    <col min="7430" max="7430" width="12.28515625" style="323" customWidth="1"/>
    <col min="7431" max="7431" width="12.42578125" style="323" customWidth="1"/>
    <col min="7432" max="7432" width="12.28515625" style="323" customWidth="1"/>
    <col min="7433" max="7433" width="13.7109375" style="323" customWidth="1"/>
    <col min="7434" max="7673" width="9.140625" style="323"/>
    <col min="7674" max="7674" width="9.7109375" style="323" customWidth="1"/>
    <col min="7675" max="7675" width="48.7109375" style="323" customWidth="1"/>
    <col min="7676" max="7676" width="10.85546875" style="323" customWidth="1"/>
    <col min="7677" max="7677" width="10.7109375" style="323" customWidth="1"/>
    <col min="7678" max="7678" width="12.42578125" style="323" customWidth="1"/>
    <col min="7679" max="7679" width="8.5703125" style="323" customWidth="1"/>
    <col min="7680" max="7680" width="10.7109375" style="323" customWidth="1"/>
    <col min="7681" max="7681" width="11.28515625" style="323" customWidth="1"/>
    <col min="7682" max="7682" width="13.28515625" style="323" customWidth="1"/>
    <col min="7683" max="7683" width="13.42578125" style="323" customWidth="1"/>
    <col min="7684" max="7684" width="12.28515625" style="323" customWidth="1"/>
    <col min="7685" max="7685" width="12.42578125" style="323" customWidth="1"/>
    <col min="7686" max="7686" width="12.28515625" style="323" customWidth="1"/>
    <col min="7687" max="7687" width="12.42578125" style="323" customWidth="1"/>
    <col min="7688" max="7688" width="12.28515625" style="323" customWidth="1"/>
    <col min="7689" max="7689" width="13.7109375" style="323" customWidth="1"/>
    <col min="7690" max="7929" width="9.140625" style="323"/>
    <col min="7930" max="7930" width="9.7109375" style="323" customWidth="1"/>
    <col min="7931" max="7931" width="48.7109375" style="323" customWidth="1"/>
    <col min="7932" max="7932" width="10.85546875" style="323" customWidth="1"/>
    <col min="7933" max="7933" width="10.7109375" style="323" customWidth="1"/>
    <col min="7934" max="7934" width="12.42578125" style="323" customWidth="1"/>
    <col min="7935" max="7935" width="8.5703125" style="323" customWidth="1"/>
    <col min="7936" max="7936" width="10.7109375" style="323" customWidth="1"/>
    <col min="7937" max="7937" width="11.28515625" style="323" customWidth="1"/>
    <col min="7938" max="7938" width="13.28515625" style="323" customWidth="1"/>
    <col min="7939" max="7939" width="13.42578125" style="323" customWidth="1"/>
    <col min="7940" max="7940" width="12.28515625" style="323" customWidth="1"/>
    <col min="7941" max="7941" width="12.42578125" style="323" customWidth="1"/>
    <col min="7942" max="7942" width="12.28515625" style="323" customWidth="1"/>
    <col min="7943" max="7943" width="12.42578125" style="323" customWidth="1"/>
    <col min="7944" max="7944" width="12.28515625" style="323" customWidth="1"/>
    <col min="7945" max="7945" width="13.7109375" style="323" customWidth="1"/>
    <col min="7946" max="8185" width="9.140625" style="323"/>
    <col min="8186" max="8186" width="9.7109375" style="323" customWidth="1"/>
    <col min="8187" max="8187" width="48.7109375" style="323" customWidth="1"/>
    <col min="8188" max="8188" width="10.85546875" style="323" customWidth="1"/>
    <col min="8189" max="8189" width="10.7109375" style="323" customWidth="1"/>
    <col min="8190" max="8190" width="12.42578125" style="323" customWidth="1"/>
    <col min="8191" max="8191" width="8.5703125" style="323" customWidth="1"/>
    <col min="8192" max="8192" width="10.7109375" style="323" customWidth="1"/>
    <col min="8193" max="8193" width="11.28515625" style="323" customWidth="1"/>
    <col min="8194" max="8194" width="13.28515625" style="323" customWidth="1"/>
    <col min="8195" max="8195" width="13.42578125" style="323" customWidth="1"/>
    <col min="8196" max="8196" width="12.28515625" style="323" customWidth="1"/>
    <col min="8197" max="8197" width="12.42578125" style="323" customWidth="1"/>
    <col min="8198" max="8198" width="12.28515625" style="323" customWidth="1"/>
    <col min="8199" max="8199" width="12.42578125" style="323" customWidth="1"/>
    <col min="8200" max="8200" width="12.28515625" style="323" customWidth="1"/>
    <col min="8201" max="8201" width="13.7109375" style="323" customWidth="1"/>
    <col min="8202" max="8441" width="9.140625" style="323"/>
    <col min="8442" max="8442" width="9.7109375" style="323" customWidth="1"/>
    <col min="8443" max="8443" width="48.7109375" style="323" customWidth="1"/>
    <col min="8444" max="8444" width="10.85546875" style="323" customWidth="1"/>
    <col min="8445" max="8445" width="10.7109375" style="323" customWidth="1"/>
    <col min="8446" max="8446" width="12.42578125" style="323" customWidth="1"/>
    <col min="8447" max="8447" width="8.5703125" style="323" customWidth="1"/>
    <col min="8448" max="8448" width="10.7109375" style="323" customWidth="1"/>
    <col min="8449" max="8449" width="11.28515625" style="323" customWidth="1"/>
    <col min="8450" max="8450" width="13.28515625" style="323" customWidth="1"/>
    <col min="8451" max="8451" width="13.42578125" style="323" customWidth="1"/>
    <col min="8452" max="8452" width="12.28515625" style="323" customWidth="1"/>
    <col min="8453" max="8453" width="12.42578125" style="323" customWidth="1"/>
    <col min="8454" max="8454" width="12.28515625" style="323" customWidth="1"/>
    <col min="8455" max="8455" width="12.42578125" style="323" customWidth="1"/>
    <col min="8456" max="8456" width="12.28515625" style="323" customWidth="1"/>
    <col min="8457" max="8457" width="13.7109375" style="323" customWidth="1"/>
    <col min="8458" max="8697" width="9.140625" style="323"/>
    <col min="8698" max="8698" width="9.7109375" style="323" customWidth="1"/>
    <col min="8699" max="8699" width="48.7109375" style="323" customWidth="1"/>
    <col min="8700" max="8700" width="10.85546875" style="323" customWidth="1"/>
    <col min="8701" max="8701" width="10.7109375" style="323" customWidth="1"/>
    <col min="8702" max="8702" width="12.42578125" style="323" customWidth="1"/>
    <col min="8703" max="8703" width="8.5703125" style="323" customWidth="1"/>
    <col min="8704" max="8704" width="10.7109375" style="323" customWidth="1"/>
    <col min="8705" max="8705" width="11.28515625" style="323" customWidth="1"/>
    <col min="8706" max="8706" width="13.28515625" style="323" customWidth="1"/>
    <col min="8707" max="8707" width="13.42578125" style="323" customWidth="1"/>
    <col min="8708" max="8708" width="12.28515625" style="323" customWidth="1"/>
    <col min="8709" max="8709" width="12.42578125" style="323" customWidth="1"/>
    <col min="8710" max="8710" width="12.28515625" style="323" customWidth="1"/>
    <col min="8711" max="8711" width="12.42578125" style="323" customWidth="1"/>
    <col min="8712" max="8712" width="12.28515625" style="323" customWidth="1"/>
    <col min="8713" max="8713" width="13.7109375" style="323" customWidth="1"/>
    <col min="8714" max="8953" width="9.140625" style="323"/>
    <col min="8954" max="8954" width="9.7109375" style="323" customWidth="1"/>
    <col min="8955" max="8955" width="48.7109375" style="323" customWidth="1"/>
    <col min="8956" max="8956" width="10.85546875" style="323" customWidth="1"/>
    <col min="8957" max="8957" width="10.7109375" style="323" customWidth="1"/>
    <col min="8958" max="8958" width="12.42578125" style="323" customWidth="1"/>
    <col min="8959" max="8959" width="8.5703125" style="323" customWidth="1"/>
    <col min="8960" max="8960" width="10.7109375" style="323" customWidth="1"/>
    <col min="8961" max="8961" width="11.28515625" style="323" customWidth="1"/>
    <col min="8962" max="8962" width="13.28515625" style="323" customWidth="1"/>
    <col min="8963" max="8963" width="13.42578125" style="323" customWidth="1"/>
    <col min="8964" max="8964" width="12.28515625" style="323" customWidth="1"/>
    <col min="8965" max="8965" width="12.42578125" style="323" customWidth="1"/>
    <col min="8966" max="8966" width="12.28515625" style="323" customWidth="1"/>
    <col min="8967" max="8967" width="12.42578125" style="323" customWidth="1"/>
    <col min="8968" max="8968" width="12.28515625" style="323" customWidth="1"/>
    <col min="8969" max="8969" width="13.7109375" style="323" customWidth="1"/>
    <col min="8970" max="9209" width="9.140625" style="323"/>
    <col min="9210" max="9210" width="9.7109375" style="323" customWidth="1"/>
    <col min="9211" max="9211" width="48.7109375" style="323" customWidth="1"/>
    <col min="9212" max="9212" width="10.85546875" style="323" customWidth="1"/>
    <col min="9213" max="9213" width="10.7109375" style="323" customWidth="1"/>
    <col min="9214" max="9214" width="12.42578125" style="323" customWidth="1"/>
    <col min="9215" max="9215" width="8.5703125" style="323" customWidth="1"/>
    <col min="9216" max="9216" width="10.7109375" style="323" customWidth="1"/>
    <col min="9217" max="9217" width="11.28515625" style="323" customWidth="1"/>
    <col min="9218" max="9218" width="13.28515625" style="323" customWidth="1"/>
    <col min="9219" max="9219" width="13.42578125" style="323" customWidth="1"/>
    <col min="9220" max="9220" width="12.28515625" style="323" customWidth="1"/>
    <col min="9221" max="9221" width="12.42578125" style="323" customWidth="1"/>
    <col min="9222" max="9222" width="12.28515625" style="323" customWidth="1"/>
    <col min="9223" max="9223" width="12.42578125" style="323" customWidth="1"/>
    <col min="9224" max="9224" width="12.28515625" style="323" customWidth="1"/>
    <col min="9225" max="9225" width="13.7109375" style="323" customWidth="1"/>
    <col min="9226" max="9465" width="9.140625" style="323"/>
    <col min="9466" max="9466" width="9.7109375" style="323" customWidth="1"/>
    <col min="9467" max="9467" width="48.7109375" style="323" customWidth="1"/>
    <col min="9468" max="9468" width="10.85546875" style="323" customWidth="1"/>
    <col min="9469" max="9469" width="10.7109375" style="323" customWidth="1"/>
    <col min="9470" max="9470" width="12.42578125" style="323" customWidth="1"/>
    <col min="9471" max="9471" width="8.5703125" style="323" customWidth="1"/>
    <col min="9472" max="9472" width="10.7109375" style="323" customWidth="1"/>
    <col min="9473" max="9473" width="11.28515625" style="323" customWidth="1"/>
    <col min="9474" max="9474" width="13.28515625" style="323" customWidth="1"/>
    <col min="9475" max="9475" width="13.42578125" style="323" customWidth="1"/>
    <col min="9476" max="9476" width="12.28515625" style="323" customWidth="1"/>
    <col min="9477" max="9477" width="12.42578125" style="323" customWidth="1"/>
    <col min="9478" max="9478" width="12.28515625" style="323" customWidth="1"/>
    <col min="9479" max="9479" width="12.42578125" style="323" customWidth="1"/>
    <col min="9480" max="9480" width="12.28515625" style="323" customWidth="1"/>
    <col min="9481" max="9481" width="13.7109375" style="323" customWidth="1"/>
    <col min="9482" max="9721" width="9.140625" style="323"/>
    <col min="9722" max="9722" width="9.7109375" style="323" customWidth="1"/>
    <col min="9723" max="9723" width="48.7109375" style="323" customWidth="1"/>
    <col min="9724" max="9724" width="10.85546875" style="323" customWidth="1"/>
    <col min="9725" max="9725" width="10.7109375" style="323" customWidth="1"/>
    <col min="9726" max="9726" width="12.42578125" style="323" customWidth="1"/>
    <col min="9727" max="9727" width="8.5703125" style="323" customWidth="1"/>
    <col min="9728" max="9728" width="10.7109375" style="323" customWidth="1"/>
    <col min="9729" max="9729" width="11.28515625" style="323" customWidth="1"/>
    <col min="9730" max="9730" width="13.28515625" style="323" customWidth="1"/>
    <col min="9731" max="9731" width="13.42578125" style="323" customWidth="1"/>
    <col min="9732" max="9732" width="12.28515625" style="323" customWidth="1"/>
    <col min="9733" max="9733" width="12.42578125" style="323" customWidth="1"/>
    <col min="9734" max="9734" width="12.28515625" style="323" customWidth="1"/>
    <col min="9735" max="9735" width="12.42578125" style="323" customWidth="1"/>
    <col min="9736" max="9736" width="12.28515625" style="323" customWidth="1"/>
    <col min="9737" max="9737" width="13.7109375" style="323" customWidth="1"/>
    <col min="9738" max="9977" width="9.140625" style="323"/>
    <col min="9978" max="9978" width="9.7109375" style="323" customWidth="1"/>
    <col min="9979" max="9979" width="48.7109375" style="323" customWidth="1"/>
    <col min="9980" max="9980" width="10.85546875" style="323" customWidth="1"/>
    <col min="9981" max="9981" width="10.7109375" style="323" customWidth="1"/>
    <col min="9982" max="9982" width="12.42578125" style="323" customWidth="1"/>
    <col min="9983" max="9983" width="8.5703125" style="323" customWidth="1"/>
    <col min="9984" max="9984" width="10.7109375" style="323" customWidth="1"/>
    <col min="9985" max="9985" width="11.28515625" style="323" customWidth="1"/>
    <col min="9986" max="9986" width="13.28515625" style="323" customWidth="1"/>
    <col min="9987" max="9987" width="13.42578125" style="323" customWidth="1"/>
    <col min="9988" max="9988" width="12.28515625" style="323" customWidth="1"/>
    <col min="9989" max="9989" width="12.42578125" style="323" customWidth="1"/>
    <col min="9990" max="9990" width="12.28515625" style="323" customWidth="1"/>
    <col min="9991" max="9991" width="12.42578125" style="323" customWidth="1"/>
    <col min="9992" max="9992" width="12.28515625" style="323" customWidth="1"/>
    <col min="9993" max="9993" width="13.7109375" style="323" customWidth="1"/>
    <col min="9994" max="10233" width="9.140625" style="323"/>
    <col min="10234" max="10234" width="9.7109375" style="323" customWidth="1"/>
    <col min="10235" max="10235" width="48.7109375" style="323" customWidth="1"/>
    <col min="10236" max="10236" width="10.85546875" style="323" customWidth="1"/>
    <col min="10237" max="10237" width="10.7109375" style="323" customWidth="1"/>
    <col min="10238" max="10238" width="12.42578125" style="323" customWidth="1"/>
    <col min="10239" max="10239" width="8.5703125" style="323" customWidth="1"/>
    <col min="10240" max="10240" width="10.7109375" style="323" customWidth="1"/>
    <col min="10241" max="10241" width="11.28515625" style="323" customWidth="1"/>
    <col min="10242" max="10242" width="13.28515625" style="323" customWidth="1"/>
    <col min="10243" max="10243" width="13.42578125" style="323" customWidth="1"/>
    <col min="10244" max="10244" width="12.28515625" style="323" customWidth="1"/>
    <col min="10245" max="10245" width="12.42578125" style="323" customWidth="1"/>
    <col min="10246" max="10246" width="12.28515625" style="323" customWidth="1"/>
    <col min="10247" max="10247" width="12.42578125" style="323" customWidth="1"/>
    <col min="10248" max="10248" width="12.28515625" style="323" customWidth="1"/>
    <col min="10249" max="10249" width="13.7109375" style="323" customWidth="1"/>
    <col min="10250" max="10489" width="9.140625" style="323"/>
    <col min="10490" max="10490" width="9.7109375" style="323" customWidth="1"/>
    <col min="10491" max="10491" width="48.7109375" style="323" customWidth="1"/>
    <col min="10492" max="10492" width="10.85546875" style="323" customWidth="1"/>
    <col min="10493" max="10493" width="10.7109375" style="323" customWidth="1"/>
    <col min="10494" max="10494" width="12.42578125" style="323" customWidth="1"/>
    <col min="10495" max="10495" width="8.5703125" style="323" customWidth="1"/>
    <col min="10496" max="10496" width="10.7109375" style="323" customWidth="1"/>
    <col min="10497" max="10497" width="11.28515625" style="323" customWidth="1"/>
    <col min="10498" max="10498" width="13.28515625" style="323" customWidth="1"/>
    <col min="10499" max="10499" width="13.42578125" style="323" customWidth="1"/>
    <col min="10500" max="10500" width="12.28515625" style="323" customWidth="1"/>
    <col min="10501" max="10501" width="12.42578125" style="323" customWidth="1"/>
    <col min="10502" max="10502" width="12.28515625" style="323" customWidth="1"/>
    <col min="10503" max="10503" width="12.42578125" style="323" customWidth="1"/>
    <col min="10504" max="10504" width="12.28515625" style="323" customWidth="1"/>
    <col min="10505" max="10505" width="13.7109375" style="323" customWidth="1"/>
    <col min="10506" max="10745" width="9.140625" style="323"/>
    <col min="10746" max="10746" width="9.7109375" style="323" customWidth="1"/>
    <col min="10747" max="10747" width="48.7109375" style="323" customWidth="1"/>
    <col min="10748" max="10748" width="10.85546875" style="323" customWidth="1"/>
    <col min="10749" max="10749" width="10.7109375" style="323" customWidth="1"/>
    <col min="10750" max="10750" width="12.42578125" style="323" customWidth="1"/>
    <col min="10751" max="10751" width="8.5703125" style="323" customWidth="1"/>
    <col min="10752" max="10752" width="10.7109375" style="323" customWidth="1"/>
    <col min="10753" max="10753" width="11.28515625" style="323" customWidth="1"/>
    <col min="10754" max="10754" width="13.28515625" style="323" customWidth="1"/>
    <col min="10755" max="10755" width="13.42578125" style="323" customWidth="1"/>
    <col min="10756" max="10756" width="12.28515625" style="323" customWidth="1"/>
    <col min="10757" max="10757" width="12.42578125" style="323" customWidth="1"/>
    <col min="10758" max="10758" width="12.28515625" style="323" customWidth="1"/>
    <col min="10759" max="10759" width="12.42578125" style="323" customWidth="1"/>
    <col min="10760" max="10760" width="12.28515625" style="323" customWidth="1"/>
    <col min="10761" max="10761" width="13.7109375" style="323" customWidth="1"/>
    <col min="10762" max="11001" width="9.140625" style="323"/>
    <col min="11002" max="11002" width="9.7109375" style="323" customWidth="1"/>
    <col min="11003" max="11003" width="48.7109375" style="323" customWidth="1"/>
    <col min="11004" max="11004" width="10.85546875" style="323" customWidth="1"/>
    <col min="11005" max="11005" width="10.7109375" style="323" customWidth="1"/>
    <col min="11006" max="11006" width="12.42578125" style="323" customWidth="1"/>
    <col min="11007" max="11007" width="8.5703125" style="323" customWidth="1"/>
    <col min="11008" max="11008" width="10.7109375" style="323" customWidth="1"/>
    <col min="11009" max="11009" width="11.28515625" style="323" customWidth="1"/>
    <col min="11010" max="11010" width="13.28515625" style="323" customWidth="1"/>
    <col min="11011" max="11011" width="13.42578125" style="323" customWidth="1"/>
    <col min="11012" max="11012" width="12.28515625" style="323" customWidth="1"/>
    <col min="11013" max="11013" width="12.42578125" style="323" customWidth="1"/>
    <col min="11014" max="11014" width="12.28515625" style="323" customWidth="1"/>
    <col min="11015" max="11015" width="12.42578125" style="323" customWidth="1"/>
    <col min="11016" max="11016" width="12.28515625" style="323" customWidth="1"/>
    <col min="11017" max="11017" width="13.7109375" style="323" customWidth="1"/>
    <col min="11018" max="11257" width="9.140625" style="323"/>
    <col min="11258" max="11258" width="9.7109375" style="323" customWidth="1"/>
    <col min="11259" max="11259" width="48.7109375" style="323" customWidth="1"/>
    <col min="11260" max="11260" width="10.85546875" style="323" customWidth="1"/>
    <col min="11261" max="11261" width="10.7109375" style="323" customWidth="1"/>
    <col min="11262" max="11262" width="12.42578125" style="323" customWidth="1"/>
    <col min="11263" max="11263" width="8.5703125" style="323" customWidth="1"/>
    <col min="11264" max="11264" width="10.7109375" style="323" customWidth="1"/>
    <col min="11265" max="11265" width="11.28515625" style="323" customWidth="1"/>
    <col min="11266" max="11266" width="13.28515625" style="323" customWidth="1"/>
    <col min="11267" max="11267" width="13.42578125" style="323" customWidth="1"/>
    <col min="11268" max="11268" width="12.28515625" style="323" customWidth="1"/>
    <col min="11269" max="11269" width="12.42578125" style="323" customWidth="1"/>
    <col min="11270" max="11270" width="12.28515625" style="323" customWidth="1"/>
    <col min="11271" max="11271" width="12.42578125" style="323" customWidth="1"/>
    <col min="11272" max="11272" width="12.28515625" style="323" customWidth="1"/>
    <col min="11273" max="11273" width="13.7109375" style="323" customWidth="1"/>
    <col min="11274" max="11513" width="9.140625" style="323"/>
    <col min="11514" max="11514" width="9.7109375" style="323" customWidth="1"/>
    <col min="11515" max="11515" width="48.7109375" style="323" customWidth="1"/>
    <col min="11516" max="11516" width="10.85546875" style="323" customWidth="1"/>
    <col min="11517" max="11517" width="10.7109375" style="323" customWidth="1"/>
    <col min="11518" max="11518" width="12.42578125" style="323" customWidth="1"/>
    <col min="11519" max="11519" width="8.5703125" style="323" customWidth="1"/>
    <col min="11520" max="11520" width="10.7109375" style="323" customWidth="1"/>
    <col min="11521" max="11521" width="11.28515625" style="323" customWidth="1"/>
    <col min="11522" max="11522" width="13.28515625" style="323" customWidth="1"/>
    <col min="11523" max="11523" width="13.42578125" style="323" customWidth="1"/>
    <col min="11524" max="11524" width="12.28515625" style="323" customWidth="1"/>
    <col min="11525" max="11525" width="12.42578125" style="323" customWidth="1"/>
    <col min="11526" max="11526" width="12.28515625" style="323" customWidth="1"/>
    <col min="11527" max="11527" width="12.42578125" style="323" customWidth="1"/>
    <col min="11528" max="11528" width="12.28515625" style="323" customWidth="1"/>
    <col min="11529" max="11529" width="13.7109375" style="323" customWidth="1"/>
    <col min="11530" max="11769" width="9.140625" style="323"/>
    <col min="11770" max="11770" width="9.7109375" style="323" customWidth="1"/>
    <col min="11771" max="11771" width="48.7109375" style="323" customWidth="1"/>
    <col min="11772" max="11772" width="10.85546875" style="323" customWidth="1"/>
    <col min="11773" max="11773" width="10.7109375" style="323" customWidth="1"/>
    <col min="11774" max="11774" width="12.42578125" style="323" customWidth="1"/>
    <col min="11775" max="11775" width="8.5703125" style="323" customWidth="1"/>
    <col min="11776" max="11776" width="10.7109375" style="323" customWidth="1"/>
    <col min="11777" max="11777" width="11.28515625" style="323" customWidth="1"/>
    <col min="11778" max="11778" width="13.28515625" style="323" customWidth="1"/>
    <col min="11779" max="11779" width="13.42578125" style="323" customWidth="1"/>
    <col min="11780" max="11780" width="12.28515625" style="323" customWidth="1"/>
    <col min="11781" max="11781" width="12.42578125" style="323" customWidth="1"/>
    <col min="11782" max="11782" width="12.28515625" style="323" customWidth="1"/>
    <col min="11783" max="11783" width="12.42578125" style="323" customWidth="1"/>
    <col min="11784" max="11784" width="12.28515625" style="323" customWidth="1"/>
    <col min="11785" max="11785" width="13.7109375" style="323" customWidth="1"/>
    <col min="11786" max="12025" width="9.140625" style="323"/>
    <col min="12026" max="12026" width="9.7109375" style="323" customWidth="1"/>
    <col min="12027" max="12027" width="48.7109375" style="323" customWidth="1"/>
    <col min="12028" max="12028" width="10.85546875" style="323" customWidth="1"/>
    <col min="12029" max="12029" width="10.7109375" style="323" customWidth="1"/>
    <col min="12030" max="12030" width="12.42578125" style="323" customWidth="1"/>
    <col min="12031" max="12031" width="8.5703125" style="323" customWidth="1"/>
    <col min="12032" max="12032" width="10.7109375" style="323" customWidth="1"/>
    <col min="12033" max="12033" width="11.28515625" style="323" customWidth="1"/>
    <col min="12034" max="12034" width="13.28515625" style="323" customWidth="1"/>
    <col min="12035" max="12035" width="13.42578125" style="323" customWidth="1"/>
    <col min="12036" max="12036" width="12.28515625" style="323" customWidth="1"/>
    <col min="12037" max="12037" width="12.42578125" style="323" customWidth="1"/>
    <col min="12038" max="12038" width="12.28515625" style="323" customWidth="1"/>
    <col min="12039" max="12039" width="12.42578125" style="323" customWidth="1"/>
    <col min="12040" max="12040" width="12.28515625" style="323" customWidth="1"/>
    <col min="12041" max="12041" width="13.7109375" style="323" customWidth="1"/>
    <col min="12042" max="12281" width="9.140625" style="323"/>
    <col min="12282" max="12282" width="9.7109375" style="323" customWidth="1"/>
    <col min="12283" max="12283" width="48.7109375" style="323" customWidth="1"/>
    <col min="12284" max="12284" width="10.85546875" style="323" customWidth="1"/>
    <col min="12285" max="12285" width="10.7109375" style="323" customWidth="1"/>
    <col min="12286" max="12286" width="12.42578125" style="323" customWidth="1"/>
    <col min="12287" max="12287" width="8.5703125" style="323" customWidth="1"/>
    <col min="12288" max="12288" width="10.7109375" style="323" customWidth="1"/>
    <col min="12289" max="12289" width="11.28515625" style="323" customWidth="1"/>
    <col min="12290" max="12290" width="13.28515625" style="323" customWidth="1"/>
    <col min="12291" max="12291" width="13.42578125" style="323" customWidth="1"/>
    <col min="12292" max="12292" width="12.28515625" style="323" customWidth="1"/>
    <col min="12293" max="12293" width="12.42578125" style="323" customWidth="1"/>
    <col min="12294" max="12294" width="12.28515625" style="323" customWidth="1"/>
    <col min="12295" max="12295" width="12.42578125" style="323" customWidth="1"/>
    <col min="12296" max="12296" width="12.28515625" style="323" customWidth="1"/>
    <col min="12297" max="12297" width="13.7109375" style="323" customWidth="1"/>
    <col min="12298" max="12537" width="9.140625" style="323"/>
    <col min="12538" max="12538" width="9.7109375" style="323" customWidth="1"/>
    <col min="12539" max="12539" width="48.7109375" style="323" customWidth="1"/>
    <col min="12540" max="12540" width="10.85546875" style="323" customWidth="1"/>
    <col min="12541" max="12541" width="10.7109375" style="323" customWidth="1"/>
    <col min="12542" max="12542" width="12.42578125" style="323" customWidth="1"/>
    <col min="12543" max="12543" width="8.5703125" style="323" customWidth="1"/>
    <col min="12544" max="12544" width="10.7109375" style="323" customWidth="1"/>
    <col min="12545" max="12545" width="11.28515625" style="323" customWidth="1"/>
    <col min="12546" max="12546" width="13.28515625" style="323" customWidth="1"/>
    <col min="12547" max="12547" width="13.42578125" style="323" customWidth="1"/>
    <col min="12548" max="12548" width="12.28515625" style="323" customWidth="1"/>
    <col min="12549" max="12549" width="12.42578125" style="323" customWidth="1"/>
    <col min="12550" max="12550" width="12.28515625" style="323" customWidth="1"/>
    <col min="12551" max="12551" width="12.42578125" style="323" customWidth="1"/>
    <col min="12552" max="12552" width="12.28515625" style="323" customWidth="1"/>
    <col min="12553" max="12553" width="13.7109375" style="323" customWidth="1"/>
    <col min="12554" max="12793" width="9.140625" style="323"/>
    <col min="12794" max="12794" width="9.7109375" style="323" customWidth="1"/>
    <col min="12795" max="12795" width="48.7109375" style="323" customWidth="1"/>
    <col min="12796" max="12796" width="10.85546875" style="323" customWidth="1"/>
    <col min="12797" max="12797" width="10.7109375" style="323" customWidth="1"/>
    <col min="12798" max="12798" width="12.42578125" style="323" customWidth="1"/>
    <col min="12799" max="12799" width="8.5703125" style="323" customWidth="1"/>
    <col min="12800" max="12800" width="10.7109375" style="323" customWidth="1"/>
    <col min="12801" max="12801" width="11.28515625" style="323" customWidth="1"/>
    <col min="12802" max="12802" width="13.28515625" style="323" customWidth="1"/>
    <col min="12803" max="12803" width="13.42578125" style="323" customWidth="1"/>
    <col min="12804" max="12804" width="12.28515625" style="323" customWidth="1"/>
    <col min="12805" max="12805" width="12.42578125" style="323" customWidth="1"/>
    <col min="12806" max="12806" width="12.28515625" style="323" customWidth="1"/>
    <col min="12807" max="12807" width="12.42578125" style="323" customWidth="1"/>
    <col min="12808" max="12808" width="12.28515625" style="323" customWidth="1"/>
    <col min="12809" max="12809" width="13.7109375" style="323" customWidth="1"/>
    <col min="12810" max="13049" width="9.140625" style="323"/>
    <col min="13050" max="13050" width="9.7109375" style="323" customWidth="1"/>
    <col min="13051" max="13051" width="48.7109375" style="323" customWidth="1"/>
    <col min="13052" max="13052" width="10.85546875" style="323" customWidth="1"/>
    <col min="13053" max="13053" width="10.7109375" style="323" customWidth="1"/>
    <col min="13054" max="13054" width="12.42578125" style="323" customWidth="1"/>
    <col min="13055" max="13055" width="8.5703125" style="323" customWidth="1"/>
    <col min="13056" max="13056" width="10.7109375" style="323" customWidth="1"/>
    <col min="13057" max="13057" width="11.28515625" style="323" customWidth="1"/>
    <col min="13058" max="13058" width="13.28515625" style="323" customWidth="1"/>
    <col min="13059" max="13059" width="13.42578125" style="323" customWidth="1"/>
    <col min="13060" max="13060" width="12.28515625" style="323" customWidth="1"/>
    <col min="13061" max="13061" width="12.42578125" style="323" customWidth="1"/>
    <col min="13062" max="13062" width="12.28515625" style="323" customWidth="1"/>
    <col min="13063" max="13063" width="12.42578125" style="323" customWidth="1"/>
    <col min="13064" max="13064" width="12.28515625" style="323" customWidth="1"/>
    <col min="13065" max="13065" width="13.7109375" style="323" customWidth="1"/>
    <col min="13066" max="13305" width="9.140625" style="323"/>
    <col min="13306" max="13306" width="9.7109375" style="323" customWidth="1"/>
    <col min="13307" max="13307" width="48.7109375" style="323" customWidth="1"/>
    <col min="13308" max="13308" width="10.85546875" style="323" customWidth="1"/>
    <col min="13309" max="13309" width="10.7109375" style="323" customWidth="1"/>
    <col min="13310" max="13310" width="12.42578125" style="323" customWidth="1"/>
    <col min="13311" max="13311" width="8.5703125" style="323" customWidth="1"/>
    <col min="13312" max="13312" width="10.7109375" style="323" customWidth="1"/>
    <col min="13313" max="13313" width="11.28515625" style="323" customWidth="1"/>
    <col min="13314" max="13314" width="13.28515625" style="323" customWidth="1"/>
    <col min="13315" max="13315" width="13.42578125" style="323" customWidth="1"/>
    <col min="13316" max="13316" width="12.28515625" style="323" customWidth="1"/>
    <col min="13317" max="13317" width="12.42578125" style="323" customWidth="1"/>
    <col min="13318" max="13318" width="12.28515625" style="323" customWidth="1"/>
    <col min="13319" max="13319" width="12.42578125" style="323" customWidth="1"/>
    <col min="13320" max="13320" width="12.28515625" style="323" customWidth="1"/>
    <col min="13321" max="13321" width="13.7109375" style="323" customWidth="1"/>
    <col min="13322" max="13561" width="9.140625" style="323"/>
    <col min="13562" max="13562" width="9.7109375" style="323" customWidth="1"/>
    <col min="13563" max="13563" width="48.7109375" style="323" customWidth="1"/>
    <col min="13564" max="13564" width="10.85546875" style="323" customWidth="1"/>
    <col min="13565" max="13565" width="10.7109375" style="323" customWidth="1"/>
    <col min="13566" max="13566" width="12.42578125" style="323" customWidth="1"/>
    <col min="13567" max="13567" width="8.5703125" style="323" customWidth="1"/>
    <col min="13568" max="13568" width="10.7109375" style="323" customWidth="1"/>
    <col min="13569" max="13569" width="11.28515625" style="323" customWidth="1"/>
    <col min="13570" max="13570" width="13.28515625" style="323" customWidth="1"/>
    <col min="13571" max="13571" width="13.42578125" style="323" customWidth="1"/>
    <col min="13572" max="13572" width="12.28515625" style="323" customWidth="1"/>
    <col min="13573" max="13573" width="12.42578125" style="323" customWidth="1"/>
    <col min="13574" max="13574" width="12.28515625" style="323" customWidth="1"/>
    <col min="13575" max="13575" width="12.42578125" style="323" customWidth="1"/>
    <col min="13576" max="13576" width="12.28515625" style="323" customWidth="1"/>
    <col min="13577" max="13577" width="13.7109375" style="323" customWidth="1"/>
    <col min="13578" max="13817" width="9.140625" style="323"/>
    <col min="13818" max="13818" width="9.7109375" style="323" customWidth="1"/>
    <col min="13819" max="13819" width="48.7109375" style="323" customWidth="1"/>
    <col min="13820" max="13820" width="10.85546875" style="323" customWidth="1"/>
    <col min="13821" max="13821" width="10.7109375" style="323" customWidth="1"/>
    <col min="13822" max="13822" width="12.42578125" style="323" customWidth="1"/>
    <col min="13823" max="13823" width="8.5703125" style="323" customWidth="1"/>
    <col min="13824" max="13824" width="10.7109375" style="323" customWidth="1"/>
    <col min="13825" max="13825" width="11.28515625" style="323" customWidth="1"/>
    <col min="13826" max="13826" width="13.28515625" style="323" customWidth="1"/>
    <col min="13827" max="13827" width="13.42578125" style="323" customWidth="1"/>
    <col min="13828" max="13828" width="12.28515625" style="323" customWidth="1"/>
    <col min="13829" max="13829" width="12.42578125" style="323" customWidth="1"/>
    <col min="13830" max="13830" width="12.28515625" style="323" customWidth="1"/>
    <col min="13831" max="13831" width="12.42578125" style="323" customWidth="1"/>
    <col min="13832" max="13832" width="12.28515625" style="323" customWidth="1"/>
    <col min="13833" max="13833" width="13.7109375" style="323" customWidth="1"/>
    <col min="13834" max="14073" width="9.140625" style="323"/>
    <col min="14074" max="14074" width="9.7109375" style="323" customWidth="1"/>
    <col min="14075" max="14075" width="48.7109375" style="323" customWidth="1"/>
    <col min="14076" max="14076" width="10.85546875" style="323" customWidth="1"/>
    <col min="14077" max="14077" width="10.7109375" style="323" customWidth="1"/>
    <col min="14078" max="14078" width="12.42578125" style="323" customWidth="1"/>
    <col min="14079" max="14079" width="8.5703125" style="323" customWidth="1"/>
    <col min="14080" max="14080" width="10.7109375" style="323" customWidth="1"/>
    <col min="14081" max="14081" width="11.28515625" style="323" customWidth="1"/>
    <col min="14082" max="14082" width="13.28515625" style="323" customWidth="1"/>
    <col min="14083" max="14083" width="13.42578125" style="323" customWidth="1"/>
    <col min="14084" max="14084" width="12.28515625" style="323" customWidth="1"/>
    <col min="14085" max="14085" width="12.42578125" style="323" customWidth="1"/>
    <col min="14086" max="14086" width="12.28515625" style="323" customWidth="1"/>
    <col min="14087" max="14087" width="12.42578125" style="323" customWidth="1"/>
    <col min="14088" max="14088" width="12.28515625" style="323" customWidth="1"/>
    <col min="14089" max="14089" width="13.7109375" style="323" customWidth="1"/>
    <col min="14090" max="14329" width="9.140625" style="323"/>
    <col min="14330" max="14330" width="9.7109375" style="323" customWidth="1"/>
    <col min="14331" max="14331" width="48.7109375" style="323" customWidth="1"/>
    <col min="14332" max="14332" width="10.85546875" style="323" customWidth="1"/>
    <col min="14333" max="14333" width="10.7109375" style="323" customWidth="1"/>
    <col min="14334" max="14334" width="12.42578125" style="323" customWidth="1"/>
    <col min="14335" max="14335" width="8.5703125" style="323" customWidth="1"/>
    <col min="14336" max="14336" width="10.7109375" style="323" customWidth="1"/>
    <col min="14337" max="14337" width="11.28515625" style="323" customWidth="1"/>
    <col min="14338" max="14338" width="13.28515625" style="323" customWidth="1"/>
    <col min="14339" max="14339" width="13.42578125" style="323" customWidth="1"/>
    <col min="14340" max="14340" width="12.28515625" style="323" customWidth="1"/>
    <col min="14341" max="14341" width="12.42578125" style="323" customWidth="1"/>
    <col min="14342" max="14342" width="12.28515625" style="323" customWidth="1"/>
    <col min="14343" max="14343" width="12.42578125" style="323" customWidth="1"/>
    <col min="14344" max="14344" width="12.28515625" style="323" customWidth="1"/>
    <col min="14345" max="14345" width="13.7109375" style="323" customWidth="1"/>
    <col min="14346" max="14585" width="9.140625" style="323"/>
    <col min="14586" max="14586" width="9.7109375" style="323" customWidth="1"/>
    <col min="14587" max="14587" width="48.7109375" style="323" customWidth="1"/>
    <col min="14588" max="14588" width="10.85546875" style="323" customWidth="1"/>
    <col min="14589" max="14589" width="10.7109375" style="323" customWidth="1"/>
    <col min="14590" max="14590" width="12.42578125" style="323" customWidth="1"/>
    <col min="14591" max="14591" width="8.5703125" style="323" customWidth="1"/>
    <col min="14592" max="14592" width="10.7109375" style="323" customWidth="1"/>
    <col min="14593" max="14593" width="11.28515625" style="323" customWidth="1"/>
    <col min="14594" max="14594" width="13.28515625" style="323" customWidth="1"/>
    <col min="14595" max="14595" width="13.42578125" style="323" customWidth="1"/>
    <col min="14596" max="14596" width="12.28515625" style="323" customWidth="1"/>
    <col min="14597" max="14597" width="12.42578125" style="323" customWidth="1"/>
    <col min="14598" max="14598" width="12.28515625" style="323" customWidth="1"/>
    <col min="14599" max="14599" width="12.42578125" style="323" customWidth="1"/>
    <col min="14600" max="14600" width="12.28515625" style="323" customWidth="1"/>
    <col min="14601" max="14601" width="13.7109375" style="323" customWidth="1"/>
    <col min="14602" max="14841" width="9.140625" style="323"/>
    <col min="14842" max="14842" width="9.7109375" style="323" customWidth="1"/>
    <col min="14843" max="14843" width="48.7109375" style="323" customWidth="1"/>
    <col min="14844" max="14844" width="10.85546875" style="323" customWidth="1"/>
    <col min="14845" max="14845" width="10.7109375" style="323" customWidth="1"/>
    <col min="14846" max="14846" width="12.42578125" style="323" customWidth="1"/>
    <col min="14847" max="14847" width="8.5703125" style="323" customWidth="1"/>
    <col min="14848" max="14848" width="10.7109375" style="323" customWidth="1"/>
    <col min="14849" max="14849" width="11.28515625" style="323" customWidth="1"/>
    <col min="14850" max="14850" width="13.28515625" style="323" customWidth="1"/>
    <col min="14851" max="14851" width="13.42578125" style="323" customWidth="1"/>
    <col min="14852" max="14852" width="12.28515625" style="323" customWidth="1"/>
    <col min="14853" max="14853" width="12.42578125" style="323" customWidth="1"/>
    <col min="14854" max="14854" width="12.28515625" style="323" customWidth="1"/>
    <col min="14855" max="14855" width="12.42578125" style="323" customWidth="1"/>
    <col min="14856" max="14856" width="12.28515625" style="323" customWidth="1"/>
    <col min="14857" max="14857" width="13.7109375" style="323" customWidth="1"/>
    <col min="14858" max="15097" width="9.140625" style="323"/>
    <col min="15098" max="15098" width="9.7109375" style="323" customWidth="1"/>
    <col min="15099" max="15099" width="48.7109375" style="323" customWidth="1"/>
    <col min="15100" max="15100" width="10.85546875" style="323" customWidth="1"/>
    <col min="15101" max="15101" width="10.7109375" style="323" customWidth="1"/>
    <col min="15102" max="15102" width="12.42578125" style="323" customWidth="1"/>
    <col min="15103" max="15103" width="8.5703125" style="323" customWidth="1"/>
    <col min="15104" max="15104" width="10.7109375" style="323" customWidth="1"/>
    <col min="15105" max="15105" width="11.28515625" style="323" customWidth="1"/>
    <col min="15106" max="15106" width="13.28515625" style="323" customWidth="1"/>
    <col min="15107" max="15107" width="13.42578125" style="323" customWidth="1"/>
    <col min="15108" max="15108" width="12.28515625" style="323" customWidth="1"/>
    <col min="15109" max="15109" width="12.42578125" style="323" customWidth="1"/>
    <col min="15110" max="15110" width="12.28515625" style="323" customWidth="1"/>
    <col min="15111" max="15111" width="12.42578125" style="323" customWidth="1"/>
    <col min="15112" max="15112" width="12.28515625" style="323" customWidth="1"/>
    <col min="15113" max="15113" width="13.7109375" style="323" customWidth="1"/>
    <col min="15114" max="15353" width="9.140625" style="323"/>
    <col min="15354" max="15354" width="9.7109375" style="323" customWidth="1"/>
    <col min="15355" max="15355" width="48.7109375" style="323" customWidth="1"/>
    <col min="15356" max="15356" width="10.85546875" style="323" customWidth="1"/>
    <col min="15357" max="15357" width="10.7109375" style="323" customWidth="1"/>
    <col min="15358" max="15358" width="12.42578125" style="323" customWidth="1"/>
    <col min="15359" max="15359" width="8.5703125" style="323" customWidth="1"/>
    <col min="15360" max="15360" width="10.7109375" style="323" customWidth="1"/>
    <col min="15361" max="15361" width="11.28515625" style="323" customWidth="1"/>
    <col min="15362" max="15362" width="13.28515625" style="323" customWidth="1"/>
    <col min="15363" max="15363" width="13.42578125" style="323" customWidth="1"/>
    <col min="15364" max="15364" width="12.28515625" style="323" customWidth="1"/>
    <col min="15365" max="15365" width="12.42578125" style="323" customWidth="1"/>
    <col min="15366" max="15366" width="12.28515625" style="323" customWidth="1"/>
    <col min="15367" max="15367" width="12.42578125" style="323" customWidth="1"/>
    <col min="15368" max="15368" width="12.28515625" style="323" customWidth="1"/>
    <col min="15369" max="15369" width="13.7109375" style="323" customWidth="1"/>
    <col min="15370" max="15609" width="9.140625" style="323"/>
    <col min="15610" max="15610" width="9.7109375" style="323" customWidth="1"/>
    <col min="15611" max="15611" width="48.7109375" style="323" customWidth="1"/>
    <col min="15612" max="15612" width="10.85546875" style="323" customWidth="1"/>
    <col min="15613" max="15613" width="10.7109375" style="323" customWidth="1"/>
    <col min="15614" max="15614" width="12.42578125" style="323" customWidth="1"/>
    <col min="15615" max="15615" width="8.5703125" style="323" customWidth="1"/>
    <col min="15616" max="15616" width="10.7109375" style="323" customWidth="1"/>
    <col min="15617" max="15617" width="11.28515625" style="323" customWidth="1"/>
    <col min="15618" max="15618" width="13.28515625" style="323" customWidth="1"/>
    <col min="15619" max="15619" width="13.42578125" style="323" customWidth="1"/>
    <col min="15620" max="15620" width="12.28515625" style="323" customWidth="1"/>
    <col min="15621" max="15621" width="12.42578125" style="323" customWidth="1"/>
    <col min="15622" max="15622" width="12.28515625" style="323" customWidth="1"/>
    <col min="15623" max="15623" width="12.42578125" style="323" customWidth="1"/>
    <col min="15624" max="15624" width="12.28515625" style="323" customWidth="1"/>
    <col min="15625" max="15625" width="13.7109375" style="323" customWidth="1"/>
    <col min="15626" max="15865" width="9.140625" style="323"/>
    <col min="15866" max="15866" width="9.7109375" style="323" customWidth="1"/>
    <col min="15867" max="15867" width="48.7109375" style="323" customWidth="1"/>
    <col min="15868" max="15868" width="10.85546875" style="323" customWidth="1"/>
    <col min="15869" max="15869" width="10.7109375" style="323" customWidth="1"/>
    <col min="15870" max="15870" width="12.42578125" style="323" customWidth="1"/>
    <col min="15871" max="15871" width="8.5703125" style="323" customWidth="1"/>
    <col min="15872" max="15872" width="10.7109375" style="323" customWidth="1"/>
    <col min="15873" max="15873" width="11.28515625" style="323" customWidth="1"/>
    <col min="15874" max="15874" width="13.28515625" style="323" customWidth="1"/>
    <col min="15875" max="15875" width="13.42578125" style="323" customWidth="1"/>
    <col min="15876" max="15876" width="12.28515625" style="323" customWidth="1"/>
    <col min="15877" max="15877" width="12.42578125" style="323" customWidth="1"/>
    <col min="15878" max="15878" width="12.28515625" style="323" customWidth="1"/>
    <col min="15879" max="15879" width="12.42578125" style="323" customWidth="1"/>
    <col min="15880" max="15880" width="12.28515625" style="323" customWidth="1"/>
    <col min="15881" max="15881" width="13.7109375" style="323" customWidth="1"/>
    <col min="15882" max="16121" width="9.140625" style="323"/>
    <col min="16122" max="16122" width="9.7109375" style="323" customWidth="1"/>
    <col min="16123" max="16123" width="48.7109375" style="323" customWidth="1"/>
    <col min="16124" max="16124" width="10.85546875" style="323" customWidth="1"/>
    <col min="16125" max="16125" width="10.7109375" style="323" customWidth="1"/>
    <col min="16126" max="16126" width="12.42578125" style="323" customWidth="1"/>
    <col min="16127" max="16127" width="8.5703125" style="323" customWidth="1"/>
    <col min="16128" max="16128" width="10.7109375" style="323" customWidth="1"/>
    <col min="16129" max="16129" width="11.28515625" style="323" customWidth="1"/>
    <col min="16130" max="16130" width="13.28515625" style="323" customWidth="1"/>
    <col min="16131" max="16131" width="13.42578125" style="323" customWidth="1"/>
    <col min="16132" max="16132" width="12.28515625" style="323" customWidth="1"/>
    <col min="16133" max="16133" width="12.42578125" style="323" customWidth="1"/>
    <col min="16134" max="16134" width="12.28515625" style="323" customWidth="1"/>
    <col min="16135" max="16135" width="12.42578125" style="323" customWidth="1"/>
    <col min="16136" max="16136" width="12.28515625" style="323" customWidth="1"/>
    <col min="16137" max="16137" width="13.7109375" style="323" customWidth="1"/>
    <col min="16138" max="16384" width="9.140625" style="323"/>
  </cols>
  <sheetData>
    <row r="2" spans="1:17">
      <c r="I2" s="464" t="s">
        <v>1518</v>
      </c>
    </row>
    <row r="3" spans="1:17">
      <c r="I3" s="464"/>
    </row>
    <row r="4" spans="1:17" ht="15.75">
      <c r="A4" s="324" t="s">
        <v>1596</v>
      </c>
      <c r="B4" s="324"/>
      <c r="C4" s="465"/>
      <c r="D4" s="465"/>
      <c r="E4" s="465"/>
      <c r="F4" s="465"/>
      <c r="G4" s="465"/>
      <c r="H4" s="465"/>
      <c r="I4" s="465"/>
    </row>
    <row r="5" spans="1:17" ht="15.75">
      <c r="A5" s="324"/>
      <c r="B5" s="324"/>
      <c r="C5" s="465"/>
      <c r="D5" s="465"/>
      <c r="E5" s="465"/>
      <c r="F5" s="465"/>
      <c r="G5" s="465"/>
      <c r="H5" s="465"/>
      <c r="I5" s="465"/>
    </row>
    <row r="6" spans="1:17" ht="15.75">
      <c r="A6" s="749"/>
      <c r="B6" s="749"/>
      <c r="C6" s="750"/>
      <c r="D6" s="466"/>
      <c r="E6" s="466"/>
      <c r="F6" s="466"/>
      <c r="G6" s="466"/>
      <c r="H6" s="466"/>
      <c r="I6" s="466"/>
    </row>
    <row r="7" spans="1:17" s="328" customFormat="1" ht="63">
      <c r="A7" s="329" t="s">
        <v>1168</v>
      </c>
      <c r="B7" s="329" t="s">
        <v>1169</v>
      </c>
      <c r="C7" s="467" t="s">
        <v>1163</v>
      </c>
      <c r="D7" s="467" t="s">
        <v>1190</v>
      </c>
      <c r="E7" s="467" t="s">
        <v>1164</v>
      </c>
      <c r="F7" s="467" t="s">
        <v>1165</v>
      </c>
      <c r="G7" s="467" t="s">
        <v>1166</v>
      </c>
      <c r="H7" s="467" t="s">
        <v>1167</v>
      </c>
      <c r="I7" s="467" t="s">
        <v>532</v>
      </c>
      <c r="J7" s="327"/>
      <c r="K7" s="327"/>
      <c r="L7" s="327"/>
      <c r="M7" s="327"/>
      <c r="N7" s="327"/>
      <c r="O7" s="327"/>
      <c r="P7" s="327"/>
      <c r="Q7" s="327"/>
    </row>
    <row r="8" spans="1:17" ht="29.25">
      <c r="A8" s="330" t="s">
        <v>3</v>
      </c>
      <c r="B8" s="331" t="s">
        <v>345</v>
      </c>
      <c r="C8" s="468">
        <f t="shared" ref="C8:I8" si="0">SUM(C9:C9)</f>
        <v>1985675</v>
      </c>
      <c r="D8" s="468">
        <f t="shared" si="0"/>
        <v>235000</v>
      </c>
      <c r="E8" s="468">
        <f t="shared" si="0"/>
        <v>205008</v>
      </c>
      <c r="F8" s="468">
        <f t="shared" si="0"/>
        <v>98500</v>
      </c>
      <c r="G8" s="468">
        <f t="shared" si="0"/>
        <v>92500</v>
      </c>
      <c r="H8" s="468">
        <f t="shared" si="0"/>
        <v>219514</v>
      </c>
      <c r="I8" s="468">
        <f t="shared" si="0"/>
        <v>234700</v>
      </c>
    </row>
    <row r="9" spans="1:17">
      <c r="A9" s="332" t="s">
        <v>706</v>
      </c>
      <c r="B9" s="333" t="s">
        <v>1170</v>
      </c>
      <c r="C9" s="469">
        <v>1985675</v>
      </c>
      <c r="D9" s="469">
        <v>235000</v>
      </c>
      <c r="E9" s="469">
        <v>205008</v>
      </c>
      <c r="F9" s="469">
        <v>98500</v>
      </c>
      <c r="G9" s="478">
        <v>92500</v>
      </c>
      <c r="H9" s="469">
        <v>219514</v>
      </c>
      <c r="I9" s="469">
        <v>234700</v>
      </c>
    </row>
    <row r="10" spans="1:17">
      <c r="A10" s="330" t="s">
        <v>668</v>
      </c>
      <c r="B10" s="334" t="s">
        <v>351</v>
      </c>
      <c r="C10" s="468">
        <f t="shared" ref="C10:I10" si="1">SUM(C11:C13)</f>
        <v>54071</v>
      </c>
      <c r="D10" s="468">
        <f t="shared" si="1"/>
        <v>15630</v>
      </c>
      <c r="E10" s="468">
        <f t="shared" si="1"/>
        <v>19768</v>
      </c>
      <c r="F10" s="468">
        <f t="shared" si="1"/>
        <v>3000</v>
      </c>
      <c r="G10" s="468">
        <f t="shared" si="1"/>
        <v>2390</v>
      </c>
      <c r="H10" s="468">
        <f t="shared" si="1"/>
        <v>68000</v>
      </c>
      <c r="I10" s="468">
        <f t="shared" si="1"/>
        <v>38000</v>
      </c>
    </row>
    <row r="11" spans="1:17">
      <c r="A11" s="332" t="s">
        <v>669</v>
      </c>
      <c r="B11" s="333" t="s">
        <v>1171</v>
      </c>
      <c r="C11" s="469"/>
      <c r="D11" s="469">
        <v>11550</v>
      </c>
      <c r="E11" s="469">
        <v>5000</v>
      </c>
      <c r="F11" s="469"/>
      <c r="G11" s="469"/>
      <c r="H11" s="469">
        <v>68000</v>
      </c>
      <c r="I11" s="469">
        <v>4500</v>
      </c>
    </row>
    <row r="12" spans="1:17" ht="30">
      <c r="A12" s="332" t="s">
        <v>1062</v>
      </c>
      <c r="B12" s="333" t="s">
        <v>1172</v>
      </c>
      <c r="C12" s="469">
        <v>44571</v>
      </c>
      <c r="D12" s="469">
        <v>4080</v>
      </c>
      <c r="E12" s="469">
        <v>5040</v>
      </c>
      <c r="F12" s="469">
        <v>3000</v>
      </c>
      <c r="G12" s="478">
        <v>2390</v>
      </c>
      <c r="H12" s="469"/>
      <c r="I12" s="469">
        <v>10000</v>
      </c>
    </row>
    <row r="13" spans="1:17">
      <c r="A13" s="332" t="s">
        <v>708</v>
      </c>
      <c r="B13" s="333" t="s">
        <v>1173</v>
      </c>
      <c r="C13" s="469">
        <v>9500</v>
      </c>
      <c r="D13" s="469"/>
      <c r="E13" s="469">
        <v>9728</v>
      </c>
      <c r="F13" s="469"/>
      <c r="G13" s="469"/>
      <c r="H13" s="469"/>
      <c r="I13" s="469">
        <v>23500</v>
      </c>
    </row>
    <row r="14" spans="1:17">
      <c r="A14" s="330" t="s">
        <v>712</v>
      </c>
      <c r="B14" s="331" t="s">
        <v>361</v>
      </c>
      <c r="C14" s="468">
        <f t="shared" ref="C14:I14" si="2">SUM(C15:C17)</f>
        <v>384077</v>
      </c>
      <c r="D14" s="468">
        <f t="shared" si="2"/>
        <v>45950</v>
      </c>
      <c r="E14" s="468">
        <f t="shared" si="2"/>
        <v>45360</v>
      </c>
      <c r="F14" s="468">
        <f t="shared" si="2"/>
        <v>19500</v>
      </c>
      <c r="G14" s="468">
        <f t="shared" si="2"/>
        <v>17779</v>
      </c>
      <c r="H14" s="468">
        <f t="shared" si="2"/>
        <v>54685</v>
      </c>
      <c r="I14" s="468">
        <f t="shared" si="2"/>
        <v>59600</v>
      </c>
    </row>
    <row r="15" spans="1:17" ht="30">
      <c r="A15" s="332" t="s">
        <v>713</v>
      </c>
      <c r="B15" s="333" t="s">
        <v>1174</v>
      </c>
      <c r="C15" s="469">
        <v>243978</v>
      </c>
      <c r="D15" s="469">
        <v>28182</v>
      </c>
      <c r="E15" s="469">
        <v>29172</v>
      </c>
      <c r="F15" s="469">
        <v>12200</v>
      </c>
      <c r="G15" s="478">
        <v>10749</v>
      </c>
      <c r="H15" s="469">
        <v>32835</v>
      </c>
      <c r="I15" s="469">
        <v>41000</v>
      </c>
    </row>
    <row r="16" spans="1:17">
      <c r="A16" s="332" t="s">
        <v>715</v>
      </c>
      <c r="B16" s="333" t="s">
        <v>1175</v>
      </c>
      <c r="C16" s="469">
        <v>97427</v>
      </c>
      <c r="D16" s="469">
        <v>11476</v>
      </c>
      <c r="E16" s="469">
        <v>10224</v>
      </c>
      <c r="F16" s="469">
        <v>5000</v>
      </c>
      <c r="G16" s="478">
        <v>4440</v>
      </c>
      <c r="H16" s="469">
        <v>13800</v>
      </c>
      <c r="I16" s="469">
        <v>11800</v>
      </c>
    </row>
    <row r="17" spans="1:9">
      <c r="A17" s="332" t="s">
        <v>717</v>
      </c>
      <c r="B17" s="333" t="s">
        <v>1176</v>
      </c>
      <c r="C17" s="469">
        <v>42672</v>
      </c>
      <c r="D17" s="469">
        <v>6292</v>
      </c>
      <c r="E17" s="469">
        <v>5964</v>
      </c>
      <c r="F17" s="469">
        <v>2300</v>
      </c>
      <c r="G17" s="478">
        <v>2590</v>
      </c>
      <c r="H17" s="469">
        <v>8050</v>
      </c>
      <c r="I17" s="469">
        <v>6800</v>
      </c>
    </row>
    <row r="18" spans="1:9">
      <c r="A18" s="330" t="s">
        <v>671</v>
      </c>
      <c r="B18" s="330" t="s">
        <v>371</v>
      </c>
      <c r="C18" s="468">
        <f t="shared" ref="C18:I18" si="3">SUM(C19:C28)</f>
        <v>912021</v>
      </c>
      <c r="D18" s="468">
        <f t="shared" si="3"/>
        <v>288310</v>
      </c>
      <c r="E18" s="468">
        <f t="shared" si="3"/>
        <v>138647</v>
      </c>
      <c r="F18" s="468">
        <f t="shared" si="3"/>
        <v>38600</v>
      </c>
      <c r="G18" s="468">
        <f t="shared" si="3"/>
        <v>33050</v>
      </c>
      <c r="H18" s="468">
        <f t="shared" si="3"/>
        <v>55179</v>
      </c>
      <c r="I18" s="468">
        <f t="shared" si="3"/>
        <v>201000</v>
      </c>
    </row>
    <row r="19" spans="1:9">
      <c r="A19" s="332" t="s">
        <v>731</v>
      </c>
      <c r="B19" s="332" t="s">
        <v>635</v>
      </c>
      <c r="C19" s="469"/>
      <c r="D19" s="469"/>
      <c r="E19" s="469"/>
      <c r="F19" s="469"/>
      <c r="G19" s="469"/>
      <c r="H19" s="469"/>
      <c r="I19" s="469"/>
    </row>
    <row r="20" spans="1:9">
      <c r="A20" s="332" t="s">
        <v>733</v>
      </c>
      <c r="B20" s="332" t="s">
        <v>636</v>
      </c>
      <c r="C20" s="469">
        <v>1000</v>
      </c>
      <c r="D20" s="469">
        <v>100</v>
      </c>
      <c r="E20" s="469"/>
      <c r="F20" s="469"/>
      <c r="G20" s="469"/>
      <c r="H20" s="469"/>
      <c r="I20" s="469"/>
    </row>
    <row r="21" spans="1:9">
      <c r="A21" s="332" t="s">
        <v>723</v>
      </c>
      <c r="B21" s="332" t="s">
        <v>637</v>
      </c>
      <c r="C21" s="469">
        <v>37250</v>
      </c>
      <c r="D21" s="469">
        <v>3210</v>
      </c>
      <c r="E21" s="469">
        <v>2960</v>
      </c>
      <c r="F21" s="469">
        <v>1400</v>
      </c>
      <c r="G21" s="478">
        <v>6000</v>
      </c>
      <c r="H21" s="469">
        <v>3940</v>
      </c>
      <c r="I21" s="469"/>
    </row>
    <row r="22" spans="1:9">
      <c r="A22" s="332" t="s">
        <v>672</v>
      </c>
      <c r="B22" s="332" t="s">
        <v>1177</v>
      </c>
      <c r="C22" s="469">
        <v>311750</v>
      </c>
      <c r="D22" s="469">
        <v>25000</v>
      </c>
      <c r="E22" s="469">
        <v>6629</v>
      </c>
      <c r="F22" s="469">
        <v>5000</v>
      </c>
      <c r="G22" s="478">
        <v>7200</v>
      </c>
      <c r="H22" s="469">
        <v>9000</v>
      </c>
      <c r="I22" s="469">
        <v>20000</v>
      </c>
    </row>
    <row r="23" spans="1:9">
      <c r="A23" s="332" t="s">
        <v>725</v>
      </c>
      <c r="B23" s="332" t="s">
        <v>1178</v>
      </c>
      <c r="C23" s="469">
        <v>268011</v>
      </c>
      <c r="D23" s="469">
        <v>210000</v>
      </c>
      <c r="E23" s="469">
        <v>24228</v>
      </c>
      <c r="F23" s="469">
        <v>9200</v>
      </c>
      <c r="G23" s="478">
        <v>9000</v>
      </c>
      <c r="H23" s="469">
        <v>27239</v>
      </c>
      <c r="I23" s="469">
        <v>140000</v>
      </c>
    </row>
    <row r="24" spans="1:9">
      <c r="A24" s="332" t="s">
        <v>684</v>
      </c>
      <c r="B24" s="332" t="s">
        <v>1179</v>
      </c>
      <c r="C24" s="469">
        <v>161100</v>
      </c>
      <c r="D24" s="469">
        <v>35000</v>
      </c>
      <c r="E24" s="469">
        <v>102830</v>
      </c>
      <c r="F24" s="469">
        <v>21500</v>
      </c>
      <c r="G24" s="478">
        <v>9900</v>
      </c>
      <c r="H24" s="469">
        <v>13000</v>
      </c>
      <c r="I24" s="469">
        <v>30000</v>
      </c>
    </row>
    <row r="25" spans="1:9">
      <c r="A25" s="332" t="s">
        <v>686</v>
      </c>
      <c r="B25" s="332" t="s">
        <v>640</v>
      </c>
      <c r="C25" s="469">
        <v>111000</v>
      </c>
      <c r="D25" s="469"/>
      <c r="E25" s="469"/>
      <c r="F25" s="469"/>
      <c r="G25" s="469"/>
      <c r="H25" s="469"/>
      <c r="I25" s="469"/>
    </row>
    <row r="26" spans="1:9">
      <c r="A26" s="332" t="s">
        <v>673</v>
      </c>
      <c r="B26" s="332" t="s">
        <v>1180</v>
      </c>
      <c r="C26" s="469">
        <v>60</v>
      </c>
      <c r="D26" s="469"/>
      <c r="E26" s="469">
        <v>1000</v>
      </c>
      <c r="F26" s="469"/>
      <c r="G26" s="469"/>
      <c r="H26" s="469">
        <v>2000</v>
      </c>
      <c r="I26" s="469"/>
    </row>
    <row r="27" spans="1:9">
      <c r="A27" s="332" t="s">
        <v>693</v>
      </c>
      <c r="B27" s="332" t="s">
        <v>1181</v>
      </c>
      <c r="C27" s="469">
        <v>21850</v>
      </c>
      <c r="D27" s="469">
        <v>15000</v>
      </c>
      <c r="E27" s="469">
        <v>1000</v>
      </c>
      <c r="F27" s="469"/>
      <c r="G27" s="478">
        <v>950</v>
      </c>
      <c r="H27" s="469"/>
      <c r="I27" s="469">
        <v>11000</v>
      </c>
    </row>
    <row r="28" spans="1:9">
      <c r="A28" s="332">
        <v>1092</v>
      </c>
      <c r="B28" s="332" t="s">
        <v>1456</v>
      </c>
      <c r="C28" s="469"/>
      <c r="D28" s="469"/>
      <c r="E28" s="469"/>
      <c r="F28" s="469">
        <v>1500</v>
      </c>
      <c r="G28" s="469"/>
      <c r="H28" s="469"/>
      <c r="I28" s="469"/>
    </row>
    <row r="29" spans="1:9">
      <c r="A29" s="330" t="s">
        <v>735</v>
      </c>
      <c r="B29" s="331" t="s">
        <v>248</v>
      </c>
      <c r="C29" s="468">
        <f t="shared" ref="C29:I29" si="4">SUM(C30:C31)</f>
        <v>6700</v>
      </c>
      <c r="D29" s="468">
        <f t="shared" si="4"/>
        <v>5000</v>
      </c>
      <c r="E29" s="468">
        <f t="shared" si="4"/>
        <v>3526</v>
      </c>
      <c r="F29" s="468">
        <f t="shared" si="4"/>
        <v>200</v>
      </c>
      <c r="G29" s="468">
        <f t="shared" si="4"/>
        <v>340</v>
      </c>
      <c r="H29" s="468">
        <f t="shared" si="4"/>
        <v>3000</v>
      </c>
      <c r="I29" s="468">
        <f t="shared" si="4"/>
        <v>0</v>
      </c>
    </row>
    <row r="30" spans="1:9">
      <c r="A30" s="332" t="s">
        <v>736</v>
      </c>
      <c r="B30" s="333" t="s">
        <v>1182</v>
      </c>
      <c r="C30" s="469">
        <v>3200</v>
      </c>
      <c r="D30" s="469"/>
      <c r="E30" s="469">
        <v>2385</v>
      </c>
      <c r="F30" s="469">
        <v>200</v>
      </c>
      <c r="G30" s="478">
        <v>250</v>
      </c>
      <c r="H30" s="469"/>
      <c r="I30" s="469"/>
    </row>
    <row r="31" spans="1:9">
      <c r="A31" s="332" t="s">
        <v>750</v>
      </c>
      <c r="B31" s="333" t="s">
        <v>1183</v>
      </c>
      <c r="C31" s="469">
        <v>3500</v>
      </c>
      <c r="D31" s="469">
        <v>5000</v>
      </c>
      <c r="E31" s="469">
        <v>1141</v>
      </c>
      <c r="F31" s="469"/>
      <c r="G31" s="478">
        <v>90</v>
      </c>
      <c r="H31" s="469">
        <v>3000</v>
      </c>
      <c r="I31" s="469"/>
    </row>
    <row r="32" spans="1:9">
      <c r="A32" s="325" t="s">
        <v>678</v>
      </c>
      <c r="B32" s="332"/>
      <c r="C32" s="468">
        <f t="shared" ref="C32:I32" si="5">SUM(C8+C10+C14+C18+C29)</f>
        <v>3342544</v>
      </c>
      <c r="D32" s="468">
        <f t="shared" si="5"/>
        <v>589890</v>
      </c>
      <c r="E32" s="468">
        <f t="shared" si="5"/>
        <v>412309</v>
      </c>
      <c r="F32" s="468">
        <f t="shared" si="5"/>
        <v>159800</v>
      </c>
      <c r="G32" s="468">
        <f t="shared" si="5"/>
        <v>146059</v>
      </c>
      <c r="H32" s="468">
        <f t="shared" si="5"/>
        <v>400378</v>
      </c>
      <c r="I32" s="468">
        <f t="shared" si="5"/>
        <v>533300</v>
      </c>
    </row>
    <row r="33" spans="1:13">
      <c r="A33" s="335"/>
      <c r="B33" s="335"/>
      <c r="C33" s="470"/>
      <c r="D33" s="470"/>
      <c r="E33" s="470"/>
      <c r="F33" s="470"/>
      <c r="G33" s="470"/>
      <c r="H33" s="470"/>
      <c r="I33" s="470"/>
    </row>
    <row r="34" spans="1:13">
      <c r="A34" s="330" t="s">
        <v>689</v>
      </c>
      <c r="B34" s="331" t="s">
        <v>648</v>
      </c>
      <c r="C34" s="468">
        <f t="shared" ref="C34:I34" si="6">SUM(C35:C40)</f>
        <v>468000</v>
      </c>
      <c r="D34" s="468">
        <f t="shared" si="6"/>
        <v>3000</v>
      </c>
      <c r="E34" s="468">
        <f t="shared" si="6"/>
        <v>0</v>
      </c>
      <c r="F34" s="468">
        <f t="shared" si="6"/>
        <v>0</v>
      </c>
      <c r="G34" s="468">
        <f t="shared" si="6"/>
        <v>0</v>
      </c>
      <c r="H34" s="468">
        <f t="shared" si="6"/>
        <v>0</v>
      </c>
      <c r="I34" s="468">
        <f t="shared" si="6"/>
        <v>0</v>
      </c>
    </row>
    <row r="35" spans="1:13">
      <c r="A35" s="332">
        <v>5201</v>
      </c>
      <c r="B35" s="333" t="s">
        <v>1191</v>
      </c>
      <c r="C35" s="469"/>
      <c r="D35" s="469"/>
      <c r="E35" s="469"/>
      <c r="F35" s="469"/>
      <c r="G35" s="469"/>
      <c r="H35" s="469"/>
      <c r="I35" s="469"/>
    </row>
    <row r="36" spans="1:13">
      <c r="A36" s="332" t="s">
        <v>719</v>
      </c>
      <c r="B36" s="333" t="s">
        <v>1184</v>
      </c>
      <c r="C36" s="469"/>
      <c r="D36" s="469">
        <v>3000</v>
      </c>
      <c r="E36" s="469"/>
      <c r="F36" s="469"/>
      <c r="G36" s="469"/>
      <c r="H36" s="469"/>
      <c r="I36" s="469"/>
    </row>
    <row r="37" spans="1:13">
      <c r="A37" s="332" t="s">
        <v>942</v>
      </c>
      <c r="B37" s="332" t="s">
        <v>1185</v>
      </c>
      <c r="C37" s="469">
        <v>468000</v>
      </c>
      <c r="D37" s="469"/>
      <c r="E37" s="469"/>
      <c r="F37" s="469"/>
      <c r="G37" s="469"/>
      <c r="H37" s="469"/>
      <c r="I37" s="469"/>
    </row>
    <row r="38" spans="1:13">
      <c r="A38" s="332" t="s">
        <v>940</v>
      </c>
      <c r="B38" s="332" t="s">
        <v>1186</v>
      </c>
      <c r="C38" s="469"/>
      <c r="D38" s="469"/>
      <c r="E38" s="469"/>
      <c r="F38" s="469"/>
      <c r="G38" s="469"/>
      <c r="H38" s="469"/>
      <c r="I38" s="469"/>
    </row>
    <row r="39" spans="1:13">
      <c r="A39" s="332">
        <v>5206</v>
      </c>
      <c r="B39" s="332" t="s">
        <v>1457</v>
      </c>
      <c r="C39" s="469"/>
      <c r="D39" s="469"/>
      <c r="E39" s="469"/>
      <c r="F39" s="469"/>
      <c r="G39" s="469"/>
      <c r="H39" s="469"/>
      <c r="I39" s="469"/>
    </row>
    <row r="40" spans="1:13">
      <c r="A40" s="332" t="s">
        <v>1078</v>
      </c>
      <c r="B40" s="332" t="s">
        <v>1187</v>
      </c>
      <c r="C40" s="469"/>
      <c r="D40" s="469"/>
      <c r="E40" s="469"/>
      <c r="F40" s="469"/>
      <c r="G40" s="469"/>
      <c r="H40" s="469"/>
      <c r="I40" s="469"/>
    </row>
    <row r="41" spans="1:13">
      <c r="A41" s="325" t="s">
        <v>1188</v>
      </c>
      <c r="B41" s="325"/>
      <c r="C41" s="468">
        <f t="shared" ref="C41:I41" si="7">SUM(C34)</f>
        <v>468000</v>
      </c>
      <c r="D41" s="468">
        <f t="shared" si="7"/>
        <v>3000</v>
      </c>
      <c r="E41" s="468">
        <f t="shared" si="7"/>
        <v>0</v>
      </c>
      <c r="F41" s="468">
        <f t="shared" si="7"/>
        <v>0</v>
      </c>
      <c r="G41" s="468">
        <f t="shared" si="7"/>
        <v>0</v>
      </c>
      <c r="H41" s="468">
        <f t="shared" si="7"/>
        <v>0</v>
      </c>
      <c r="I41" s="468">
        <f t="shared" si="7"/>
        <v>0</v>
      </c>
    </row>
    <row r="42" spans="1:13">
      <c r="A42" s="325"/>
      <c r="B42" s="325"/>
      <c r="C42" s="471"/>
      <c r="D42" s="471"/>
      <c r="E42" s="471"/>
      <c r="F42" s="471"/>
      <c r="G42" s="471"/>
      <c r="H42" s="471"/>
      <c r="I42" s="471"/>
    </row>
    <row r="43" spans="1:13">
      <c r="A43" s="326" t="s">
        <v>1189</v>
      </c>
      <c r="B43" s="325"/>
      <c r="C43" s="472">
        <f t="shared" ref="C43:I43" si="8">SUM(C32+C41)</f>
        <v>3810544</v>
      </c>
      <c r="D43" s="472">
        <f t="shared" si="8"/>
        <v>592890</v>
      </c>
      <c r="E43" s="472">
        <f t="shared" si="8"/>
        <v>412309</v>
      </c>
      <c r="F43" s="472">
        <f t="shared" si="8"/>
        <v>159800</v>
      </c>
      <c r="G43" s="472">
        <f t="shared" si="8"/>
        <v>146059</v>
      </c>
      <c r="H43" s="472">
        <f t="shared" si="8"/>
        <v>400378</v>
      </c>
      <c r="I43" s="472">
        <f t="shared" si="8"/>
        <v>533300</v>
      </c>
    </row>
    <row r="44" spans="1:13" s="473" customFormat="1" ht="12">
      <c r="K44" s="474"/>
      <c r="L44" s="474"/>
      <c r="M44" s="475"/>
    </row>
    <row r="45" spans="1:13" s="473" customFormat="1" ht="12">
      <c r="A45" s="378"/>
      <c r="D45" s="378"/>
      <c r="H45" s="379"/>
      <c r="J45" s="476"/>
      <c r="K45" s="474"/>
      <c r="L45" s="477"/>
      <c r="M45" s="475"/>
    </row>
    <row r="46" spans="1:13" s="473" customFormat="1" ht="12">
      <c r="A46" s="380"/>
      <c r="D46" s="380"/>
      <c r="H46" s="381"/>
      <c r="J46" s="476"/>
      <c r="K46" s="474"/>
      <c r="L46" s="474"/>
      <c r="M46" s="475"/>
    </row>
    <row r="47" spans="1:13" s="473" customFormat="1" ht="12">
      <c r="A47" s="378"/>
      <c r="D47" s="378"/>
      <c r="J47" s="476"/>
      <c r="K47" s="474"/>
      <c r="L47" s="474"/>
      <c r="M47" s="475"/>
    </row>
    <row r="48" spans="1:13" s="473" customFormat="1" ht="12">
      <c r="A48" s="382"/>
      <c r="D48" s="378"/>
      <c r="H48" s="381"/>
      <c r="J48" s="476"/>
      <c r="K48" s="474"/>
      <c r="L48" s="474"/>
      <c r="M48" s="475"/>
    </row>
    <row r="49" spans="1:13" s="473" customFormat="1" ht="12">
      <c r="A49" s="382" t="s">
        <v>1589</v>
      </c>
      <c r="D49" s="380"/>
      <c r="J49" s="476"/>
      <c r="K49" s="474"/>
      <c r="L49" s="474"/>
      <c r="M49" s="475"/>
    </row>
    <row r="50" spans="1:13" s="473" customFormat="1" ht="12">
      <c r="A50" s="382" t="s">
        <v>1590</v>
      </c>
      <c r="J50" s="476"/>
      <c r="K50" s="474"/>
      <c r="L50" s="474"/>
      <c r="M50" s="475"/>
    </row>
    <row r="51" spans="1:13" s="473" customFormat="1" ht="12">
      <c r="A51" s="382" t="s">
        <v>1591</v>
      </c>
      <c r="J51" s="476"/>
      <c r="K51" s="474"/>
      <c r="L51" s="474"/>
      <c r="M51" s="475"/>
    </row>
  </sheetData>
  <mergeCells count="1">
    <mergeCell ref="A6:C6"/>
  </mergeCells>
  <pageMargins left="0.31496062992125984" right="0.11811023622047245" top="0.35433070866141736" bottom="0.35433070866141736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3"/>
  <sheetViews>
    <sheetView topLeftCell="A50" zoomScale="82" zoomScaleNormal="82" workbookViewId="0">
      <selection activeCell="A63" sqref="A63"/>
    </sheetView>
  </sheetViews>
  <sheetFormatPr defaultRowHeight="15.75"/>
  <cols>
    <col min="1" max="1" width="69.85546875" style="458" customWidth="1"/>
    <col min="2" max="2" width="12.5703125" style="458" customWidth="1"/>
    <col min="3" max="16384" width="9.140625" style="458"/>
  </cols>
  <sheetData>
    <row r="1" spans="1:2">
      <c r="B1" s="645" t="s">
        <v>1519</v>
      </c>
    </row>
    <row r="3" spans="1:2" ht="37.5" customHeight="1">
      <c r="A3" s="751" t="s">
        <v>1517</v>
      </c>
      <c r="B3" s="751"/>
    </row>
    <row r="6" spans="1:2" s="456" customFormat="1">
      <c r="A6" s="455" t="s">
        <v>1432</v>
      </c>
      <c r="B6" s="455" t="s">
        <v>1433</v>
      </c>
    </row>
    <row r="7" spans="1:2" ht="47.25">
      <c r="A7" s="457" t="s">
        <v>1455</v>
      </c>
      <c r="B7" s="457">
        <f>SUM(B8:B43)</f>
        <v>639749</v>
      </c>
    </row>
    <row r="8" spans="1:2" s="460" customFormat="1">
      <c r="A8" s="459" t="s">
        <v>1434</v>
      </c>
      <c r="B8" s="459">
        <v>30746</v>
      </c>
    </row>
    <row r="9" spans="1:2" s="460" customFormat="1">
      <c r="A9" s="459" t="s">
        <v>69</v>
      </c>
      <c r="B9" s="459">
        <v>11000</v>
      </c>
    </row>
    <row r="10" spans="1:2" s="460" customFormat="1">
      <c r="A10" s="459" t="s">
        <v>1435</v>
      </c>
      <c r="B10" s="459">
        <v>66951</v>
      </c>
    </row>
    <row r="11" spans="1:2" s="460" customFormat="1">
      <c r="A11" s="459" t="s">
        <v>1256</v>
      </c>
      <c r="B11" s="459">
        <v>4000</v>
      </c>
    </row>
    <row r="12" spans="1:2" s="460" customFormat="1">
      <c r="A12" s="459" t="s">
        <v>1436</v>
      </c>
      <c r="B12" s="459">
        <v>10000</v>
      </c>
    </row>
    <row r="13" spans="1:2" s="460" customFormat="1">
      <c r="A13" s="459" t="s">
        <v>463</v>
      </c>
      <c r="B13" s="459">
        <v>4500</v>
      </c>
    </row>
    <row r="14" spans="1:2" s="460" customFormat="1">
      <c r="A14" s="459" t="s">
        <v>74</v>
      </c>
      <c r="B14" s="459">
        <v>7000</v>
      </c>
    </row>
    <row r="15" spans="1:2" s="460" customFormat="1">
      <c r="A15" s="459" t="s">
        <v>79</v>
      </c>
      <c r="B15" s="459">
        <v>7500</v>
      </c>
    </row>
    <row r="16" spans="1:2" s="460" customFormat="1">
      <c r="A16" s="459" t="s">
        <v>80</v>
      </c>
      <c r="B16" s="459">
        <v>4000</v>
      </c>
    </row>
    <row r="17" spans="1:2" s="460" customFormat="1">
      <c r="A17" s="459" t="s">
        <v>1437</v>
      </c>
      <c r="B17" s="459">
        <v>31702</v>
      </c>
    </row>
    <row r="18" spans="1:2" s="460" customFormat="1">
      <c r="A18" s="459" t="s">
        <v>1438</v>
      </c>
      <c r="B18" s="459">
        <v>22000</v>
      </c>
    </row>
    <row r="19" spans="1:2" s="460" customFormat="1">
      <c r="A19" s="459" t="s">
        <v>465</v>
      </c>
      <c r="B19" s="459">
        <v>8500</v>
      </c>
    </row>
    <row r="20" spans="1:2" s="460" customFormat="1">
      <c r="A20" s="459" t="s">
        <v>1439</v>
      </c>
      <c r="B20" s="459">
        <v>25500</v>
      </c>
    </row>
    <row r="21" spans="1:2" s="460" customFormat="1">
      <c r="A21" s="459" t="s">
        <v>466</v>
      </c>
      <c r="B21" s="459">
        <v>12600</v>
      </c>
    </row>
    <row r="22" spans="1:2" s="460" customFormat="1">
      <c r="A22" s="459" t="s">
        <v>1138</v>
      </c>
      <c r="B22" s="459">
        <v>9000</v>
      </c>
    </row>
    <row r="23" spans="1:2" s="460" customFormat="1">
      <c r="A23" s="459" t="s">
        <v>1440</v>
      </c>
      <c r="B23" s="459">
        <v>40784</v>
      </c>
    </row>
    <row r="24" spans="1:2" s="460" customFormat="1">
      <c r="A24" s="459" t="s">
        <v>1258</v>
      </c>
      <c r="B24" s="459">
        <v>8000</v>
      </c>
    </row>
    <row r="25" spans="1:2" s="460" customFormat="1">
      <c r="A25" s="459" t="s">
        <v>1441</v>
      </c>
      <c r="B25" s="459">
        <v>96432</v>
      </c>
    </row>
    <row r="26" spans="1:2" s="460" customFormat="1">
      <c r="A26" s="459" t="s">
        <v>89</v>
      </c>
      <c r="B26" s="459">
        <v>5000</v>
      </c>
    </row>
    <row r="27" spans="1:2" s="460" customFormat="1">
      <c r="A27" s="459" t="s">
        <v>1442</v>
      </c>
      <c r="B27" s="459">
        <v>33671</v>
      </c>
    </row>
    <row r="28" spans="1:2" s="460" customFormat="1">
      <c r="A28" s="459" t="s">
        <v>1443</v>
      </c>
      <c r="B28" s="459">
        <v>18000</v>
      </c>
    </row>
    <row r="29" spans="1:2" s="460" customFormat="1">
      <c r="A29" s="459" t="s">
        <v>1444</v>
      </c>
      <c r="B29" s="459">
        <v>21270</v>
      </c>
    </row>
    <row r="30" spans="1:2" s="460" customFormat="1">
      <c r="A30" s="459" t="s">
        <v>95</v>
      </c>
      <c r="B30" s="459">
        <v>9000</v>
      </c>
    </row>
    <row r="31" spans="1:2" s="460" customFormat="1">
      <c r="A31" s="459" t="s">
        <v>96</v>
      </c>
      <c r="B31" s="459">
        <v>9000</v>
      </c>
    </row>
    <row r="32" spans="1:2" s="460" customFormat="1">
      <c r="A32" s="459" t="s">
        <v>1445</v>
      </c>
      <c r="B32" s="459">
        <v>20000</v>
      </c>
    </row>
    <row r="33" spans="1:2" s="460" customFormat="1">
      <c r="A33" s="459" t="s">
        <v>1446</v>
      </c>
      <c r="B33" s="459">
        <v>6898</v>
      </c>
    </row>
    <row r="34" spans="1:2" s="460" customFormat="1">
      <c r="A34" s="459" t="s">
        <v>470</v>
      </c>
      <c r="B34" s="459">
        <v>9000</v>
      </c>
    </row>
    <row r="35" spans="1:2" s="460" customFormat="1">
      <c r="A35" s="459" t="s">
        <v>1140</v>
      </c>
      <c r="B35" s="459">
        <v>5500</v>
      </c>
    </row>
    <row r="36" spans="1:2" s="460" customFormat="1">
      <c r="A36" s="459" t="s">
        <v>1447</v>
      </c>
      <c r="B36" s="459">
        <v>5500</v>
      </c>
    </row>
    <row r="37" spans="1:2" s="460" customFormat="1">
      <c r="A37" s="459" t="s">
        <v>115</v>
      </c>
      <c r="B37" s="459">
        <v>5500</v>
      </c>
    </row>
    <row r="38" spans="1:2" s="460" customFormat="1">
      <c r="A38" s="459" t="s">
        <v>1141</v>
      </c>
      <c r="B38" s="459">
        <v>4500</v>
      </c>
    </row>
    <row r="39" spans="1:2" s="460" customFormat="1">
      <c r="A39" s="459" t="s">
        <v>97</v>
      </c>
      <c r="B39" s="459">
        <v>4500</v>
      </c>
    </row>
    <row r="40" spans="1:2" s="460" customFormat="1">
      <c r="A40" s="459" t="s">
        <v>1448</v>
      </c>
      <c r="B40" s="459">
        <v>28840</v>
      </c>
    </row>
    <row r="41" spans="1:2" s="460" customFormat="1">
      <c r="A41" s="459" t="s">
        <v>81</v>
      </c>
      <c r="B41" s="459">
        <v>13000</v>
      </c>
    </row>
    <row r="42" spans="1:2" s="460" customFormat="1">
      <c r="A42" s="459" t="s">
        <v>1449</v>
      </c>
      <c r="B42" s="459">
        <v>13000</v>
      </c>
    </row>
    <row r="43" spans="1:2" s="460" customFormat="1">
      <c r="A43" s="459" t="s">
        <v>1450</v>
      </c>
      <c r="B43" s="459">
        <v>27355</v>
      </c>
    </row>
    <row r="44" spans="1:2" s="111" customFormat="1" ht="63">
      <c r="A44" s="461" t="s">
        <v>1454</v>
      </c>
      <c r="B44" s="462">
        <f>SUM(B45:B55)</f>
        <v>166986</v>
      </c>
    </row>
    <row r="45" spans="1:2" s="214" customFormat="1">
      <c r="A45" s="226" t="s">
        <v>68</v>
      </c>
      <c r="B45" s="220">
        <v>15999</v>
      </c>
    </row>
    <row r="46" spans="1:2" s="214" customFormat="1">
      <c r="A46" s="226" t="s">
        <v>72</v>
      </c>
      <c r="B46" s="220">
        <v>10998</v>
      </c>
    </row>
    <row r="47" spans="1:2" s="214" customFormat="1">
      <c r="A47" s="226" t="s">
        <v>464</v>
      </c>
      <c r="B47" s="220">
        <v>13998</v>
      </c>
    </row>
    <row r="48" spans="1:2" s="214" customFormat="1">
      <c r="A48" s="226" t="s">
        <v>1257</v>
      </c>
      <c r="B48" s="220">
        <v>15999</v>
      </c>
    </row>
    <row r="49" spans="1:2" s="214" customFormat="1">
      <c r="A49" s="226" t="s">
        <v>1451</v>
      </c>
      <c r="B49" s="220">
        <v>13998</v>
      </c>
    </row>
    <row r="50" spans="1:2" s="214" customFormat="1">
      <c r="A50" s="226" t="s">
        <v>86</v>
      </c>
      <c r="B50" s="220">
        <v>15999</v>
      </c>
    </row>
    <row r="51" spans="1:2" s="214" customFormat="1">
      <c r="A51" s="226" t="s">
        <v>1139</v>
      </c>
      <c r="B51" s="220">
        <v>15999</v>
      </c>
    </row>
    <row r="52" spans="1:2" s="214" customFormat="1">
      <c r="A52" s="226" t="s">
        <v>1452</v>
      </c>
      <c r="B52" s="220">
        <v>13998</v>
      </c>
    </row>
    <row r="53" spans="1:2" s="214" customFormat="1">
      <c r="A53" s="226" t="s">
        <v>467</v>
      </c>
      <c r="B53" s="220">
        <v>15999</v>
      </c>
    </row>
    <row r="54" spans="1:2" s="214" customFormat="1">
      <c r="A54" s="226" t="s">
        <v>78</v>
      </c>
      <c r="B54" s="220">
        <v>17000</v>
      </c>
    </row>
    <row r="55" spans="1:2" s="214" customFormat="1">
      <c r="A55" s="226" t="s">
        <v>1453</v>
      </c>
      <c r="B55" s="220">
        <v>16999</v>
      </c>
    </row>
    <row r="58" spans="1:2">
      <c r="A58" s="52"/>
    </row>
    <row r="59" spans="1:2">
      <c r="A59" s="54"/>
    </row>
    <row r="60" spans="1:2">
      <c r="A60" s="52"/>
    </row>
    <row r="61" spans="1:2">
      <c r="A61" s="55" t="s">
        <v>1589</v>
      </c>
    </row>
    <row r="62" spans="1:2">
      <c r="A62" s="55" t="s">
        <v>1597</v>
      </c>
    </row>
    <row r="63" spans="1:2">
      <c r="A63" s="55" t="s">
        <v>1591</v>
      </c>
    </row>
    <row r="64" spans="1:2">
      <c r="A64" s="55"/>
    </row>
    <row r="65" spans="1:1">
      <c r="A65" s="52"/>
    </row>
    <row r="66" spans="1:1">
      <c r="A66" s="54"/>
    </row>
    <row r="67" spans="1:1">
      <c r="A67" s="52"/>
    </row>
    <row r="68" spans="1:1">
      <c r="A68" s="52"/>
    </row>
    <row r="69" spans="1:1">
      <c r="A69" s="54"/>
    </row>
    <row r="70" spans="1:1">
      <c r="A70" s="54"/>
    </row>
    <row r="71" spans="1:1">
      <c r="A71" s="59"/>
    </row>
    <row r="72" spans="1:1">
      <c r="A72" s="60"/>
    </row>
    <row r="73" spans="1:1">
      <c r="A73" s="60"/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G119"/>
  <sheetViews>
    <sheetView zoomScale="95" zoomScaleNormal="95" workbookViewId="0">
      <pane ySplit="11" topLeftCell="A97" activePane="bottomLeft" state="frozen"/>
      <selection activeCell="B1" sqref="B1"/>
      <selection pane="bottomLeft" activeCell="A107" sqref="A107"/>
    </sheetView>
  </sheetViews>
  <sheetFormatPr defaultRowHeight="15"/>
  <cols>
    <col min="1" max="1" width="58.85546875" style="589" customWidth="1"/>
    <col min="2" max="2" width="11" style="588" customWidth="1"/>
    <col min="3" max="3" width="16.28515625" style="588" bestFit="1" customWidth="1"/>
    <col min="4" max="4" width="16.140625" style="588" customWidth="1"/>
    <col min="5" max="5" width="14.28515625" style="588" customWidth="1"/>
    <col min="6" max="6" width="11.85546875" style="588" bestFit="1" customWidth="1"/>
    <col min="7" max="7" width="15.85546875" style="588" customWidth="1"/>
    <col min="8" max="16384" width="9.140625" style="588"/>
  </cols>
  <sheetData>
    <row r="1" spans="1:7">
      <c r="A1" s="587"/>
      <c r="G1" s="642" t="s">
        <v>1514</v>
      </c>
    </row>
    <row r="2" spans="1:7">
      <c r="A2" s="587"/>
    </row>
    <row r="3" spans="1:7">
      <c r="A3" s="586"/>
    </row>
    <row r="4" spans="1:7">
      <c r="F4" s="590"/>
    </row>
    <row r="6" spans="1:7" s="593" customFormat="1">
      <c r="A6" s="591"/>
      <c r="B6" s="592"/>
      <c r="C6" s="592"/>
      <c r="D6" s="592"/>
      <c r="E6" s="592"/>
      <c r="F6" s="592"/>
      <c r="G6" s="592"/>
    </row>
    <row r="7" spans="1:7" s="593" customFormat="1">
      <c r="A7" s="591"/>
      <c r="B7" s="592"/>
      <c r="C7" s="592"/>
      <c r="D7" s="592"/>
      <c r="E7" s="592"/>
      <c r="F7" s="592"/>
      <c r="G7" s="592"/>
    </row>
    <row r="8" spans="1:7" s="593" customFormat="1">
      <c r="A8" s="591" t="s">
        <v>1598</v>
      </c>
      <c r="B8" s="592"/>
      <c r="C8" s="592"/>
      <c r="D8" s="592"/>
      <c r="E8" s="592"/>
      <c r="F8" s="592"/>
      <c r="G8" s="592"/>
    </row>
    <row r="9" spans="1:7" s="593" customFormat="1">
      <c r="A9" s="591" t="s">
        <v>1513</v>
      </c>
      <c r="B9" s="592"/>
      <c r="C9" s="592"/>
      <c r="D9" s="592"/>
      <c r="E9" s="592"/>
      <c r="F9" s="592"/>
      <c r="G9" s="592"/>
    </row>
    <row r="10" spans="1:7" s="595" customFormat="1">
      <c r="A10" s="594"/>
      <c r="B10" s="594"/>
      <c r="C10" s="591"/>
      <c r="D10" s="591"/>
      <c r="E10" s="591"/>
      <c r="F10" s="591"/>
      <c r="G10" s="591"/>
    </row>
    <row r="11" spans="1:7" s="600" customFormat="1" ht="99.75">
      <c r="A11" s="596" t="s">
        <v>1515</v>
      </c>
      <c r="B11" s="597" t="s">
        <v>305</v>
      </c>
      <c r="C11" s="598">
        <v>2022</v>
      </c>
      <c r="D11" s="599" t="s">
        <v>1005</v>
      </c>
      <c r="E11" s="599" t="s">
        <v>1006</v>
      </c>
      <c r="F11" s="599" t="s">
        <v>1007</v>
      </c>
      <c r="G11" s="599" t="s">
        <v>1008</v>
      </c>
    </row>
    <row r="12" spans="1:7" s="600" customFormat="1">
      <c r="A12" s="601" t="s">
        <v>306</v>
      </c>
      <c r="B12" s="602"/>
      <c r="C12" s="603"/>
      <c r="D12" s="603"/>
      <c r="E12" s="603"/>
      <c r="F12" s="603"/>
      <c r="G12" s="603"/>
    </row>
    <row r="13" spans="1:7" ht="28.5">
      <c r="A13" s="604" t="s">
        <v>307</v>
      </c>
      <c r="B13" s="605"/>
      <c r="C13" s="606"/>
      <c r="D13" s="606"/>
      <c r="E13" s="606"/>
      <c r="F13" s="606"/>
      <c r="G13" s="606"/>
    </row>
    <row r="14" spans="1:7">
      <c r="A14" s="607"/>
      <c r="B14" s="608"/>
      <c r="C14" s="606"/>
      <c r="D14" s="606"/>
      <c r="E14" s="606"/>
      <c r="F14" s="606"/>
      <c r="G14" s="606"/>
    </row>
    <row r="15" spans="1:7" s="600" customFormat="1">
      <c r="A15" s="607" t="s">
        <v>0</v>
      </c>
      <c r="B15" s="602" t="s">
        <v>308</v>
      </c>
      <c r="C15" s="609">
        <f>SUM(D15:G15)</f>
        <v>42</v>
      </c>
      <c r="D15" s="610">
        <f>SUM(D16)</f>
        <v>0</v>
      </c>
      <c r="E15" s="610">
        <f>SUM(E16)</f>
        <v>42</v>
      </c>
      <c r="F15" s="610">
        <f>SUM(F16)</f>
        <v>0</v>
      </c>
      <c r="G15" s="610">
        <f>SUM(G16)</f>
        <v>0</v>
      </c>
    </row>
    <row r="16" spans="1:7" s="600" customFormat="1">
      <c r="A16" s="611" t="s">
        <v>309</v>
      </c>
      <c r="B16" s="612" t="s">
        <v>310</v>
      </c>
      <c r="C16" s="613">
        <f t="shared" ref="C16:C21" si="0">SUM(D16:G16)</f>
        <v>42</v>
      </c>
      <c r="D16" s="606">
        <v>0</v>
      </c>
      <c r="E16" s="606">
        <v>42</v>
      </c>
      <c r="F16" s="606">
        <v>0</v>
      </c>
      <c r="G16" s="606">
        <v>0</v>
      </c>
    </row>
    <row r="17" spans="1:7" s="600" customFormat="1">
      <c r="A17" s="607" t="s">
        <v>312</v>
      </c>
      <c r="B17" s="602" t="s">
        <v>403</v>
      </c>
      <c r="C17" s="609">
        <f t="shared" si="0"/>
        <v>42415</v>
      </c>
      <c r="D17" s="610">
        <f>SUM(D18)</f>
        <v>0</v>
      </c>
      <c r="E17" s="610">
        <f>SUM(E18)</f>
        <v>0</v>
      </c>
      <c r="F17" s="610">
        <f>SUM(F18)</f>
        <v>0</v>
      </c>
      <c r="G17" s="610">
        <f>SUM(G18)</f>
        <v>42415</v>
      </c>
    </row>
    <row r="18" spans="1:7" s="600" customFormat="1">
      <c r="A18" s="611" t="s">
        <v>1512</v>
      </c>
      <c r="B18" s="612" t="s">
        <v>1511</v>
      </c>
      <c r="C18" s="613">
        <f t="shared" si="0"/>
        <v>42415</v>
      </c>
      <c r="D18" s="606">
        <v>0</v>
      </c>
      <c r="E18" s="606">
        <v>0</v>
      </c>
      <c r="F18" s="606">
        <v>0</v>
      </c>
      <c r="G18" s="606">
        <v>42415</v>
      </c>
    </row>
    <row r="19" spans="1:7" s="600" customFormat="1">
      <c r="A19" s="607" t="s">
        <v>312</v>
      </c>
      <c r="B19" s="602" t="s">
        <v>313</v>
      </c>
      <c r="C19" s="609">
        <f t="shared" si="0"/>
        <v>7834632</v>
      </c>
      <c r="D19" s="610">
        <f>SUM(D20:D21)</f>
        <v>0</v>
      </c>
      <c r="E19" s="610">
        <f>SUM(E20:E21)</f>
        <v>0</v>
      </c>
      <c r="F19" s="610">
        <f>SUM(F20:F21)</f>
        <v>7834632</v>
      </c>
      <c r="G19" s="610">
        <f>SUM(G20:G21)</f>
        <v>0</v>
      </c>
    </row>
    <row r="20" spans="1:7" s="600" customFormat="1">
      <c r="A20" s="611" t="s">
        <v>314</v>
      </c>
      <c r="B20" s="612" t="s">
        <v>315</v>
      </c>
      <c r="C20" s="613">
        <f t="shared" si="0"/>
        <v>70355</v>
      </c>
      <c r="D20" s="606">
        <v>0</v>
      </c>
      <c r="E20" s="606">
        <v>0</v>
      </c>
      <c r="F20" s="606">
        <v>70355</v>
      </c>
      <c r="G20" s="606">
        <v>0</v>
      </c>
    </row>
    <row r="21" spans="1:7" s="600" customFormat="1">
      <c r="A21" s="611" t="s">
        <v>1197</v>
      </c>
      <c r="B21" s="612" t="s">
        <v>1198</v>
      </c>
      <c r="C21" s="613">
        <f t="shared" si="0"/>
        <v>7764277</v>
      </c>
      <c r="D21" s="606">
        <v>0</v>
      </c>
      <c r="E21" s="606">
        <v>0</v>
      </c>
      <c r="F21" s="606">
        <v>7764277</v>
      </c>
      <c r="G21" s="606">
        <v>0</v>
      </c>
    </row>
    <row r="22" spans="1:7" s="600" customFormat="1">
      <c r="A22" s="611"/>
      <c r="B22" s="612"/>
      <c r="C22" s="613"/>
      <c r="D22" s="606"/>
      <c r="E22" s="606"/>
      <c r="F22" s="606"/>
      <c r="G22" s="606"/>
    </row>
    <row r="23" spans="1:7" s="600" customFormat="1">
      <c r="A23" s="604" t="s">
        <v>316</v>
      </c>
      <c r="B23" s="601" t="s">
        <v>317</v>
      </c>
      <c r="C23" s="614">
        <f>SUM(D23:G23)</f>
        <v>7877089</v>
      </c>
      <c r="D23" s="614">
        <f>SUM(D15,D17,D19)</f>
        <v>0</v>
      </c>
      <c r="E23" s="614">
        <f>SUM(E15,E17,E19)</f>
        <v>42</v>
      </c>
      <c r="F23" s="614">
        <f>SUM(F15,F17,F19)</f>
        <v>7834632</v>
      </c>
      <c r="G23" s="614">
        <f>SUM(G15,G17,G19)</f>
        <v>42415</v>
      </c>
    </row>
    <row r="24" spans="1:7" s="600" customFormat="1">
      <c r="A24" s="604"/>
      <c r="B24" s="601"/>
      <c r="C24" s="614"/>
      <c r="D24" s="610"/>
      <c r="E24" s="610"/>
      <c r="F24" s="610"/>
      <c r="G24" s="614"/>
    </row>
    <row r="25" spans="1:7" s="600" customFormat="1">
      <c r="A25" s="615" t="s">
        <v>318</v>
      </c>
      <c r="B25" s="616"/>
      <c r="C25" s="614"/>
      <c r="D25" s="610"/>
      <c r="E25" s="610"/>
      <c r="F25" s="610"/>
      <c r="G25" s="614"/>
    </row>
    <row r="26" spans="1:7" s="600" customFormat="1">
      <c r="A26" s="611"/>
      <c r="B26" s="612"/>
      <c r="C26" s="606"/>
      <c r="D26" s="606"/>
      <c r="E26" s="606"/>
      <c r="F26" s="606"/>
      <c r="G26" s="606"/>
    </row>
    <row r="27" spans="1:7" s="600" customFormat="1" ht="28.5">
      <c r="A27" s="607" t="s">
        <v>319</v>
      </c>
      <c r="B27" s="602" t="s">
        <v>320</v>
      </c>
      <c r="C27" s="609">
        <f>SUM(D27:G27)</f>
        <v>9642172</v>
      </c>
      <c r="D27" s="610">
        <f>SUM(D28)</f>
        <v>0</v>
      </c>
      <c r="E27" s="610">
        <f>SUM(E28)</f>
        <v>2732453</v>
      </c>
      <c r="F27" s="610">
        <f>SUM(F28)</f>
        <v>6909719</v>
      </c>
      <c r="G27" s="610">
        <f>SUM(G28)</f>
        <v>0</v>
      </c>
    </row>
    <row r="28" spans="1:7" s="600" customFormat="1">
      <c r="A28" s="611" t="s">
        <v>321</v>
      </c>
      <c r="B28" s="612" t="s">
        <v>322</v>
      </c>
      <c r="C28" s="613">
        <f>SUM(D28:G28)</f>
        <v>9642172</v>
      </c>
      <c r="D28" s="606">
        <v>0</v>
      </c>
      <c r="E28" s="606">
        <v>2732453</v>
      </c>
      <c r="F28" s="606">
        <v>6909719</v>
      </c>
      <c r="G28" s="606">
        <v>0</v>
      </c>
    </row>
    <row r="29" spans="1:7" s="600" customFormat="1" ht="28.5">
      <c r="A29" s="607" t="s">
        <v>323</v>
      </c>
      <c r="B29" s="602" t="s">
        <v>324</v>
      </c>
      <c r="C29" s="609">
        <f>SUM(D29:G29)</f>
        <v>12402742</v>
      </c>
      <c r="D29" s="610">
        <f>SUM(D30:D31)</f>
        <v>0</v>
      </c>
      <c r="E29" s="610">
        <f>SUM(E30:E31)</f>
        <v>10818448</v>
      </c>
      <c r="F29" s="610">
        <f>SUM(F30:F31)</f>
        <v>704020</v>
      </c>
      <c r="G29" s="610">
        <f>SUM(G30:G31)</f>
        <v>880274</v>
      </c>
    </row>
    <row r="30" spans="1:7" s="600" customFormat="1">
      <c r="A30" s="611" t="s">
        <v>325</v>
      </c>
      <c r="B30" s="612" t="s">
        <v>326</v>
      </c>
      <c r="C30" s="613">
        <f>SUM(D30:G30)</f>
        <v>12403363</v>
      </c>
      <c r="D30" s="606">
        <v>0</v>
      </c>
      <c r="E30" s="606">
        <v>10818448</v>
      </c>
      <c r="F30" s="606">
        <v>704641</v>
      </c>
      <c r="G30" s="606">
        <v>880274</v>
      </c>
    </row>
    <row r="31" spans="1:7" s="600" customFormat="1">
      <c r="A31" s="611" t="s">
        <v>327</v>
      </c>
      <c r="B31" s="612" t="s">
        <v>328</v>
      </c>
      <c r="C31" s="613">
        <f>SUM(D31:G31)</f>
        <v>-621</v>
      </c>
      <c r="D31" s="606">
        <v>0</v>
      </c>
      <c r="E31" s="606">
        <v>0</v>
      </c>
      <c r="F31" s="606">
        <v>-621</v>
      </c>
      <c r="G31" s="606">
        <v>0</v>
      </c>
    </row>
    <row r="32" spans="1:7" s="600" customFormat="1">
      <c r="A32" s="611"/>
      <c r="B32" s="612"/>
      <c r="C32" s="613"/>
      <c r="D32" s="606"/>
      <c r="E32" s="606"/>
      <c r="F32" s="606"/>
      <c r="G32" s="606"/>
    </row>
    <row r="33" spans="1:7" s="617" customFormat="1" ht="14.25">
      <c r="A33" s="615" t="s">
        <v>120</v>
      </c>
      <c r="B33" s="605" t="s">
        <v>317</v>
      </c>
      <c r="C33" s="614">
        <f>SUM(D33:G33)</f>
        <v>22044914</v>
      </c>
      <c r="D33" s="614">
        <f>SUM(D27,D29)</f>
        <v>0</v>
      </c>
      <c r="E33" s="614">
        <f>SUM(E27,E29)</f>
        <v>13550901</v>
      </c>
      <c r="F33" s="614">
        <f>SUM(F27,F29)</f>
        <v>7613739</v>
      </c>
      <c r="G33" s="614">
        <f>SUM(G27,G29)</f>
        <v>880274</v>
      </c>
    </row>
    <row r="34" spans="1:7" s="617" customFormat="1" ht="14.25">
      <c r="A34" s="615"/>
      <c r="B34" s="605"/>
      <c r="C34" s="614"/>
      <c r="D34" s="610"/>
      <c r="E34" s="610"/>
      <c r="F34" s="610"/>
      <c r="G34" s="610"/>
    </row>
    <row r="35" spans="1:7" s="619" customFormat="1">
      <c r="A35" s="615" t="s">
        <v>329</v>
      </c>
      <c r="B35" s="618"/>
      <c r="C35" s="614"/>
      <c r="D35" s="610"/>
      <c r="E35" s="610"/>
      <c r="F35" s="610"/>
      <c r="G35" s="610"/>
    </row>
    <row r="36" spans="1:7" s="600" customFormat="1" ht="28.5">
      <c r="A36" s="620" t="s">
        <v>330</v>
      </c>
      <c r="B36" s="621" t="s">
        <v>331</v>
      </c>
      <c r="C36" s="609">
        <f>SUM(D36:G36)</f>
        <v>-1583065</v>
      </c>
      <c r="D36" s="610">
        <v>0</v>
      </c>
      <c r="E36" s="610">
        <v>-1559834</v>
      </c>
      <c r="F36" s="610">
        <v>-10425</v>
      </c>
      <c r="G36" s="610">
        <v>-12806</v>
      </c>
    </row>
    <row r="37" spans="1:7" s="600" customFormat="1" ht="28.5">
      <c r="A37" s="620" t="s">
        <v>1199</v>
      </c>
      <c r="B37" s="621" t="s">
        <v>1200</v>
      </c>
      <c r="C37" s="609">
        <f>SUM(D37:G37)</f>
        <v>0</v>
      </c>
      <c r="D37" s="610">
        <v>0</v>
      </c>
      <c r="E37" s="610">
        <v>0</v>
      </c>
      <c r="F37" s="610">
        <v>0</v>
      </c>
      <c r="G37" s="610">
        <v>0</v>
      </c>
    </row>
    <row r="38" spans="1:7" s="600" customFormat="1">
      <c r="A38" s="620"/>
      <c r="B38" s="621"/>
      <c r="C38" s="609"/>
      <c r="D38" s="610"/>
      <c r="E38" s="610"/>
      <c r="F38" s="610"/>
      <c r="G38" s="610"/>
    </row>
    <row r="39" spans="1:7" s="617" customFormat="1" ht="14.25">
      <c r="A39" s="615" t="s">
        <v>120</v>
      </c>
      <c r="B39" s="605" t="s">
        <v>317</v>
      </c>
      <c r="C39" s="614">
        <f>SUM(D39:G39)</f>
        <v>-1583065</v>
      </c>
      <c r="D39" s="614">
        <f>SUM(D36:D37)</f>
        <v>0</v>
      </c>
      <c r="E39" s="614">
        <f>SUM(E36:E37)</f>
        <v>-1559834</v>
      </c>
      <c r="F39" s="614">
        <f>SUM(F36:F37)</f>
        <v>-10425</v>
      </c>
      <c r="G39" s="614">
        <f>SUM(G36:G37)</f>
        <v>-12806</v>
      </c>
    </row>
    <row r="40" spans="1:7" s="617" customFormat="1">
      <c r="A40" s="615"/>
      <c r="B40" s="605"/>
      <c r="C40" s="606"/>
      <c r="D40" s="606"/>
      <c r="E40" s="606"/>
      <c r="F40" s="606"/>
      <c r="G40" s="606"/>
    </row>
    <row r="41" spans="1:7" s="623" customFormat="1" ht="28.5">
      <c r="A41" s="615" t="s">
        <v>332</v>
      </c>
      <c r="B41" s="601"/>
      <c r="C41" s="622"/>
      <c r="D41" s="606"/>
      <c r="E41" s="606"/>
      <c r="F41" s="606"/>
      <c r="G41" s="606"/>
    </row>
    <row r="42" spans="1:7" s="600" customFormat="1">
      <c r="A42" s="611"/>
      <c r="B42" s="612"/>
      <c r="C42" s="622"/>
      <c r="D42" s="606"/>
      <c r="E42" s="606"/>
      <c r="F42" s="606"/>
      <c r="G42" s="606"/>
    </row>
    <row r="43" spans="1:7" s="623" customFormat="1" ht="28.5">
      <c r="A43" s="620" t="s">
        <v>333</v>
      </c>
      <c r="B43" s="621" t="s">
        <v>334</v>
      </c>
      <c r="C43" s="609">
        <f t="shared" ref="C43:C48" si="1">SUM(D43:G43)</f>
        <v>1623804</v>
      </c>
      <c r="D43" s="610">
        <f>SUM(D44)</f>
        <v>0</v>
      </c>
      <c r="E43" s="610">
        <f>SUM(E44)</f>
        <v>251771</v>
      </c>
      <c r="F43" s="610">
        <f>SUM(F44)</f>
        <v>1372033</v>
      </c>
      <c r="G43" s="610">
        <f>SUM(G44)</f>
        <v>0</v>
      </c>
    </row>
    <row r="44" spans="1:7" s="623" customFormat="1" ht="30">
      <c r="A44" s="624" t="s">
        <v>335</v>
      </c>
      <c r="B44" s="618" t="s">
        <v>336</v>
      </c>
      <c r="C44" s="613">
        <f t="shared" si="1"/>
        <v>1623804</v>
      </c>
      <c r="D44" s="606">
        <v>0</v>
      </c>
      <c r="E44" s="606">
        <v>251771</v>
      </c>
      <c r="F44" s="606">
        <f>1372969-1109+173</f>
        <v>1372033</v>
      </c>
      <c r="G44" s="606">
        <v>0</v>
      </c>
    </row>
    <row r="45" spans="1:7" s="600" customFormat="1" ht="28.5">
      <c r="A45" s="625" t="s">
        <v>337</v>
      </c>
      <c r="B45" s="621" t="s">
        <v>338</v>
      </c>
      <c r="C45" s="609">
        <f t="shared" si="1"/>
        <v>388393</v>
      </c>
      <c r="D45" s="610">
        <f>SUM(D46:D47)</f>
        <v>0</v>
      </c>
      <c r="E45" s="610">
        <f>SUM(E46:E47)</f>
        <v>388393</v>
      </c>
      <c r="F45" s="610">
        <f>SUM(F46:F47)</f>
        <v>0</v>
      </c>
      <c r="G45" s="610">
        <f>SUM(G46:G47)</f>
        <v>0</v>
      </c>
    </row>
    <row r="46" spans="1:7" s="600" customFormat="1">
      <c r="A46" s="624" t="s">
        <v>339</v>
      </c>
      <c r="B46" s="618" t="s">
        <v>340</v>
      </c>
      <c r="C46" s="613">
        <f t="shared" si="1"/>
        <v>388466</v>
      </c>
      <c r="D46" s="606">
        <v>0</v>
      </c>
      <c r="E46" s="606">
        <v>388466</v>
      </c>
      <c r="F46" s="606">
        <v>0</v>
      </c>
      <c r="G46" s="606">
        <v>0</v>
      </c>
    </row>
    <row r="47" spans="1:7" s="600" customFormat="1">
      <c r="A47" s="624" t="s">
        <v>341</v>
      </c>
      <c r="B47" s="618" t="s">
        <v>342</v>
      </c>
      <c r="C47" s="613">
        <f t="shared" si="1"/>
        <v>-73</v>
      </c>
      <c r="D47" s="606">
        <v>0</v>
      </c>
      <c r="E47" s="606">
        <v>-73</v>
      </c>
      <c r="F47" s="606">
        <v>0</v>
      </c>
      <c r="G47" s="606">
        <v>0</v>
      </c>
    </row>
    <row r="48" spans="1:7" s="600" customFormat="1" ht="28.5">
      <c r="A48" s="615" t="s">
        <v>343</v>
      </c>
      <c r="B48" s="601" t="s">
        <v>317</v>
      </c>
      <c r="C48" s="614">
        <f t="shared" si="1"/>
        <v>2012197</v>
      </c>
      <c r="D48" s="614">
        <f>SUM(D43,D45)</f>
        <v>0</v>
      </c>
      <c r="E48" s="614">
        <f>SUM(E43,E45)</f>
        <v>640164</v>
      </c>
      <c r="F48" s="614">
        <f>SUM(F43,F45)</f>
        <v>1372033</v>
      </c>
      <c r="G48" s="614">
        <f>SUM(G43,G45)</f>
        <v>0</v>
      </c>
    </row>
    <row r="49" spans="1:7">
      <c r="A49" s="626"/>
      <c r="B49" s="627"/>
      <c r="C49" s="628"/>
      <c r="D49" s="606"/>
      <c r="E49" s="606"/>
      <c r="F49" s="606"/>
      <c r="G49" s="606"/>
    </row>
    <row r="50" spans="1:7" s="600" customFormat="1">
      <c r="A50" s="604" t="s">
        <v>344</v>
      </c>
      <c r="B50" s="601" t="s">
        <v>317</v>
      </c>
      <c r="C50" s="614">
        <f>SUM(D50:G50)</f>
        <v>30351135</v>
      </c>
      <c r="D50" s="614">
        <f>SUM(D23,D33,D39,D48)</f>
        <v>0</v>
      </c>
      <c r="E50" s="614">
        <f>SUM(E23,E33,E39,E48)</f>
        <v>12631273</v>
      </c>
      <c r="F50" s="614">
        <f>SUM(F23,F33,F39,F48)</f>
        <v>16809979</v>
      </c>
      <c r="G50" s="614">
        <f>SUM(G23,G33,G39,G48)</f>
        <v>909883</v>
      </c>
    </row>
    <row r="51" spans="1:7" s="600" customFormat="1">
      <c r="A51" s="604"/>
      <c r="B51" s="601"/>
      <c r="C51" s="614"/>
      <c r="D51" s="610"/>
      <c r="E51" s="610"/>
      <c r="F51" s="610"/>
      <c r="G51" s="614"/>
    </row>
    <row r="52" spans="1:7" s="600" customFormat="1">
      <c r="A52" s="629"/>
      <c r="B52" s="630"/>
      <c r="C52" s="606"/>
      <c r="D52" s="606"/>
      <c r="E52" s="606"/>
      <c r="F52" s="606"/>
      <c r="G52" s="606"/>
    </row>
    <row r="53" spans="1:7" s="600" customFormat="1" ht="28.5">
      <c r="A53" s="620" t="s">
        <v>345</v>
      </c>
      <c r="B53" s="621" t="s">
        <v>346</v>
      </c>
      <c r="C53" s="609">
        <f t="shared" ref="C53:C88" si="2">SUM(D53:G53)</f>
        <v>1684456</v>
      </c>
      <c r="D53" s="609">
        <f>SUM(D54:D55)</f>
        <v>0</v>
      </c>
      <c r="E53" s="609">
        <f>SUM(E54:E55)</f>
        <v>1572002</v>
      </c>
      <c r="F53" s="609">
        <f>SUM(F54:F55)</f>
        <v>90200</v>
      </c>
      <c r="G53" s="609">
        <f>SUM(G54:G55)</f>
        <v>22254</v>
      </c>
    </row>
    <row r="54" spans="1:7" s="600" customFormat="1" ht="30">
      <c r="A54" s="624" t="s">
        <v>347</v>
      </c>
      <c r="B54" s="618" t="s">
        <v>348</v>
      </c>
      <c r="C54" s="613">
        <f t="shared" si="2"/>
        <v>1508019</v>
      </c>
      <c r="D54" s="606">
        <v>0</v>
      </c>
      <c r="E54" s="606">
        <v>1467217</v>
      </c>
      <c r="F54" s="606">
        <v>22200</v>
      </c>
      <c r="G54" s="606">
        <v>18602</v>
      </c>
    </row>
    <row r="55" spans="1:7" s="600" customFormat="1" ht="30">
      <c r="A55" s="624" t="s">
        <v>349</v>
      </c>
      <c r="B55" s="618" t="s">
        <v>350</v>
      </c>
      <c r="C55" s="613">
        <f t="shared" si="2"/>
        <v>176437</v>
      </c>
      <c r="D55" s="606">
        <v>0</v>
      </c>
      <c r="E55" s="606">
        <v>104785</v>
      </c>
      <c r="F55" s="606">
        <v>68000</v>
      </c>
      <c r="G55" s="606">
        <v>3652</v>
      </c>
    </row>
    <row r="56" spans="1:7" s="600" customFormat="1">
      <c r="A56" s="620" t="s">
        <v>351</v>
      </c>
      <c r="B56" s="621" t="s">
        <v>352</v>
      </c>
      <c r="C56" s="609">
        <f t="shared" si="2"/>
        <v>120974</v>
      </c>
      <c r="D56" s="610">
        <f>SUM(D57:D61)</f>
        <v>0</v>
      </c>
      <c r="E56" s="610">
        <f>SUM(E57:E61)</f>
        <v>48044</v>
      </c>
      <c r="F56" s="610">
        <f>SUM(F57:F61)</f>
        <v>72930</v>
      </c>
      <c r="G56" s="610">
        <f>SUM(G57:G61)</f>
        <v>0</v>
      </c>
    </row>
    <row r="57" spans="1:7" s="600" customFormat="1">
      <c r="A57" s="624" t="s">
        <v>353</v>
      </c>
      <c r="B57" s="618" t="s">
        <v>354</v>
      </c>
      <c r="C57" s="613">
        <f t="shared" si="2"/>
        <v>0</v>
      </c>
      <c r="D57" s="606">
        <v>0</v>
      </c>
      <c r="E57" s="606">
        <v>0</v>
      </c>
      <c r="F57" s="606">
        <v>0</v>
      </c>
      <c r="G57" s="606">
        <v>0</v>
      </c>
    </row>
    <row r="58" spans="1:7" s="600" customFormat="1">
      <c r="A58" s="624" t="s">
        <v>355</v>
      </c>
      <c r="B58" s="618" t="s">
        <v>356</v>
      </c>
      <c r="C58" s="613">
        <f t="shared" si="2"/>
        <v>102671</v>
      </c>
      <c r="D58" s="606">
        <v>0</v>
      </c>
      <c r="E58" s="606">
        <v>29741</v>
      </c>
      <c r="F58" s="606">
        <v>72930</v>
      </c>
      <c r="G58" s="606">
        <v>0</v>
      </c>
    </row>
    <row r="59" spans="1:7" s="600" customFormat="1" ht="30">
      <c r="A59" s="624" t="s">
        <v>357</v>
      </c>
      <c r="B59" s="618" t="s">
        <v>358</v>
      </c>
      <c r="C59" s="613">
        <f t="shared" si="2"/>
        <v>950</v>
      </c>
      <c r="D59" s="606">
        <v>0</v>
      </c>
      <c r="E59" s="606">
        <v>950</v>
      </c>
      <c r="F59" s="606">
        <v>0</v>
      </c>
      <c r="G59" s="606">
        <v>0</v>
      </c>
    </row>
    <row r="60" spans="1:7" s="600" customFormat="1">
      <c r="A60" s="624" t="s">
        <v>1510</v>
      </c>
      <c r="B60" s="618" t="s">
        <v>1509</v>
      </c>
      <c r="C60" s="613">
        <f t="shared" si="2"/>
        <v>7133</v>
      </c>
      <c r="D60" s="606">
        <v>0</v>
      </c>
      <c r="E60" s="606">
        <v>7133</v>
      </c>
      <c r="F60" s="606">
        <v>0</v>
      </c>
      <c r="G60" s="606">
        <v>0</v>
      </c>
    </row>
    <row r="61" spans="1:7" s="600" customFormat="1">
      <c r="A61" s="624" t="s">
        <v>359</v>
      </c>
      <c r="B61" s="618" t="s">
        <v>360</v>
      </c>
      <c r="C61" s="613">
        <f t="shared" si="2"/>
        <v>10220</v>
      </c>
      <c r="D61" s="606">
        <v>0</v>
      </c>
      <c r="E61" s="606">
        <v>10220</v>
      </c>
      <c r="F61" s="606">
        <v>0</v>
      </c>
      <c r="G61" s="606">
        <v>0</v>
      </c>
    </row>
    <row r="62" spans="1:7" s="600" customFormat="1">
      <c r="A62" s="620" t="s">
        <v>361</v>
      </c>
      <c r="B62" s="621" t="s">
        <v>362</v>
      </c>
      <c r="C62" s="609">
        <f t="shared" si="2"/>
        <v>413016</v>
      </c>
      <c r="D62" s="610">
        <f>SUM(D63:D66)</f>
        <v>0</v>
      </c>
      <c r="E62" s="610">
        <f>SUM(E63:E66)</f>
        <v>372040</v>
      </c>
      <c r="F62" s="610">
        <f>SUM(F63:F66)</f>
        <v>35651</v>
      </c>
      <c r="G62" s="610">
        <f>SUM(G63:G66)</f>
        <v>5325</v>
      </c>
    </row>
    <row r="63" spans="1:7" s="600" customFormat="1" ht="30">
      <c r="A63" s="631" t="s">
        <v>363</v>
      </c>
      <c r="B63" s="618" t="s">
        <v>364</v>
      </c>
      <c r="C63" s="613">
        <f t="shared" si="2"/>
        <v>244039</v>
      </c>
      <c r="D63" s="606">
        <v>0</v>
      </c>
      <c r="E63" s="606">
        <v>220331</v>
      </c>
      <c r="F63" s="606">
        <v>20843</v>
      </c>
      <c r="G63" s="606">
        <v>2865</v>
      </c>
    </row>
    <row r="64" spans="1:7" s="600" customFormat="1" ht="30">
      <c r="A64" s="631" t="s">
        <v>365</v>
      </c>
      <c r="B64" s="618" t="s">
        <v>366</v>
      </c>
      <c r="C64" s="613">
        <f t="shared" si="2"/>
        <v>4966</v>
      </c>
      <c r="D64" s="606">
        <v>0</v>
      </c>
      <c r="E64" s="606">
        <v>4395</v>
      </c>
      <c r="F64" s="606">
        <v>0</v>
      </c>
      <c r="G64" s="606">
        <v>571</v>
      </c>
    </row>
    <row r="65" spans="1:7" s="600" customFormat="1">
      <c r="A65" s="624" t="s">
        <v>367</v>
      </c>
      <c r="B65" s="618" t="s">
        <v>368</v>
      </c>
      <c r="C65" s="613">
        <f t="shared" si="2"/>
        <v>102807</v>
      </c>
      <c r="D65" s="606">
        <v>0</v>
      </c>
      <c r="E65" s="606">
        <v>92813</v>
      </c>
      <c r="F65" s="606">
        <v>8918</v>
      </c>
      <c r="G65" s="606">
        <v>1076</v>
      </c>
    </row>
    <row r="66" spans="1:7" s="600" customFormat="1" ht="30">
      <c r="A66" s="631" t="s">
        <v>369</v>
      </c>
      <c r="B66" s="618" t="s">
        <v>370</v>
      </c>
      <c r="C66" s="613">
        <f t="shared" si="2"/>
        <v>61204</v>
      </c>
      <c r="D66" s="606">
        <v>0</v>
      </c>
      <c r="E66" s="606">
        <v>54501</v>
      </c>
      <c r="F66" s="606">
        <v>5890</v>
      </c>
      <c r="G66" s="606">
        <v>813</v>
      </c>
    </row>
    <row r="67" spans="1:7" s="600" customFormat="1">
      <c r="A67" s="620" t="s">
        <v>371</v>
      </c>
      <c r="B67" s="621" t="s">
        <v>372</v>
      </c>
      <c r="C67" s="609">
        <f t="shared" si="2"/>
        <v>1144778</v>
      </c>
      <c r="D67" s="610">
        <f>SUM(D68:D79)</f>
        <v>0</v>
      </c>
      <c r="E67" s="610">
        <f>SUM(E68:E79)</f>
        <v>641876</v>
      </c>
      <c r="F67" s="610">
        <f>SUM(F68:F79)</f>
        <v>447549</v>
      </c>
      <c r="G67" s="610">
        <f>SUM(G68:G79)</f>
        <v>55353</v>
      </c>
    </row>
    <row r="68" spans="1:7" s="600" customFormat="1">
      <c r="A68" s="624" t="s">
        <v>373</v>
      </c>
      <c r="B68" s="618" t="s">
        <v>374</v>
      </c>
      <c r="C68" s="613">
        <f t="shared" si="2"/>
        <v>6322</v>
      </c>
      <c r="D68" s="606">
        <v>0</v>
      </c>
      <c r="E68" s="606">
        <v>6322</v>
      </c>
      <c r="F68" s="606">
        <v>0</v>
      </c>
      <c r="G68" s="606">
        <v>0</v>
      </c>
    </row>
    <row r="69" spans="1:7" s="600" customFormat="1">
      <c r="A69" s="624" t="s">
        <v>1154</v>
      </c>
      <c r="B69" s="618" t="s">
        <v>375</v>
      </c>
      <c r="C69" s="613">
        <f t="shared" si="2"/>
        <v>2715</v>
      </c>
      <c r="D69" s="606">
        <v>0</v>
      </c>
      <c r="E69" s="606">
        <v>2715</v>
      </c>
      <c r="F69" s="606">
        <v>0</v>
      </c>
      <c r="G69" s="606">
        <v>0</v>
      </c>
    </row>
    <row r="70" spans="1:7" s="600" customFormat="1">
      <c r="A70" s="624" t="s">
        <v>376</v>
      </c>
      <c r="B70" s="618" t="s">
        <v>377</v>
      </c>
      <c r="C70" s="613">
        <f t="shared" si="2"/>
        <v>15389</v>
      </c>
      <c r="D70" s="606">
        <v>0</v>
      </c>
      <c r="E70" s="606">
        <v>15389</v>
      </c>
      <c r="F70" s="606">
        <v>0</v>
      </c>
      <c r="G70" s="606">
        <v>0</v>
      </c>
    </row>
    <row r="71" spans="1:7" s="600" customFormat="1" ht="30">
      <c r="A71" s="624" t="s">
        <v>378</v>
      </c>
      <c r="B71" s="618" t="s">
        <v>379</v>
      </c>
      <c r="C71" s="613">
        <f t="shared" si="2"/>
        <v>20422</v>
      </c>
      <c r="D71" s="606">
        <v>0</v>
      </c>
      <c r="E71" s="606">
        <v>17422</v>
      </c>
      <c r="F71" s="606">
        <v>3000</v>
      </c>
      <c r="G71" s="606">
        <v>0</v>
      </c>
    </row>
    <row r="72" spans="1:7" s="600" customFormat="1">
      <c r="A72" s="624" t="s">
        <v>380</v>
      </c>
      <c r="B72" s="618" t="s">
        <v>381</v>
      </c>
      <c r="C72" s="613">
        <f t="shared" si="2"/>
        <v>275239</v>
      </c>
      <c r="D72" s="606">
        <v>0</v>
      </c>
      <c r="E72" s="606">
        <v>203531</v>
      </c>
      <c r="F72" s="606">
        <v>59750</v>
      </c>
      <c r="G72" s="606">
        <v>11958</v>
      </c>
    </row>
    <row r="73" spans="1:7" s="600" customFormat="1">
      <c r="A73" s="624" t="s">
        <v>382</v>
      </c>
      <c r="B73" s="618" t="s">
        <v>383</v>
      </c>
      <c r="C73" s="613">
        <f t="shared" si="2"/>
        <v>80719</v>
      </c>
      <c r="D73" s="606">
        <v>0</v>
      </c>
      <c r="E73" s="606">
        <v>80719</v>
      </c>
      <c r="F73" s="606">
        <v>0</v>
      </c>
      <c r="G73" s="606">
        <v>0</v>
      </c>
    </row>
    <row r="74" spans="1:7" s="600" customFormat="1">
      <c r="A74" s="624" t="s">
        <v>384</v>
      </c>
      <c r="B74" s="618" t="s">
        <v>385</v>
      </c>
      <c r="C74" s="613">
        <f t="shared" si="2"/>
        <v>480995</v>
      </c>
      <c r="D74" s="606">
        <v>0</v>
      </c>
      <c r="E74" s="606">
        <v>192244</v>
      </c>
      <c r="F74" s="606">
        <f>255332-1109+173</f>
        <v>254396</v>
      </c>
      <c r="G74" s="606">
        <v>34355</v>
      </c>
    </row>
    <row r="75" spans="1:7" s="600" customFormat="1">
      <c r="A75" s="624" t="s">
        <v>386</v>
      </c>
      <c r="B75" s="618" t="s">
        <v>387</v>
      </c>
      <c r="C75" s="613">
        <f t="shared" si="2"/>
        <v>0</v>
      </c>
      <c r="D75" s="606">
        <v>0</v>
      </c>
      <c r="E75" s="606">
        <v>0</v>
      </c>
      <c r="F75" s="606">
        <v>0</v>
      </c>
      <c r="G75" s="606">
        <v>0</v>
      </c>
    </row>
    <row r="76" spans="1:7" s="600" customFormat="1">
      <c r="A76" s="624" t="s">
        <v>388</v>
      </c>
      <c r="B76" s="618" t="s">
        <v>389</v>
      </c>
      <c r="C76" s="613">
        <f t="shared" si="2"/>
        <v>10900</v>
      </c>
      <c r="D76" s="606">
        <v>0</v>
      </c>
      <c r="E76" s="606">
        <v>3900</v>
      </c>
      <c r="F76" s="606">
        <v>7000</v>
      </c>
      <c r="G76" s="606">
        <v>0</v>
      </c>
    </row>
    <row r="77" spans="1:7" s="600" customFormat="1">
      <c r="A77" s="624" t="s">
        <v>390</v>
      </c>
      <c r="B77" s="618" t="s">
        <v>391</v>
      </c>
      <c r="C77" s="613">
        <f t="shared" si="2"/>
        <v>83502</v>
      </c>
      <c r="D77" s="606">
        <v>0</v>
      </c>
      <c r="E77" s="606">
        <v>0</v>
      </c>
      <c r="F77" s="606">
        <v>74702</v>
      </c>
      <c r="G77" s="606">
        <v>8800</v>
      </c>
    </row>
    <row r="78" spans="1:7" s="600" customFormat="1">
      <c r="A78" s="624" t="s">
        <v>392</v>
      </c>
      <c r="B78" s="618" t="s">
        <v>393</v>
      </c>
      <c r="C78" s="613">
        <f t="shared" si="2"/>
        <v>2214</v>
      </c>
      <c r="D78" s="606">
        <v>0</v>
      </c>
      <c r="E78" s="606">
        <v>770</v>
      </c>
      <c r="F78" s="606">
        <v>1204</v>
      </c>
      <c r="G78" s="606">
        <v>240</v>
      </c>
    </row>
    <row r="79" spans="1:7" s="600" customFormat="1" ht="30">
      <c r="A79" s="624" t="s">
        <v>394</v>
      </c>
      <c r="B79" s="618" t="s">
        <v>395</v>
      </c>
      <c r="C79" s="613">
        <f t="shared" si="2"/>
        <v>166361</v>
      </c>
      <c r="D79" s="606">
        <v>0</v>
      </c>
      <c r="E79" s="606">
        <v>118864</v>
      </c>
      <c r="F79" s="606">
        <v>47497</v>
      </c>
      <c r="G79" s="606">
        <v>0</v>
      </c>
    </row>
    <row r="80" spans="1:7" s="600" customFormat="1">
      <c r="A80" s="620" t="s">
        <v>248</v>
      </c>
      <c r="B80" s="621" t="s">
        <v>396</v>
      </c>
      <c r="C80" s="609">
        <f t="shared" si="2"/>
        <v>360</v>
      </c>
      <c r="D80" s="609">
        <f>SUM(D81)</f>
        <v>0</v>
      </c>
      <c r="E80" s="609">
        <f>SUM(E81)</f>
        <v>360</v>
      </c>
      <c r="F80" s="609">
        <f>SUM(F81)</f>
        <v>0</v>
      </c>
      <c r="G80" s="609">
        <f>SUM(G81)</f>
        <v>0</v>
      </c>
    </row>
    <row r="81" spans="1:7" s="600" customFormat="1" ht="30">
      <c r="A81" s="624" t="s">
        <v>397</v>
      </c>
      <c r="B81" s="618" t="s">
        <v>398</v>
      </c>
      <c r="C81" s="613">
        <f t="shared" si="2"/>
        <v>360</v>
      </c>
      <c r="D81" s="606">
        <v>0</v>
      </c>
      <c r="E81" s="606">
        <v>360</v>
      </c>
      <c r="F81" s="606">
        <v>0</v>
      </c>
      <c r="G81" s="606">
        <v>0</v>
      </c>
    </row>
    <row r="82" spans="1:7" s="600" customFormat="1" ht="28.5">
      <c r="A82" s="620" t="s">
        <v>249</v>
      </c>
      <c r="B82" s="621" t="s">
        <v>399</v>
      </c>
      <c r="C82" s="609">
        <f t="shared" si="2"/>
        <v>36743</v>
      </c>
      <c r="D82" s="609">
        <f>SUM(D83:D84)</f>
        <v>0</v>
      </c>
      <c r="E82" s="609">
        <f>SUM(E83:E84)</f>
        <v>1480</v>
      </c>
      <c r="F82" s="609">
        <f>SUM(F83:F84)</f>
        <v>35263</v>
      </c>
      <c r="G82" s="609">
        <f>SUM(G83:G84)</f>
        <v>0</v>
      </c>
    </row>
    <row r="83" spans="1:7" s="600" customFormat="1">
      <c r="A83" s="624" t="s">
        <v>400</v>
      </c>
      <c r="B83" s="618" t="s">
        <v>401</v>
      </c>
      <c r="C83" s="613">
        <f t="shared" si="2"/>
        <v>1480</v>
      </c>
      <c r="D83" s="606">
        <v>0</v>
      </c>
      <c r="E83" s="606">
        <v>1480</v>
      </c>
      <c r="F83" s="606">
        <v>0</v>
      </c>
      <c r="G83" s="606">
        <v>0</v>
      </c>
    </row>
    <row r="84" spans="1:7" s="600" customFormat="1" ht="30">
      <c r="A84" s="624" t="s">
        <v>1508</v>
      </c>
      <c r="B84" s="618" t="s">
        <v>1507</v>
      </c>
      <c r="C84" s="613">
        <f t="shared" si="2"/>
        <v>35263</v>
      </c>
      <c r="D84" s="606">
        <v>0</v>
      </c>
      <c r="E84" s="606">
        <v>0</v>
      </c>
      <c r="F84" s="606">
        <v>35263</v>
      </c>
      <c r="G84" s="606">
        <v>0</v>
      </c>
    </row>
    <row r="85" spans="1:7" s="600" customFormat="1" ht="28.5">
      <c r="A85" s="620" t="s">
        <v>402</v>
      </c>
      <c r="B85" s="621" t="s">
        <v>403</v>
      </c>
      <c r="C85" s="609">
        <f t="shared" si="2"/>
        <v>242140</v>
      </c>
      <c r="D85" s="609">
        <v>0</v>
      </c>
      <c r="E85" s="609">
        <v>0</v>
      </c>
      <c r="F85" s="609">
        <v>242140</v>
      </c>
      <c r="G85" s="609">
        <v>0</v>
      </c>
    </row>
    <row r="86" spans="1:7" s="635" customFormat="1" ht="28.5">
      <c r="A86" s="632" t="s">
        <v>418</v>
      </c>
      <c r="B86" s="633" t="s">
        <v>419</v>
      </c>
      <c r="C86" s="634">
        <f t="shared" si="2"/>
        <v>1520830</v>
      </c>
      <c r="D86" s="634">
        <f>SUM(D87:D88)</f>
        <v>0</v>
      </c>
      <c r="E86" s="634">
        <f>SUM(E87:E88)</f>
        <v>0</v>
      </c>
      <c r="F86" s="634">
        <f>SUM(F87:F88)</f>
        <v>1520830</v>
      </c>
      <c r="G86" s="634">
        <f>SUM(G87:G88)</f>
        <v>0</v>
      </c>
    </row>
    <row r="87" spans="1:7" s="639" customFormat="1">
      <c r="A87" s="636" t="s">
        <v>1506</v>
      </c>
      <c r="B87" s="637" t="s">
        <v>420</v>
      </c>
      <c r="C87" s="638">
        <f t="shared" si="2"/>
        <v>206957</v>
      </c>
      <c r="D87" s="638">
        <v>0</v>
      </c>
      <c r="E87" s="638">
        <v>0</v>
      </c>
      <c r="F87" s="638">
        <v>206957</v>
      </c>
      <c r="G87" s="638">
        <v>0</v>
      </c>
    </row>
    <row r="88" spans="1:7" s="639" customFormat="1">
      <c r="A88" s="636" t="s">
        <v>421</v>
      </c>
      <c r="B88" s="637" t="s">
        <v>422</v>
      </c>
      <c r="C88" s="638">
        <f t="shared" si="2"/>
        <v>1313873</v>
      </c>
      <c r="D88" s="638">
        <v>0</v>
      </c>
      <c r="E88" s="638">
        <v>0</v>
      </c>
      <c r="F88" s="638">
        <v>1313873</v>
      </c>
      <c r="G88" s="638">
        <v>0</v>
      </c>
    </row>
    <row r="89" spans="1:7" s="639" customFormat="1">
      <c r="A89" s="636"/>
      <c r="B89" s="637"/>
      <c r="C89" s="638"/>
      <c r="D89" s="638"/>
      <c r="E89" s="638"/>
      <c r="F89" s="638"/>
      <c r="G89" s="638"/>
    </row>
    <row r="90" spans="1:7" s="600" customFormat="1">
      <c r="A90" s="620" t="s">
        <v>241</v>
      </c>
      <c r="B90" s="621" t="s">
        <v>317</v>
      </c>
      <c r="C90" s="609">
        <f>SUM(D90:G90)</f>
        <v>5164233</v>
      </c>
      <c r="D90" s="609">
        <v>0</v>
      </c>
      <c r="E90" s="609">
        <v>2635802</v>
      </c>
      <c r="F90" s="609">
        <v>2445499</v>
      </c>
      <c r="G90" s="609">
        <v>82932</v>
      </c>
    </row>
    <row r="91" spans="1:7" s="600" customFormat="1">
      <c r="A91" s="624"/>
      <c r="B91" s="618"/>
      <c r="C91" s="613"/>
      <c r="D91" s="606"/>
      <c r="E91" s="606"/>
      <c r="F91" s="606"/>
      <c r="G91" s="606"/>
    </row>
    <row r="92" spans="1:7" s="623" customFormat="1" ht="14.25">
      <c r="A92" s="620" t="s">
        <v>404</v>
      </c>
      <c r="B92" s="621" t="s">
        <v>405</v>
      </c>
      <c r="C92" s="609">
        <f t="shared" ref="C92:C100" si="3">SUM(D92:G92)</f>
        <v>13873759</v>
      </c>
      <c r="D92" s="610">
        <v>0</v>
      </c>
      <c r="E92" s="610">
        <v>6119421</v>
      </c>
      <c r="F92" s="610">
        <v>6949042</v>
      </c>
      <c r="G92" s="610">
        <v>805296</v>
      </c>
    </row>
    <row r="93" spans="1:7" s="623" customFormat="1" ht="14.25">
      <c r="A93" s="620" t="s">
        <v>406</v>
      </c>
      <c r="B93" s="621" t="s">
        <v>407</v>
      </c>
      <c r="C93" s="609">
        <f t="shared" si="3"/>
        <v>11314079</v>
      </c>
      <c r="D93" s="610">
        <v>0</v>
      </c>
      <c r="E93" s="610">
        <v>3876050</v>
      </c>
      <c r="F93" s="610">
        <v>7416374</v>
      </c>
      <c r="G93" s="610">
        <v>21655</v>
      </c>
    </row>
    <row r="94" spans="1:7" s="600" customFormat="1">
      <c r="A94" s="624" t="s">
        <v>408</v>
      </c>
      <c r="B94" s="618" t="s">
        <v>409</v>
      </c>
      <c r="C94" s="613">
        <f t="shared" si="3"/>
        <v>83814</v>
      </c>
      <c r="D94" s="606">
        <v>0</v>
      </c>
      <c r="E94" s="606">
        <v>77814</v>
      </c>
      <c r="F94" s="606">
        <v>0</v>
      </c>
      <c r="G94" s="606">
        <v>6000</v>
      </c>
    </row>
    <row r="95" spans="1:7" s="600" customFormat="1">
      <c r="A95" s="636" t="s">
        <v>410</v>
      </c>
      <c r="B95" s="637" t="s">
        <v>411</v>
      </c>
      <c r="C95" s="638">
        <f t="shared" si="3"/>
        <v>2478652</v>
      </c>
      <c r="D95" s="606">
        <v>0</v>
      </c>
      <c r="E95" s="606">
        <v>1262997</v>
      </c>
      <c r="F95" s="606">
        <v>1200000</v>
      </c>
      <c r="G95" s="606">
        <v>15655</v>
      </c>
    </row>
    <row r="96" spans="1:7" s="600" customFormat="1">
      <c r="A96" s="636" t="s">
        <v>1201</v>
      </c>
      <c r="B96" s="637" t="s">
        <v>1202</v>
      </c>
      <c r="C96" s="638">
        <f t="shared" si="3"/>
        <v>107488</v>
      </c>
      <c r="D96" s="606">
        <v>0</v>
      </c>
      <c r="E96" s="606">
        <v>107488</v>
      </c>
      <c r="F96" s="606">
        <v>0</v>
      </c>
      <c r="G96" s="606">
        <v>0</v>
      </c>
    </row>
    <row r="97" spans="1:7" s="600" customFormat="1">
      <c r="A97" s="636" t="s">
        <v>1203</v>
      </c>
      <c r="B97" s="637" t="s">
        <v>1204</v>
      </c>
      <c r="C97" s="613">
        <f t="shared" si="3"/>
        <v>558055</v>
      </c>
      <c r="D97" s="606">
        <v>0</v>
      </c>
      <c r="E97" s="606">
        <v>558055</v>
      </c>
      <c r="F97" s="606">
        <v>0</v>
      </c>
      <c r="G97" s="606">
        <v>0</v>
      </c>
    </row>
    <row r="98" spans="1:7" s="600" customFormat="1">
      <c r="A98" s="624" t="s">
        <v>412</v>
      </c>
      <c r="B98" s="618" t="s">
        <v>413</v>
      </c>
      <c r="C98" s="613">
        <f t="shared" si="3"/>
        <v>7076588</v>
      </c>
      <c r="D98" s="606">
        <v>0</v>
      </c>
      <c r="E98" s="606">
        <v>860214</v>
      </c>
      <c r="F98" s="606">
        <v>6216374</v>
      </c>
      <c r="G98" s="606">
        <v>0</v>
      </c>
    </row>
    <row r="99" spans="1:7" s="600" customFormat="1">
      <c r="A99" s="636" t="s">
        <v>1009</v>
      </c>
      <c r="B99" s="637" t="s">
        <v>1010</v>
      </c>
      <c r="C99" s="613">
        <f t="shared" si="3"/>
        <v>1009482</v>
      </c>
      <c r="D99" s="606">
        <v>0</v>
      </c>
      <c r="E99" s="606">
        <v>1009482</v>
      </c>
      <c r="F99" s="606">
        <v>0</v>
      </c>
      <c r="G99" s="606">
        <v>0</v>
      </c>
    </row>
    <row r="100" spans="1:7" s="640" customFormat="1">
      <c r="A100" s="620" t="s">
        <v>416</v>
      </c>
      <c r="B100" s="621" t="s">
        <v>317</v>
      </c>
      <c r="C100" s="609">
        <f t="shared" si="3"/>
        <v>25187838</v>
      </c>
      <c r="D100" s="610">
        <v>0</v>
      </c>
      <c r="E100" s="610">
        <v>9995471</v>
      </c>
      <c r="F100" s="610">
        <v>14365416</v>
      </c>
      <c r="G100" s="610">
        <v>826951</v>
      </c>
    </row>
    <row r="101" spans="1:7" s="600" customFormat="1">
      <c r="A101" s="620"/>
      <c r="B101" s="621"/>
      <c r="C101" s="613"/>
      <c r="D101" s="606"/>
      <c r="E101" s="606"/>
      <c r="F101" s="606"/>
      <c r="G101" s="606"/>
    </row>
    <row r="102" spans="1:7" s="600" customFormat="1">
      <c r="A102" s="641" t="s">
        <v>417</v>
      </c>
      <c r="B102" s="641" t="s">
        <v>317</v>
      </c>
      <c r="C102" s="609">
        <f>SUM(D102:G102)</f>
        <v>30352071</v>
      </c>
      <c r="D102" s="610">
        <v>0</v>
      </c>
      <c r="E102" s="610">
        <v>12631273</v>
      </c>
      <c r="F102" s="610">
        <v>16810915</v>
      </c>
      <c r="G102" s="610">
        <v>909883</v>
      </c>
    </row>
    <row r="104" spans="1:7" ht="15.75">
      <c r="A104" s="52"/>
    </row>
    <row r="105" spans="1:7" ht="15.75">
      <c r="A105" s="54"/>
    </row>
    <row r="106" spans="1:7" ht="15.75">
      <c r="A106" s="52"/>
    </row>
    <row r="107" spans="1:7" ht="15.75">
      <c r="A107" s="55"/>
    </row>
    <row r="108" spans="1:7" ht="15.75">
      <c r="A108" s="52"/>
    </row>
    <row r="109" spans="1:7" ht="15.75">
      <c r="A109" s="54"/>
    </row>
    <row r="110" spans="1:7" ht="15.75">
      <c r="A110" s="55" t="s">
        <v>1589</v>
      </c>
    </row>
    <row r="111" spans="1:7" ht="15.75">
      <c r="A111" s="55" t="s">
        <v>1590</v>
      </c>
    </row>
    <row r="112" spans="1:7" ht="15.75">
      <c r="A112" s="55" t="s">
        <v>1591</v>
      </c>
    </row>
    <row r="113" spans="1:1" ht="15.75">
      <c r="A113" s="52"/>
    </row>
    <row r="114" spans="1:1" ht="15.75">
      <c r="A114" s="52"/>
    </row>
    <row r="115" spans="1:1" ht="15.75">
      <c r="A115" s="54"/>
    </row>
    <row r="116" spans="1:1" ht="15.75">
      <c r="A116" s="54"/>
    </row>
    <row r="117" spans="1:1" ht="15.75">
      <c r="A117" s="59"/>
    </row>
    <row r="118" spans="1:1" ht="15.75">
      <c r="A118" s="60"/>
    </row>
    <row r="119" spans="1:1" ht="15.75">
      <c r="A119" s="60"/>
    </row>
  </sheetData>
  <pageMargins left="0.19685039370078741" right="0.19685039370078741" top="0.39370078740157483" bottom="0.39370078740157483" header="0.51181102362204722" footer="0.51181102362204722"/>
  <pageSetup paperSize="9" scale="6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J51"/>
  <sheetViews>
    <sheetView topLeftCell="A31" zoomScale="82" zoomScaleNormal="82" workbookViewId="0">
      <selection activeCell="B45" sqref="B45"/>
    </sheetView>
  </sheetViews>
  <sheetFormatPr defaultRowHeight="15.75"/>
  <cols>
    <col min="1" max="1" width="5.85546875" style="9" bestFit="1" customWidth="1"/>
    <col min="2" max="2" width="47.85546875" style="9" customWidth="1"/>
    <col min="3" max="3" width="19.140625" style="110" customWidth="1"/>
    <col min="4" max="4" width="24.140625" style="110" customWidth="1"/>
    <col min="5" max="5" width="23.42578125" style="110" customWidth="1"/>
    <col min="6" max="6" width="14" style="9" customWidth="1"/>
    <col min="7" max="9" width="16.140625" style="9" customWidth="1"/>
    <col min="10" max="10" width="46.140625" style="9" customWidth="1"/>
    <col min="11" max="256" width="9.140625" style="9"/>
    <col min="257" max="257" width="5.7109375" style="9" bestFit="1" customWidth="1"/>
    <col min="258" max="258" width="38.28515625" style="9" bestFit="1" customWidth="1"/>
    <col min="259" max="259" width="13.42578125" style="9" customWidth="1"/>
    <col min="260" max="261" width="15.42578125" style="9" customWidth="1"/>
    <col min="262" max="262" width="8.85546875" style="9" bestFit="1" customWidth="1"/>
    <col min="263" max="263" width="9.28515625" style="9" bestFit="1" customWidth="1"/>
    <col min="264" max="264" width="7.42578125" style="9" bestFit="1" customWidth="1"/>
    <col min="265" max="265" width="9.5703125" style="9" customWidth="1"/>
    <col min="266" max="266" width="18.7109375" style="9" customWidth="1"/>
    <col min="267" max="512" width="9.140625" style="9"/>
    <col min="513" max="513" width="5.7109375" style="9" bestFit="1" customWidth="1"/>
    <col min="514" max="514" width="38.28515625" style="9" bestFit="1" customWidth="1"/>
    <col min="515" max="515" width="13.42578125" style="9" customWidth="1"/>
    <col min="516" max="517" width="15.42578125" style="9" customWidth="1"/>
    <col min="518" max="518" width="8.85546875" style="9" bestFit="1" customWidth="1"/>
    <col min="519" max="519" width="9.28515625" style="9" bestFit="1" customWidth="1"/>
    <col min="520" max="520" width="7.42578125" style="9" bestFit="1" customWidth="1"/>
    <col min="521" max="521" width="9.5703125" style="9" customWidth="1"/>
    <col min="522" max="522" width="18.7109375" style="9" customWidth="1"/>
    <col min="523" max="768" width="9.140625" style="9"/>
    <col min="769" max="769" width="5.7109375" style="9" bestFit="1" customWidth="1"/>
    <col min="770" max="770" width="38.28515625" style="9" bestFit="1" customWidth="1"/>
    <col min="771" max="771" width="13.42578125" style="9" customWidth="1"/>
    <col min="772" max="773" width="15.42578125" style="9" customWidth="1"/>
    <col min="774" max="774" width="8.85546875" style="9" bestFit="1" customWidth="1"/>
    <col min="775" max="775" width="9.28515625" style="9" bestFit="1" customWidth="1"/>
    <col min="776" max="776" width="7.42578125" style="9" bestFit="1" customWidth="1"/>
    <col min="777" max="777" width="9.5703125" style="9" customWidth="1"/>
    <col min="778" max="778" width="18.7109375" style="9" customWidth="1"/>
    <col min="779" max="1024" width="9.140625" style="9"/>
    <col min="1025" max="1025" width="5.7109375" style="9" bestFit="1" customWidth="1"/>
    <col min="1026" max="1026" width="38.28515625" style="9" bestFit="1" customWidth="1"/>
    <col min="1027" max="1027" width="13.42578125" style="9" customWidth="1"/>
    <col min="1028" max="1029" width="15.42578125" style="9" customWidth="1"/>
    <col min="1030" max="1030" width="8.85546875" style="9" bestFit="1" customWidth="1"/>
    <col min="1031" max="1031" width="9.28515625" style="9" bestFit="1" customWidth="1"/>
    <col min="1032" max="1032" width="7.42578125" style="9" bestFit="1" customWidth="1"/>
    <col min="1033" max="1033" width="9.5703125" style="9" customWidth="1"/>
    <col min="1034" max="1034" width="18.7109375" style="9" customWidth="1"/>
    <col min="1035" max="1280" width="9.140625" style="9"/>
    <col min="1281" max="1281" width="5.7109375" style="9" bestFit="1" customWidth="1"/>
    <col min="1282" max="1282" width="38.28515625" style="9" bestFit="1" customWidth="1"/>
    <col min="1283" max="1283" width="13.42578125" style="9" customWidth="1"/>
    <col min="1284" max="1285" width="15.42578125" style="9" customWidth="1"/>
    <col min="1286" max="1286" width="8.85546875" style="9" bestFit="1" customWidth="1"/>
    <col min="1287" max="1287" width="9.28515625" style="9" bestFit="1" customWidth="1"/>
    <col min="1288" max="1288" width="7.42578125" style="9" bestFit="1" customWidth="1"/>
    <col min="1289" max="1289" width="9.5703125" style="9" customWidth="1"/>
    <col min="1290" max="1290" width="18.7109375" style="9" customWidth="1"/>
    <col min="1291" max="1536" width="9.140625" style="9"/>
    <col min="1537" max="1537" width="5.7109375" style="9" bestFit="1" customWidth="1"/>
    <col min="1538" max="1538" width="38.28515625" style="9" bestFit="1" customWidth="1"/>
    <col min="1539" max="1539" width="13.42578125" style="9" customWidth="1"/>
    <col min="1540" max="1541" width="15.42578125" style="9" customWidth="1"/>
    <col min="1542" max="1542" width="8.85546875" style="9" bestFit="1" customWidth="1"/>
    <col min="1543" max="1543" width="9.28515625" style="9" bestFit="1" customWidth="1"/>
    <col min="1544" max="1544" width="7.42578125" style="9" bestFit="1" customWidth="1"/>
    <col min="1545" max="1545" width="9.5703125" style="9" customWidth="1"/>
    <col min="1546" max="1546" width="18.7109375" style="9" customWidth="1"/>
    <col min="1547" max="1792" width="9.140625" style="9"/>
    <col min="1793" max="1793" width="5.7109375" style="9" bestFit="1" customWidth="1"/>
    <col min="1794" max="1794" width="38.28515625" style="9" bestFit="1" customWidth="1"/>
    <col min="1795" max="1795" width="13.42578125" style="9" customWidth="1"/>
    <col min="1796" max="1797" width="15.42578125" style="9" customWidth="1"/>
    <col min="1798" max="1798" width="8.85546875" style="9" bestFit="1" customWidth="1"/>
    <col min="1799" max="1799" width="9.28515625" style="9" bestFit="1" customWidth="1"/>
    <col min="1800" max="1800" width="7.42578125" style="9" bestFit="1" customWidth="1"/>
    <col min="1801" max="1801" width="9.5703125" style="9" customWidth="1"/>
    <col min="1802" max="1802" width="18.7109375" style="9" customWidth="1"/>
    <col min="1803" max="2048" width="9.140625" style="9"/>
    <col min="2049" max="2049" width="5.7109375" style="9" bestFit="1" customWidth="1"/>
    <col min="2050" max="2050" width="38.28515625" style="9" bestFit="1" customWidth="1"/>
    <col min="2051" max="2051" width="13.42578125" style="9" customWidth="1"/>
    <col min="2052" max="2053" width="15.42578125" style="9" customWidth="1"/>
    <col min="2054" max="2054" width="8.85546875" style="9" bestFit="1" customWidth="1"/>
    <col min="2055" max="2055" width="9.28515625" style="9" bestFit="1" customWidth="1"/>
    <col min="2056" max="2056" width="7.42578125" style="9" bestFit="1" customWidth="1"/>
    <col min="2057" max="2057" width="9.5703125" style="9" customWidth="1"/>
    <col min="2058" max="2058" width="18.7109375" style="9" customWidth="1"/>
    <col min="2059" max="2304" width="9.140625" style="9"/>
    <col min="2305" max="2305" width="5.7109375" style="9" bestFit="1" customWidth="1"/>
    <col min="2306" max="2306" width="38.28515625" style="9" bestFit="1" customWidth="1"/>
    <col min="2307" max="2307" width="13.42578125" style="9" customWidth="1"/>
    <col min="2308" max="2309" width="15.42578125" style="9" customWidth="1"/>
    <col min="2310" max="2310" width="8.85546875" style="9" bestFit="1" customWidth="1"/>
    <col min="2311" max="2311" width="9.28515625" style="9" bestFit="1" customWidth="1"/>
    <col min="2312" max="2312" width="7.42578125" style="9" bestFit="1" customWidth="1"/>
    <col min="2313" max="2313" width="9.5703125" style="9" customWidth="1"/>
    <col min="2314" max="2314" width="18.7109375" style="9" customWidth="1"/>
    <col min="2315" max="2560" width="9.140625" style="9"/>
    <col min="2561" max="2561" width="5.7109375" style="9" bestFit="1" customWidth="1"/>
    <col min="2562" max="2562" width="38.28515625" style="9" bestFit="1" customWidth="1"/>
    <col min="2563" max="2563" width="13.42578125" style="9" customWidth="1"/>
    <col min="2564" max="2565" width="15.42578125" style="9" customWidth="1"/>
    <col min="2566" max="2566" width="8.85546875" style="9" bestFit="1" customWidth="1"/>
    <col min="2567" max="2567" width="9.28515625" style="9" bestFit="1" customWidth="1"/>
    <col min="2568" max="2568" width="7.42578125" style="9" bestFit="1" customWidth="1"/>
    <col min="2569" max="2569" width="9.5703125" style="9" customWidth="1"/>
    <col min="2570" max="2570" width="18.7109375" style="9" customWidth="1"/>
    <col min="2571" max="2816" width="9.140625" style="9"/>
    <col min="2817" max="2817" width="5.7109375" style="9" bestFit="1" customWidth="1"/>
    <col min="2818" max="2818" width="38.28515625" style="9" bestFit="1" customWidth="1"/>
    <col min="2819" max="2819" width="13.42578125" style="9" customWidth="1"/>
    <col min="2820" max="2821" width="15.42578125" style="9" customWidth="1"/>
    <col min="2822" max="2822" width="8.85546875" style="9" bestFit="1" customWidth="1"/>
    <col min="2823" max="2823" width="9.28515625" style="9" bestFit="1" customWidth="1"/>
    <col min="2824" max="2824" width="7.42578125" style="9" bestFit="1" customWidth="1"/>
    <col min="2825" max="2825" width="9.5703125" style="9" customWidth="1"/>
    <col min="2826" max="2826" width="18.7109375" style="9" customWidth="1"/>
    <col min="2827" max="3072" width="9.140625" style="9"/>
    <col min="3073" max="3073" width="5.7109375" style="9" bestFit="1" customWidth="1"/>
    <col min="3074" max="3074" width="38.28515625" style="9" bestFit="1" customWidth="1"/>
    <col min="3075" max="3075" width="13.42578125" style="9" customWidth="1"/>
    <col min="3076" max="3077" width="15.42578125" style="9" customWidth="1"/>
    <col min="3078" max="3078" width="8.85546875" style="9" bestFit="1" customWidth="1"/>
    <col min="3079" max="3079" width="9.28515625" style="9" bestFit="1" customWidth="1"/>
    <col min="3080" max="3080" width="7.42578125" style="9" bestFit="1" customWidth="1"/>
    <col min="3081" max="3081" width="9.5703125" style="9" customWidth="1"/>
    <col min="3082" max="3082" width="18.7109375" style="9" customWidth="1"/>
    <col min="3083" max="3328" width="9.140625" style="9"/>
    <col min="3329" max="3329" width="5.7109375" style="9" bestFit="1" customWidth="1"/>
    <col min="3330" max="3330" width="38.28515625" style="9" bestFit="1" customWidth="1"/>
    <col min="3331" max="3331" width="13.42578125" style="9" customWidth="1"/>
    <col min="3332" max="3333" width="15.42578125" style="9" customWidth="1"/>
    <col min="3334" max="3334" width="8.85546875" style="9" bestFit="1" customWidth="1"/>
    <col min="3335" max="3335" width="9.28515625" style="9" bestFit="1" customWidth="1"/>
    <col min="3336" max="3336" width="7.42578125" style="9" bestFit="1" customWidth="1"/>
    <col min="3337" max="3337" width="9.5703125" style="9" customWidth="1"/>
    <col min="3338" max="3338" width="18.7109375" style="9" customWidth="1"/>
    <col min="3339" max="3584" width="9.140625" style="9"/>
    <col min="3585" max="3585" width="5.7109375" style="9" bestFit="1" customWidth="1"/>
    <col min="3586" max="3586" width="38.28515625" style="9" bestFit="1" customWidth="1"/>
    <col min="3587" max="3587" width="13.42578125" style="9" customWidth="1"/>
    <col min="3588" max="3589" width="15.42578125" style="9" customWidth="1"/>
    <col min="3590" max="3590" width="8.85546875" style="9" bestFit="1" customWidth="1"/>
    <col min="3591" max="3591" width="9.28515625" style="9" bestFit="1" customWidth="1"/>
    <col min="3592" max="3592" width="7.42578125" style="9" bestFit="1" customWidth="1"/>
    <col min="3593" max="3593" width="9.5703125" style="9" customWidth="1"/>
    <col min="3594" max="3594" width="18.7109375" style="9" customWidth="1"/>
    <col min="3595" max="3840" width="9.140625" style="9"/>
    <col min="3841" max="3841" width="5.7109375" style="9" bestFit="1" customWidth="1"/>
    <col min="3842" max="3842" width="38.28515625" style="9" bestFit="1" customWidth="1"/>
    <col min="3843" max="3843" width="13.42578125" style="9" customWidth="1"/>
    <col min="3844" max="3845" width="15.42578125" style="9" customWidth="1"/>
    <col min="3846" max="3846" width="8.85546875" style="9" bestFit="1" customWidth="1"/>
    <col min="3847" max="3847" width="9.28515625" style="9" bestFit="1" customWidth="1"/>
    <col min="3848" max="3848" width="7.42578125" style="9" bestFit="1" customWidth="1"/>
    <col min="3849" max="3849" width="9.5703125" style="9" customWidth="1"/>
    <col min="3850" max="3850" width="18.7109375" style="9" customWidth="1"/>
    <col min="3851" max="4096" width="9.140625" style="9"/>
    <col min="4097" max="4097" width="5.7109375" style="9" bestFit="1" customWidth="1"/>
    <col min="4098" max="4098" width="38.28515625" style="9" bestFit="1" customWidth="1"/>
    <col min="4099" max="4099" width="13.42578125" style="9" customWidth="1"/>
    <col min="4100" max="4101" width="15.42578125" style="9" customWidth="1"/>
    <col min="4102" max="4102" width="8.85546875" style="9" bestFit="1" customWidth="1"/>
    <col min="4103" max="4103" width="9.28515625" style="9" bestFit="1" customWidth="1"/>
    <col min="4104" max="4104" width="7.42578125" style="9" bestFit="1" customWidth="1"/>
    <col min="4105" max="4105" width="9.5703125" style="9" customWidth="1"/>
    <col min="4106" max="4106" width="18.7109375" style="9" customWidth="1"/>
    <col min="4107" max="4352" width="9.140625" style="9"/>
    <col min="4353" max="4353" width="5.7109375" style="9" bestFit="1" customWidth="1"/>
    <col min="4354" max="4354" width="38.28515625" style="9" bestFit="1" customWidth="1"/>
    <col min="4355" max="4355" width="13.42578125" style="9" customWidth="1"/>
    <col min="4356" max="4357" width="15.42578125" style="9" customWidth="1"/>
    <col min="4358" max="4358" width="8.85546875" style="9" bestFit="1" customWidth="1"/>
    <col min="4359" max="4359" width="9.28515625" style="9" bestFit="1" customWidth="1"/>
    <col min="4360" max="4360" width="7.42578125" style="9" bestFit="1" customWidth="1"/>
    <col min="4361" max="4361" width="9.5703125" style="9" customWidth="1"/>
    <col min="4362" max="4362" width="18.7109375" style="9" customWidth="1"/>
    <col min="4363" max="4608" width="9.140625" style="9"/>
    <col min="4609" max="4609" width="5.7109375" style="9" bestFit="1" customWidth="1"/>
    <col min="4610" max="4610" width="38.28515625" style="9" bestFit="1" customWidth="1"/>
    <col min="4611" max="4611" width="13.42578125" style="9" customWidth="1"/>
    <col min="4612" max="4613" width="15.42578125" style="9" customWidth="1"/>
    <col min="4614" max="4614" width="8.85546875" style="9" bestFit="1" customWidth="1"/>
    <col min="4615" max="4615" width="9.28515625" style="9" bestFit="1" customWidth="1"/>
    <col min="4616" max="4616" width="7.42578125" style="9" bestFit="1" customWidth="1"/>
    <col min="4617" max="4617" width="9.5703125" style="9" customWidth="1"/>
    <col min="4618" max="4618" width="18.7109375" style="9" customWidth="1"/>
    <col min="4619" max="4864" width="9.140625" style="9"/>
    <col min="4865" max="4865" width="5.7109375" style="9" bestFit="1" customWidth="1"/>
    <col min="4866" max="4866" width="38.28515625" style="9" bestFit="1" customWidth="1"/>
    <col min="4867" max="4867" width="13.42578125" style="9" customWidth="1"/>
    <col min="4868" max="4869" width="15.42578125" style="9" customWidth="1"/>
    <col min="4870" max="4870" width="8.85546875" style="9" bestFit="1" customWidth="1"/>
    <col min="4871" max="4871" width="9.28515625" style="9" bestFit="1" customWidth="1"/>
    <col min="4872" max="4872" width="7.42578125" style="9" bestFit="1" customWidth="1"/>
    <col min="4873" max="4873" width="9.5703125" style="9" customWidth="1"/>
    <col min="4874" max="4874" width="18.7109375" style="9" customWidth="1"/>
    <col min="4875" max="5120" width="9.140625" style="9"/>
    <col min="5121" max="5121" width="5.7109375" style="9" bestFit="1" customWidth="1"/>
    <col min="5122" max="5122" width="38.28515625" style="9" bestFit="1" customWidth="1"/>
    <col min="5123" max="5123" width="13.42578125" style="9" customWidth="1"/>
    <col min="5124" max="5125" width="15.42578125" style="9" customWidth="1"/>
    <col min="5126" max="5126" width="8.85546875" style="9" bestFit="1" customWidth="1"/>
    <col min="5127" max="5127" width="9.28515625" style="9" bestFit="1" customWidth="1"/>
    <col min="5128" max="5128" width="7.42578125" style="9" bestFit="1" customWidth="1"/>
    <col min="5129" max="5129" width="9.5703125" style="9" customWidth="1"/>
    <col min="5130" max="5130" width="18.7109375" style="9" customWidth="1"/>
    <col min="5131" max="5376" width="9.140625" style="9"/>
    <col min="5377" max="5377" width="5.7109375" style="9" bestFit="1" customWidth="1"/>
    <col min="5378" max="5378" width="38.28515625" style="9" bestFit="1" customWidth="1"/>
    <col min="5379" max="5379" width="13.42578125" style="9" customWidth="1"/>
    <col min="5380" max="5381" width="15.42578125" style="9" customWidth="1"/>
    <col min="5382" max="5382" width="8.85546875" style="9" bestFit="1" customWidth="1"/>
    <col min="5383" max="5383" width="9.28515625" style="9" bestFit="1" customWidth="1"/>
    <col min="5384" max="5384" width="7.42578125" style="9" bestFit="1" customWidth="1"/>
    <col min="5385" max="5385" width="9.5703125" style="9" customWidth="1"/>
    <col min="5386" max="5386" width="18.7109375" style="9" customWidth="1"/>
    <col min="5387" max="5632" width="9.140625" style="9"/>
    <col min="5633" max="5633" width="5.7109375" style="9" bestFit="1" customWidth="1"/>
    <col min="5634" max="5634" width="38.28515625" style="9" bestFit="1" customWidth="1"/>
    <col min="5635" max="5635" width="13.42578125" style="9" customWidth="1"/>
    <col min="5636" max="5637" width="15.42578125" style="9" customWidth="1"/>
    <col min="5638" max="5638" width="8.85546875" style="9" bestFit="1" customWidth="1"/>
    <col min="5639" max="5639" width="9.28515625" style="9" bestFit="1" customWidth="1"/>
    <col min="5640" max="5640" width="7.42578125" style="9" bestFit="1" customWidth="1"/>
    <col min="5641" max="5641" width="9.5703125" style="9" customWidth="1"/>
    <col min="5642" max="5642" width="18.7109375" style="9" customWidth="1"/>
    <col min="5643" max="5888" width="9.140625" style="9"/>
    <col min="5889" max="5889" width="5.7109375" style="9" bestFit="1" customWidth="1"/>
    <col min="5890" max="5890" width="38.28515625" style="9" bestFit="1" customWidth="1"/>
    <col min="5891" max="5891" width="13.42578125" style="9" customWidth="1"/>
    <col min="5892" max="5893" width="15.42578125" style="9" customWidth="1"/>
    <col min="5894" max="5894" width="8.85546875" style="9" bestFit="1" customWidth="1"/>
    <col min="5895" max="5895" width="9.28515625" style="9" bestFit="1" customWidth="1"/>
    <col min="5896" max="5896" width="7.42578125" style="9" bestFit="1" customWidth="1"/>
    <col min="5897" max="5897" width="9.5703125" style="9" customWidth="1"/>
    <col min="5898" max="5898" width="18.7109375" style="9" customWidth="1"/>
    <col min="5899" max="6144" width="9.140625" style="9"/>
    <col min="6145" max="6145" width="5.7109375" style="9" bestFit="1" customWidth="1"/>
    <col min="6146" max="6146" width="38.28515625" style="9" bestFit="1" customWidth="1"/>
    <col min="6147" max="6147" width="13.42578125" style="9" customWidth="1"/>
    <col min="6148" max="6149" width="15.42578125" style="9" customWidth="1"/>
    <col min="6150" max="6150" width="8.85546875" style="9" bestFit="1" customWidth="1"/>
    <col min="6151" max="6151" width="9.28515625" style="9" bestFit="1" customWidth="1"/>
    <col min="6152" max="6152" width="7.42578125" style="9" bestFit="1" customWidth="1"/>
    <col min="6153" max="6153" width="9.5703125" style="9" customWidth="1"/>
    <col min="6154" max="6154" width="18.7109375" style="9" customWidth="1"/>
    <col min="6155" max="6400" width="9.140625" style="9"/>
    <col min="6401" max="6401" width="5.7109375" style="9" bestFit="1" customWidth="1"/>
    <col min="6402" max="6402" width="38.28515625" style="9" bestFit="1" customWidth="1"/>
    <col min="6403" max="6403" width="13.42578125" style="9" customWidth="1"/>
    <col min="6404" max="6405" width="15.42578125" style="9" customWidth="1"/>
    <col min="6406" max="6406" width="8.85546875" style="9" bestFit="1" customWidth="1"/>
    <col min="6407" max="6407" width="9.28515625" style="9" bestFit="1" customWidth="1"/>
    <col min="6408" max="6408" width="7.42578125" style="9" bestFit="1" customWidth="1"/>
    <col min="6409" max="6409" width="9.5703125" style="9" customWidth="1"/>
    <col min="6410" max="6410" width="18.7109375" style="9" customWidth="1"/>
    <col min="6411" max="6656" width="9.140625" style="9"/>
    <col min="6657" max="6657" width="5.7109375" style="9" bestFit="1" customWidth="1"/>
    <col min="6658" max="6658" width="38.28515625" style="9" bestFit="1" customWidth="1"/>
    <col min="6659" max="6659" width="13.42578125" style="9" customWidth="1"/>
    <col min="6660" max="6661" width="15.42578125" style="9" customWidth="1"/>
    <col min="6662" max="6662" width="8.85546875" style="9" bestFit="1" customWidth="1"/>
    <col min="6663" max="6663" width="9.28515625" style="9" bestFit="1" customWidth="1"/>
    <col min="6664" max="6664" width="7.42578125" style="9" bestFit="1" customWidth="1"/>
    <col min="6665" max="6665" width="9.5703125" style="9" customWidth="1"/>
    <col min="6666" max="6666" width="18.7109375" style="9" customWidth="1"/>
    <col min="6667" max="6912" width="9.140625" style="9"/>
    <col min="6913" max="6913" width="5.7109375" style="9" bestFit="1" customWidth="1"/>
    <col min="6914" max="6914" width="38.28515625" style="9" bestFit="1" customWidth="1"/>
    <col min="6915" max="6915" width="13.42578125" style="9" customWidth="1"/>
    <col min="6916" max="6917" width="15.42578125" style="9" customWidth="1"/>
    <col min="6918" max="6918" width="8.85546875" style="9" bestFit="1" customWidth="1"/>
    <col min="6919" max="6919" width="9.28515625" style="9" bestFit="1" customWidth="1"/>
    <col min="6920" max="6920" width="7.42578125" style="9" bestFit="1" customWidth="1"/>
    <col min="6921" max="6921" width="9.5703125" style="9" customWidth="1"/>
    <col min="6922" max="6922" width="18.7109375" style="9" customWidth="1"/>
    <col min="6923" max="7168" width="9.140625" style="9"/>
    <col min="7169" max="7169" width="5.7109375" style="9" bestFit="1" customWidth="1"/>
    <col min="7170" max="7170" width="38.28515625" style="9" bestFit="1" customWidth="1"/>
    <col min="7171" max="7171" width="13.42578125" style="9" customWidth="1"/>
    <col min="7172" max="7173" width="15.42578125" style="9" customWidth="1"/>
    <col min="7174" max="7174" width="8.85546875" style="9" bestFit="1" customWidth="1"/>
    <col min="7175" max="7175" width="9.28515625" style="9" bestFit="1" customWidth="1"/>
    <col min="7176" max="7176" width="7.42578125" style="9" bestFit="1" customWidth="1"/>
    <col min="7177" max="7177" width="9.5703125" style="9" customWidth="1"/>
    <col min="7178" max="7178" width="18.7109375" style="9" customWidth="1"/>
    <col min="7179" max="7424" width="9.140625" style="9"/>
    <col min="7425" max="7425" width="5.7109375" style="9" bestFit="1" customWidth="1"/>
    <col min="7426" max="7426" width="38.28515625" style="9" bestFit="1" customWidth="1"/>
    <col min="7427" max="7427" width="13.42578125" style="9" customWidth="1"/>
    <col min="7428" max="7429" width="15.42578125" style="9" customWidth="1"/>
    <col min="7430" max="7430" width="8.85546875" style="9" bestFit="1" customWidth="1"/>
    <col min="7431" max="7431" width="9.28515625" style="9" bestFit="1" customWidth="1"/>
    <col min="7432" max="7432" width="7.42578125" style="9" bestFit="1" customWidth="1"/>
    <col min="7433" max="7433" width="9.5703125" style="9" customWidth="1"/>
    <col min="7434" max="7434" width="18.7109375" style="9" customWidth="1"/>
    <col min="7435" max="7680" width="9.140625" style="9"/>
    <col min="7681" max="7681" width="5.7109375" style="9" bestFit="1" customWidth="1"/>
    <col min="7682" max="7682" width="38.28515625" style="9" bestFit="1" customWidth="1"/>
    <col min="7683" max="7683" width="13.42578125" style="9" customWidth="1"/>
    <col min="7684" max="7685" width="15.42578125" style="9" customWidth="1"/>
    <col min="7686" max="7686" width="8.85546875" style="9" bestFit="1" customWidth="1"/>
    <col min="7687" max="7687" width="9.28515625" style="9" bestFit="1" customWidth="1"/>
    <col min="7688" max="7688" width="7.42578125" style="9" bestFit="1" customWidth="1"/>
    <col min="7689" max="7689" width="9.5703125" style="9" customWidth="1"/>
    <col min="7690" max="7690" width="18.7109375" style="9" customWidth="1"/>
    <col min="7691" max="7936" width="9.140625" style="9"/>
    <col min="7937" max="7937" width="5.7109375" style="9" bestFit="1" customWidth="1"/>
    <col min="7938" max="7938" width="38.28515625" style="9" bestFit="1" customWidth="1"/>
    <col min="7939" max="7939" width="13.42578125" style="9" customWidth="1"/>
    <col min="7940" max="7941" width="15.42578125" style="9" customWidth="1"/>
    <col min="7942" max="7942" width="8.85546875" style="9" bestFit="1" customWidth="1"/>
    <col min="7943" max="7943" width="9.28515625" style="9" bestFit="1" customWidth="1"/>
    <col min="7944" max="7944" width="7.42578125" style="9" bestFit="1" customWidth="1"/>
    <col min="7945" max="7945" width="9.5703125" style="9" customWidth="1"/>
    <col min="7946" max="7946" width="18.7109375" style="9" customWidth="1"/>
    <col min="7947" max="8192" width="9.140625" style="9"/>
    <col min="8193" max="8193" width="5.7109375" style="9" bestFit="1" customWidth="1"/>
    <col min="8194" max="8194" width="38.28515625" style="9" bestFit="1" customWidth="1"/>
    <col min="8195" max="8195" width="13.42578125" style="9" customWidth="1"/>
    <col min="8196" max="8197" width="15.42578125" style="9" customWidth="1"/>
    <col min="8198" max="8198" width="8.85546875" style="9" bestFit="1" customWidth="1"/>
    <col min="8199" max="8199" width="9.28515625" style="9" bestFit="1" customWidth="1"/>
    <col min="8200" max="8200" width="7.42578125" style="9" bestFit="1" customWidth="1"/>
    <col min="8201" max="8201" width="9.5703125" style="9" customWidth="1"/>
    <col min="8202" max="8202" width="18.7109375" style="9" customWidth="1"/>
    <col min="8203" max="8448" width="9.140625" style="9"/>
    <col min="8449" max="8449" width="5.7109375" style="9" bestFit="1" customWidth="1"/>
    <col min="8450" max="8450" width="38.28515625" style="9" bestFit="1" customWidth="1"/>
    <col min="8451" max="8451" width="13.42578125" style="9" customWidth="1"/>
    <col min="8452" max="8453" width="15.42578125" style="9" customWidth="1"/>
    <col min="8454" max="8454" width="8.85546875" style="9" bestFit="1" customWidth="1"/>
    <col min="8455" max="8455" width="9.28515625" style="9" bestFit="1" customWidth="1"/>
    <col min="8456" max="8456" width="7.42578125" style="9" bestFit="1" customWidth="1"/>
    <col min="8457" max="8457" width="9.5703125" style="9" customWidth="1"/>
    <col min="8458" max="8458" width="18.7109375" style="9" customWidth="1"/>
    <col min="8459" max="8704" width="9.140625" style="9"/>
    <col min="8705" max="8705" width="5.7109375" style="9" bestFit="1" customWidth="1"/>
    <col min="8706" max="8706" width="38.28515625" style="9" bestFit="1" customWidth="1"/>
    <col min="8707" max="8707" width="13.42578125" style="9" customWidth="1"/>
    <col min="8708" max="8709" width="15.42578125" style="9" customWidth="1"/>
    <col min="8710" max="8710" width="8.85546875" style="9" bestFit="1" customWidth="1"/>
    <col min="8711" max="8711" width="9.28515625" style="9" bestFit="1" customWidth="1"/>
    <col min="8712" max="8712" width="7.42578125" style="9" bestFit="1" customWidth="1"/>
    <col min="8713" max="8713" width="9.5703125" style="9" customWidth="1"/>
    <col min="8714" max="8714" width="18.7109375" style="9" customWidth="1"/>
    <col min="8715" max="8960" width="9.140625" style="9"/>
    <col min="8961" max="8961" width="5.7109375" style="9" bestFit="1" customWidth="1"/>
    <col min="8962" max="8962" width="38.28515625" style="9" bestFit="1" customWidth="1"/>
    <col min="8963" max="8963" width="13.42578125" style="9" customWidth="1"/>
    <col min="8964" max="8965" width="15.42578125" style="9" customWidth="1"/>
    <col min="8966" max="8966" width="8.85546875" style="9" bestFit="1" customWidth="1"/>
    <col min="8967" max="8967" width="9.28515625" style="9" bestFit="1" customWidth="1"/>
    <col min="8968" max="8968" width="7.42578125" style="9" bestFit="1" customWidth="1"/>
    <col min="8969" max="8969" width="9.5703125" style="9" customWidth="1"/>
    <col min="8970" max="8970" width="18.7109375" style="9" customWidth="1"/>
    <col min="8971" max="9216" width="9.140625" style="9"/>
    <col min="9217" max="9217" width="5.7109375" style="9" bestFit="1" customWidth="1"/>
    <col min="9218" max="9218" width="38.28515625" style="9" bestFit="1" customWidth="1"/>
    <col min="9219" max="9219" width="13.42578125" style="9" customWidth="1"/>
    <col min="9220" max="9221" width="15.42578125" style="9" customWidth="1"/>
    <col min="9222" max="9222" width="8.85546875" style="9" bestFit="1" customWidth="1"/>
    <col min="9223" max="9223" width="9.28515625" style="9" bestFit="1" customWidth="1"/>
    <col min="9224" max="9224" width="7.42578125" style="9" bestFit="1" customWidth="1"/>
    <col min="9225" max="9225" width="9.5703125" style="9" customWidth="1"/>
    <col min="9226" max="9226" width="18.7109375" style="9" customWidth="1"/>
    <col min="9227" max="9472" width="9.140625" style="9"/>
    <col min="9473" max="9473" width="5.7109375" style="9" bestFit="1" customWidth="1"/>
    <col min="9474" max="9474" width="38.28515625" style="9" bestFit="1" customWidth="1"/>
    <col min="9475" max="9475" width="13.42578125" style="9" customWidth="1"/>
    <col min="9476" max="9477" width="15.42578125" style="9" customWidth="1"/>
    <col min="9478" max="9478" width="8.85546875" style="9" bestFit="1" customWidth="1"/>
    <col min="9479" max="9479" width="9.28515625" style="9" bestFit="1" customWidth="1"/>
    <col min="9480" max="9480" width="7.42578125" style="9" bestFit="1" customWidth="1"/>
    <col min="9481" max="9481" width="9.5703125" style="9" customWidth="1"/>
    <col min="9482" max="9482" width="18.7109375" style="9" customWidth="1"/>
    <col min="9483" max="9728" width="9.140625" style="9"/>
    <col min="9729" max="9729" width="5.7109375" style="9" bestFit="1" customWidth="1"/>
    <col min="9730" max="9730" width="38.28515625" style="9" bestFit="1" customWidth="1"/>
    <col min="9731" max="9731" width="13.42578125" style="9" customWidth="1"/>
    <col min="9732" max="9733" width="15.42578125" style="9" customWidth="1"/>
    <col min="9734" max="9734" width="8.85546875" style="9" bestFit="1" customWidth="1"/>
    <col min="9735" max="9735" width="9.28515625" style="9" bestFit="1" customWidth="1"/>
    <col min="9736" max="9736" width="7.42578125" style="9" bestFit="1" customWidth="1"/>
    <col min="9737" max="9737" width="9.5703125" style="9" customWidth="1"/>
    <col min="9738" max="9738" width="18.7109375" style="9" customWidth="1"/>
    <col min="9739" max="9984" width="9.140625" style="9"/>
    <col min="9985" max="9985" width="5.7109375" style="9" bestFit="1" customWidth="1"/>
    <col min="9986" max="9986" width="38.28515625" style="9" bestFit="1" customWidth="1"/>
    <col min="9987" max="9987" width="13.42578125" style="9" customWidth="1"/>
    <col min="9988" max="9989" width="15.42578125" style="9" customWidth="1"/>
    <col min="9990" max="9990" width="8.85546875" style="9" bestFit="1" customWidth="1"/>
    <col min="9991" max="9991" width="9.28515625" style="9" bestFit="1" customWidth="1"/>
    <col min="9992" max="9992" width="7.42578125" style="9" bestFit="1" customWidth="1"/>
    <col min="9993" max="9993" width="9.5703125" style="9" customWidth="1"/>
    <col min="9994" max="9994" width="18.7109375" style="9" customWidth="1"/>
    <col min="9995" max="10240" width="9.140625" style="9"/>
    <col min="10241" max="10241" width="5.7109375" style="9" bestFit="1" customWidth="1"/>
    <col min="10242" max="10242" width="38.28515625" style="9" bestFit="1" customWidth="1"/>
    <col min="10243" max="10243" width="13.42578125" style="9" customWidth="1"/>
    <col min="10244" max="10245" width="15.42578125" style="9" customWidth="1"/>
    <col min="10246" max="10246" width="8.85546875" style="9" bestFit="1" customWidth="1"/>
    <col min="10247" max="10247" width="9.28515625" style="9" bestFit="1" customWidth="1"/>
    <col min="10248" max="10248" width="7.42578125" style="9" bestFit="1" customWidth="1"/>
    <col min="10249" max="10249" width="9.5703125" style="9" customWidth="1"/>
    <col min="10250" max="10250" width="18.7109375" style="9" customWidth="1"/>
    <col min="10251" max="10496" width="9.140625" style="9"/>
    <col min="10497" max="10497" width="5.7109375" style="9" bestFit="1" customWidth="1"/>
    <col min="10498" max="10498" width="38.28515625" style="9" bestFit="1" customWidth="1"/>
    <col min="10499" max="10499" width="13.42578125" style="9" customWidth="1"/>
    <col min="10500" max="10501" width="15.42578125" style="9" customWidth="1"/>
    <col min="10502" max="10502" width="8.85546875" style="9" bestFit="1" customWidth="1"/>
    <col min="10503" max="10503" width="9.28515625" style="9" bestFit="1" customWidth="1"/>
    <col min="10504" max="10504" width="7.42578125" style="9" bestFit="1" customWidth="1"/>
    <col min="10505" max="10505" width="9.5703125" style="9" customWidth="1"/>
    <col min="10506" max="10506" width="18.7109375" style="9" customWidth="1"/>
    <col min="10507" max="10752" width="9.140625" style="9"/>
    <col min="10753" max="10753" width="5.7109375" style="9" bestFit="1" customWidth="1"/>
    <col min="10754" max="10754" width="38.28515625" style="9" bestFit="1" customWidth="1"/>
    <col min="10755" max="10755" width="13.42578125" style="9" customWidth="1"/>
    <col min="10756" max="10757" width="15.42578125" style="9" customWidth="1"/>
    <col min="10758" max="10758" width="8.85546875" style="9" bestFit="1" customWidth="1"/>
    <col min="10759" max="10759" width="9.28515625" style="9" bestFit="1" customWidth="1"/>
    <col min="10760" max="10760" width="7.42578125" style="9" bestFit="1" customWidth="1"/>
    <col min="10761" max="10761" width="9.5703125" style="9" customWidth="1"/>
    <col min="10762" max="10762" width="18.7109375" style="9" customWidth="1"/>
    <col min="10763" max="11008" width="9.140625" style="9"/>
    <col min="11009" max="11009" width="5.7109375" style="9" bestFit="1" customWidth="1"/>
    <col min="11010" max="11010" width="38.28515625" style="9" bestFit="1" customWidth="1"/>
    <col min="11011" max="11011" width="13.42578125" style="9" customWidth="1"/>
    <col min="11012" max="11013" width="15.42578125" style="9" customWidth="1"/>
    <col min="11014" max="11014" width="8.85546875" style="9" bestFit="1" customWidth="1"/>
    <col min="11015" max="11015" width="9.28515625" style="9" bestFit="1" customWidth="1"/>
    <col min="11016" max="11016" width="7.42578125" style="9" bestFit="1" customWidth="1"/>
    <col min="11017" max="11017" width="9.5703125" style="9" customWidth="1"/>
    <col min="11018" max="11018" width="18.7109375" style="9" customWidth="1"/>
    <col min="11019" max="11264" width="9.140625" style="9"/>
    <col min="11265" max="11265" width="5.7109375" style="9" bestFit="1" customWidth="1"/>
    <col min="11266" max="11266" width="38.28515625" style="9" bestFit="1" customWidth="1"/>
    <col min="11267" max="11267" width="13.42578125" style="9" customWidth="1"/>
    <col min="11268" max="11269" width="15.42578125" style="9" customWidth="1"/>
    <col min="11270" max="11270" width="8.85546875" style="9" bestFit="1" customWidth="1"/>
    <col min="11271" max="11271" width="9.28515625" style="9" bestFit="1" customWidth="1"/>
    <col min="11272" max="11272" width="7.42578125" style="9" bestFit="1" customWidth="1"/>
    <col min="11273" max="11273" width="9.5703125" style="9" customWidth="1"/>
    <col min="11274" max="11274" width="18.7109375" style="9" customWidth="1"/>
    <col min="11275" max="11520" width="9.140625" style="9"/>
    <col min="11521" max="11521" width="5.7109375" style="9" bestFit="1" customWidth="1"/>
    <col min="11522" max="11522" width="38.28515625" style="9" bestFit="1" customWidth="1"/>
    <col min="11523" max="11523" width="13.42578125" style="9" customWidth="1"/>
    <col min="11524" max="11525" width="15.42578125" style="9" customWidth="1"/>
    <col min="11526" max="11526" width="8.85546875" style="9" bestFit="1" customWidth="1"/>
    <col min="11527" max="11527" width="9.28515625" style="9" bestFit="1" customWidth="1"/>
    <col min="11528" max="11528" width="7.42578125" style="9" bestFit="1" customWidth="1"/>
    <col min="11529" max="11529" width="9.5703125" style="9" customWidth="1"/>
    <col min="11530" max="11530" width="18.7109375" style="9" customWidth="1"/>
    <col min="11531" max="11776" width="9.140625" style="9"/>
    <col min="11777" max="11777" width="5.7109375" style="9" bestFit="1" customWidth="1"/>
    <col min="11778" max="11778" width="38.28515625" style="9" bestFit="1" customWidth="1"/>
    <col min="11779" max="11779" width="13.42578125" style="9" customWidth="1"/>
    <col min="11780" max="11781" width="15.42578125" style="9" customWidth="1"/>
    <col min="11782" max="11782" width="8.85546875" style="9" bestFit="1" customWidth="1"/>
    <col min="11783" max="11783" width="9.28515625" style="9" bestFit="1" customWidth="1"/>
    <col min="11784" max="11784" width="7.42578125" style="9" bestFit="1" customWidth="1"/>
    <col min="11785" max="11785" width="9.5703125" style="9" customWidth="1"/>
    <col min="11786" max="11786" width="18.7109375" style="9" customWidth="1"/>
    <col min="11787" max="12032" width="9.140625" style="9"/>
    <col min="12033" max="12033" width="5.7109375" style="9" bestFit="1" customWidth="1"/>
    <col min="12034" max="12034" width="38.28515625" style="9" bestFit="1" customWidth="1"/>
    <col min="12035" max="12035" width="13.42578125" style="9" customWidth="1"/>
    <col min="12036" max="12037" width="15.42578125" style="9" customWidth="1"/>
    <col min="12038" max="12038" width="8.85546875" style="9" bestFit="1" customWidth="1"/>
    <col min="12039" max="12039" width="9.28515625" style="9" bestFit="1" customWidth="1"/>
    <col min="12040" max="12040" width="7.42578125" style="9" bestFit="1" customWidth="1"/>
    <col min="12041" max="12041" width="9.5703125" style="9" customWidth="1"/>
    <col min="12042" max="12042" width="18.7109375" style="9" customWidth="1"/>
    <col min="12043" max="12288" width="9.140625" style="9"/>
    <col min="12289" max="12289" width="5.7109375" style="9" bestFit="1" customWidth="1"/>
    <col min="12290" max="12290" width="38.28515625" style="9" bestFit="1" customWidth="1"/>
    <col min="12291" max="12291" width="13.42578125" style="9" customWidth="1"/>
    <col min="12292" max="12293" width="15.42578125" style="9" customWidth="1"/>
    <col min="12294" max="12294" width="8.85546875" style="9" bestFit="1" customWidth="1"/>
    <col min="12295" max="12295" width="9.28515625" style="9" bestFit="1" customWidth="1"/>
    <col min="12296" max="12296" width="7.42578125" style="9" bestFit="1" customWidth="1"/>
    <col min="12297" max="12297" width="9.5703125" style="9" customWidth="1"/>
    <col min="12298" max="12298" width="18.7109375" style="9" customWidth="1"/>
    <col min="12299" max="12544" width="9.140625" style="9"/>
    <col min="12545" max="12545" width="5.7109375" style="9" bestFit="1" customWidth="1"/>
    <col min="12546" max="12546" width="38.28515625" style="9" bestFit="1" customWidth="1"/>
    <col min="12547" max="12547" width="13.42578125" style="9" customWidth="1"/>
    <col min="12548" max="12549" width="15.42578125" style="9" customWidth="1"/>
    <col min="12550" max="12550" width="8.85546875" style="9" bestFit="1" customWidth="1"/>
    <col min="12551" max="12551" width="9.28515625" style="9" bestFit="1" customWidth="1"/>
    <col min="12552" max="12552" width="7.42578125" style="9" bestFit="1" customWidth="1"/>
    <col min="12553" max="12553" width="9.5703125" style="9" customWidth="1"/>
    <col min="12554" max="12554" width="18.7109375" style="9" customWidth="1"/>
    <col min="12555" max="12800" width="9.140625" style="9"/>
    <col min="12801" max="12801" width="5.7109375" style="9" bestFit="1" customWidth="1"/>
    <col min="12802" max="12802" width="38.28515625" style="9" bestFit="1" customWidth="1"/>
    <col min="12803" max="12803" width="13.42578125" style="9" customWidth="1"/>
    <col min="12804" max="12805" width="15.42578125" style="9" customWidth="1"/>
    <col min="12806" max="12806" width="8.85546875" style="9" bestFit="1" customWidth="1"/>
    <col min="12807" max="12807" width="9.28515625" style="9" bestFit="1" customWidth="1"/>
    <col min="12808" max="12808" width="7.42578125" style="9" bestFit="1" customWidth="1"/>
    <col min="12809" max="12809" width="9.5703125" style="9" customWidth="1"/>
    <col min="12810" max="12810" width="18.7109375" style="9" customWidth="1"/>
    <col min="12811" max="13056" width="9.140625" style="9"/>
    <col min="13057" max="13057" width="5.7109375" style="9" bestFit="1" customWidth="1"/>
    <col min="13058" max="13058" width="38.28515625" style="9" bestFit="1" customWidth="1"/>
    <col min="13059" max="13059" width="13.42578125" style="9" customWidth="1"/>
    <col min="13060" max="13061" width="15.42578125" style="9" customWidth="1"/>
    <col min="13062" max="13062" width="8.85546875" style="9" bestFit="1" customWidth="1"/>
    <col min="13063" max="13063" width="9.28515625" style="9" bestFit="1" customWidth="1"/>
    <col min="13064" max="13064" width="7.42578125" style="9" bestFit="1" customWidth="1"/>
    <col min="13065" max="13065" width="9.5703125" style="9" customWidth="1"/>
    <col min="13066" max="13066" width="18.7109375" style="9" customWidth="1"/>
    <col min="13067" max="13312" width="9.140625" style="9"/>
    <col min="13313" max="13313" width="5.7109375" style="9" bestFit="1" customWidth="1"/>
    <col min="13314" max="13314" width="38.28515625" style="9" bestFit="1" customWidth="1"/>
    <col min="13315" max="13315" width="13.42578125" style="9" customWidth="1"/>
    <col min="13316" max="13317" width="15.42578125" style="9" customWidth="1"/>
    <col min="13318" max="13318" width="8.85546875" style="9" bestFit="1" customWidth="1"/>
    <col min="13319" max="13319" width="9.28515625" style="9" bestFit="1" customWidth="1"/>
    <col min="13320" max="13320" width="7.42578125" style="9" bestFit="1" customWidth="1"/>
    <col min="13321" max="13321" width="9.5703125" style="9" customWidth="1"/>
    <col min="13322" max="13322" width="18.7109375" style="9" customWidth="1"/>
    <col min="13323" max="13568" width="9.140625" style="9"/>
    <col min="13569" max="13569" width="5.7109375" style="9" bestFit="1" customWidth="1"/>
    <col min="13570" max="13570" width="38.28515625" style="9" bestFit="1" customWidth="1"/>
    <col min="13571" max="13571" width="13.42578125" style="9" customWidth="1"/>
    <col min="13572" max="13573" width="15.42578125" style="9" customWidth="1"/>
    <col min="13574" max="13574" width="8.85546875" style="9" bestFit="1" customWidth="1"/>
    <col min="13575" max="13575" width="9.28515625" style="9" bestFit="1" customWidth="1"/>
    <col min="13576" max="13576" width="7.42578125" style="9" bestFit="1" customWidth="1"/>
    <col min="13577" max="13577" width="9.5703125" style="9" customWidth="1"/>
    <col min="13578" max="13578" width="18.7109375" style="9" customWidth="1"/>
    <col min="13579" max="13824" width="9.140625" style="9"/>
    <col min="13825" max="13825" width="5.7109375" style="9" bestFit="1" customWidth="1"/>
    <col min="13826" max="13826" width="38.28515625" style="9" bestFit="1" customWidth="1"/>
    <col min="13827" max="13827" width="13.42578125" style="9" customWidth="1"/>
    <col min="13828" max="13829" width="15.42578125" style="9" customWidth="1"/>
    <col min="13830" max="13830" width="8.85546875" style="9" bestFit="1" customWidth="1"/>
    <col min="13831" max="13831" width="9.28515625" style="9" bestFit="1" customWidth="1"/>
    <col min="13832" max="13832" width="7.42578125" style="9" bestFit="1" customWidth="1"/>
    <col min="13833" max="13833" width="9.5703125" style="9" customWidth="1"/>
    <col min="13834" max="13834" width="18.7109375" style="9" customWidth="1"/>
    <col min="13835" max="14080" width="9.140625" style="9"/>
    <col min="14081" max="14081" width="5.7109375" style="9" bestFit="1" customWidth="1"/>
    <col min="14082" max="14082" width="38.28515625" style="9" bestFit="1" customWidth="1"/>
    <col min="14083" max="14083" width="13.42578125" style="9" customWidth="1"/>
    <col min="14084" max="14085" width="15.42578125" style="9" customWidth="1"/>
    <col min="14086" max="14086" width="8.85546875" style="9" bestFit="1" customWidth="1"/>
    <col min="14087" max="14087" width="9.28515625" style="9" bestFit="1" customWidth="1"/>
    <col min="14088" max="14088" width="7.42578125" style="9" bestFit="1" customWidth="1"/>
    <col min="14089" max="14089" width="9.5703125" style="9" customWidth="1"/>
    <col min="14090" max="14090" width="18.7109375" style="9" customWidth="1"/>
    <col min="14091" max="14336" width="9.140625" style="9"/>
    <col min="14337" max="14337" width="5.7109375" style="9" bestFit="1" customWidth="1"/>
    <col min="14338" max="14338" width="38.28515625" style="9" bestFit="1" customWidth="1"/>
    <col min="14339" max="14339" width="13.42578125" style="9" customWidth="1"/>
    <col min="14340" max="14341" width="15.42578125" style="9" customWidth="1"/>
    <col min="14342" max="14342" width="8.85546875" style="9" bestFit="1" customWidth="1"/>
    <col min="14343" max="14343" width="9.28515625" style="9" bestFit="1" customWidth="1"/>
    <col min="14344" max="14344" width="7.42578125" style="9" bestFit="1" customWidth="1"/>
    <col min="14345" max="14345" width="9.5703125" style="9" customWidth="1"/>
    <col min="14346" max="14346" width="18.7109375" style="9" customWidth="1"/>
    <col min="14347" max="14592" width="9.140625" style="9"/>
    <col min="14593" max="14593" width="5.7109375" style="9" bestFit="1" customWidth="1"/>
    <col min="14594" max="14594" width="38.28515625" style="9" bestFit="1" customWidth="1"/>
    <col min="14595" max="14595" width="13.42578125" style="9" customWidth="1"/>
    <col min="14596" max="14597" width="15.42578125" style="9" customWidth="1"/>
    <col min="14598" max="14598" width="8.85546875" style="9" bestFit="1" customWidth="1"/>
    <col min="14599" max="14599" width="9.28515625" style="9" bestFit="1" customWidth="1"/>
    <col min="14600" max="14600" width="7.42578125" style="9" bestFit="1" customWidth="1"/>
    <col min="14601" max="14601" width="9.5703125" style="9" customWidth="1"/>
    <col min="14602" max="14602" width="18.7109375" style="9" customWidth="1"/>
    <col min="14603" max="14848" width="9.140625" style="9"/>
    <col min="14849" max="14849" width="5.7109375" style="9" bestFit="1" customWidth="1"/>
    <col min="14850" max="14850" width="38.28515625" style="9" bestFit="1" customWidth="1"/>
    <col min="14851" max="14851" width="13.42578125" style="9" customWidth="1"/>
    <col min="14852" max="14853" width="15.42578125" style="9" customWidth="1"/>
    <col min="14854" max="14854" width="8.85546875" style="9" bestFit="1" customWidth="1"/>
    <col min="14855" max="14855" width="9.28515625" style="9" bestFit="1" customWidth="1"/>
    <col min="14856" max="14856" width="7.42578125" style="9" bestFit="1" customWidth="1"/>
    <col min="14857" max="14857" width="9.5703125" style="9" customWidth="1"/>
    <col min="14858" max="14858" width="18.7109375" style="9" customWidth="1"/>
    <col min="14859" max="15104" width="9.140625" style="9"/>
    <col min="15105" max="15105" width="5.7109375" style="9" bestFit="1" customWidth="1"/>
    <col min="15106" max="15106" width="38.28515625" style="9" bestFit="1" customWidth="1"/>
    <col min="15107" max="15107" width="13.42578125" style="9" customWidth="1"/>
    <col min="15108" max="15109" width="15.42578125" style="9" customWidth="1"/>
    <col min="15110" max="15110" width="8.85546875" style="9" bestFit="1" customWidth="1"/>
    <col min="15111" max="15111" width="9.28515625" style="9" bestFit="1" customWidth="1"/>
    <col min="15112" max="15112" width="7.42578125" style="9" bestFit="1" customWidth="1"/>
    <col min="15113" max="15113" width="9.5703125" style="9" customWidth="1"/>
    <col min="15114" max="15114" width="18.7109375" style="9" customWidth="1"/>
    <col min="15115" max="15360" width="9.140625" style="9"/>
    <col min="15361" max="15361" width="5.7109375" style="9" bestFit="1" customWidth="1"/>
    <col min="15362" max="15362" width="38.28515625" style="9" bestFit="1" customWidth="1"/>
    <col min="15363" max="15363" width="13.42578125" style="9" customWidth="1"/>
    <col min="15364" max="15365" width="15.42578125" style="9" customWidth="1"/>
    <col min="15366" max="15366" width="8.85546875" style="9" bestFit="1" customWidth="1"/>
    <col min="15367" max="15367" width="9.28515625" style="9" bestFit="1" customWidth="1"/>
    <col min="15368" max="15368" width="7.42578125" style="9" bestFit="1" customWidth="1"/>
    <col min="15369" max="15369" width="9.5703125" style="9" customWidth="1"/>
    <col min="15370" max="15370" width="18.7109375" style="9" customWidth="1"/>
    <col min="15371" max="15616" width="9.140625" style="9"/>
    <col min="15617" max="15617" width="5.7109375" style="9" bestFit="1" customWidth="1"/>
    <col min="15618" max="15618" width="38.28515625" style="9" bestFit="1" customWidth="1"/>
    <col min="15619" max="15619" width="13.42578125" style="9" customWidth="1"/>
    <col min="15620" max="15621" width="15.42578125" style="9" customWidth="1"/>
    <col min="15622" max="15622" width="8.85546875" style="9" bestFit="1" customWidth="1"/>
    <col min="15623" max="15623" width="9.28515625" style="9" bestFit="1" customWidth="1"/>
    <col min="15624" max="15624" width="7.42578125" style="9" bestFit="1" customWidth="1"/>
    <col min="15625" max="15625" width="9.5703125" style="9" customWidth="1"/>
    <col min="15626" max="15626" width="18.7109375" style="9" customWidth="1"/>
    <col min="15627" max="15872" width="9.140625" style="9"/>
    <col min="15873" max="15873" width="5.7109375" style="9" bestFit="1" customWidth="1"/>
    <col min="15874" max="15874" width="38.28515625" style="9" bestFit="1" customWidth="1"/>
    <col min="15875" max="15875" width="13.42578125" style="9" customWidth="1"/>
    <col min="15876" max="15877" width="15.42578125" style="9" customWidth="1"/>
    <col min="15878" max="15878" width="8.85546875" style="9" bestFit="1" customWidth="1"/>
    <col min="15879" max="15879" width="9.28515625" style="9" bestFit="1" customWidth="1"/>
    <col min="15880" max="15880" width="7.42578125" style="9" bestFit="1" customWidth="1"/>
    <col min="15881" max="15881" width="9.5703125" style="9" customWidth="1"/>
    <col min="15882" max="15882" width="18.7109375" style="9" customWidth="1"/>
    <col min="15883" max="16128" width="9.140625" style="9"/>
    <col min="16129" max="16129" width="5.7109375" style="9" bestFit="1" customWidth="1"/>
    <col min="16130" max="16130" width="38.28515625" style="9" bestFit="1" customWidth="1"/>
    <col min="16131" max="16131" width="13.42578125" style="9" customWidth="1"/>
    <col min="16132" max="16133" width="15.42578125" style="9" customWidth="1"/>
    <col min="16134" max="16134" width="8.85546875" style="9" bestFit="1" customWidth="1"/>
    <col min="16135" max="16135" width="9.28515625" style="9" bestFit="1" customWidth="1"/>
    <col min="16136" max="16136" width="7.42578125" style="9" bestFit="1" customWidth="1"/>
    <col min="16137" max="16137" width="9.5703125" style="9" customWidth="1"/>
    <col min="16138" max="16138" width="18.7109375" style="9" customWidth="1"/>
    <col min="16139" max="16384" width="9.140625" style="9"/>
  </cols>
  <sheetData>
    <row r="1" spans="1:10">
      <c r="C1" s="9"/>
      <c r="D1" s="9"/>
      <c r="E1" s="9"/>
      <c r="J1" s="121" t="s">
        <v>1288</v>
      </c>
    </row>
    <row r="3" spans="1:10" s="115" customFormat="1">
      <c r="A3" s="116"/>
      <c r="B3" s="116"/>
      <c r="C3" s="114"/>
      <c r="D3" s="114"/>
      <c r="E3" s="114"/>
      <c r="F3" s="116"/>
      <c r="G3" s="116"/>
      <c r="H3" s="116"/>
      <c r="I3" s="116"/>
      <c r="J3" s="116"/>
    </row>
    <row r="4" spans="1:10" s="115" customFormat="1">
      <c r="A4" s="116"/>
      <c r="B4" s="116" t="s">
        <v>1599</v>
      </c>
      <c r="C4" s="114"/>
      <c r="D4" s="114"/>
      <c r="E4" s="114"/>
      <c r="F4" s="116"/>
      <c r="G4" s="116"/>
      <c r="H4" s="116"/>
      <c r="I4" s="116"/>
      <c r="J4" s="116"/>
    </row>
    <row r="5" spans="1:10" s="115" customFormat="1">
      <c r="A5" s="116"/>
      <c r="B5" s="116" t="s">
        <v>1318</v>
      </c>
      <c r="C5" s="114"/>
      <c r="D5" s="114"/>
      <c r="E5" s="114"/>
      <c r="F5" s="116"/>
      <c r="G5" s="116"/>
      <c r="H5" s="116"/>
      <c r="I5" s="116"/>
      <c r="J5" s="116"/>
    </row>
    <row r="6" spans="1:10">
      <c r="A6" s="117"/>
      <c r="B6" s="116"/>
      <c r="C6" s="118"/>
      <c r="D6" s="118"/>
      <c r="E6" s="118"/>
      <c r="F6" s="117"/>
      <c r="G6" s="117"/>
      <c r="H6" s="117"/>
      <c r="I6" s="117"/>
      <c r="J6" s="117"/>
    </row>
    <row r="7" spans="1:10" s="480" customFormat="1">
      <c r="A7" s="753" t="s">
        <v>260</v>
      </c>
      <c r="B7" s="753" t="s">
        <v>261</v>
      </c>
      <c r="C7" s="756" t="s">
        <v>262</v>
      </c>
      <c r="D7" s="756"/>
      <c r="E7" s="479"/>
      <c r="F7" s="757" t="s">
        <v>1467</v>
      </c>
      <c r="G7" s="758"/>
      <c r="H7" s="758"/>
      <c r="I7" s="758"/>
      <c r="J7" s="759"/>
    </row>
    <row r="8" spans="1:10" s="480" customFormat="1" ht="15.75" customHeight="1">
      <c r="A8" s="754"/>
      <c r="B8" s="754"/>
      <c r="C8" s="753" t="s">
        <v>1241</v>
      </c>
      <c r="D8" s="753" t="s">
        <v>1468</v>
      </c>
      <c r="E8" s="753" t="s">
        <v>1469</v>
      </c>
      <c r="F8" s="760" t="s">
        <v>263</v>
      </c>
      <c r="G8" s="760"/>
      <c r="H8" s="760"/>
      <c r="I8" s="760"/>
      <c r="J8" s="760" t="s">
        <v>264</v>
      </c>
    </row>
    <row r="9" spans="1:10" s="480" customFormat="1">
      <c r="A9" s="754"/>
      <c r="B9" s="754"/>
      <c r="C9" s="754"/>
      <c r="D9" s="754"/>
      <c r="E9" s="754"/>
      <c r="F9" s="753" t="s">
        <v>265</v>
      </c>
      <c r="G9" s="752" t="s">
        <v>266</v>
      </c>
      <c r="H9" s="752"/>
      <c r="I9" s="752"/>
      <c r="J9" s="760"/>
    </row>
    <row r="10" spans="1:10" s="480" customFormat="1" ht="47.25">
      <c r="A10" s="755"/>
      <c r="B10" s="755"/>
      <c r="C10" s="755"/>
      <c r="D10" s="755"/>
      <c r="E10" s="755"/>
      <c r="F10" s="755"/>
      <c r="G10" s="481" t="s">
        <v>267</v>
      </c>
      <c r="H10" s="482" t="s">
        <v>268</v>
      </c>
      <c r="I10" s="481" t="s">
        <v>269</v>
      </c>
      <c r="J10" s="760"/>
    </row>
    <row r="11" spans="1:10" s="480" customFormat="1">
      <c r="A11" s="483" t="s">
        <v>49</v>
      </c>
      <c r="B11" s="483" t="s">
        <v>270</v>
      </c>
      <c r="C11" s="484">
        <f>SUM(C12:C13)</f>
        <v>0</v>
      </c>
      <c r="D11" s="484">
        <f t="shared" ref="D11:E11" si="0">SUM(D12:D13)</f>
        <v>0</v>
      </c>
      <c r="E11" s="484">
        <f t="shared" si="0"/>
        <v>0</v>
      </c>
      <c r="F11" s="485">
        <f>SUM(G11+H11+I11)</f>
        <v>0</v>
      </c>
      <c r="G11" s="485"/>
      <c r="H11" s="485"/>
      <c r="I11" s="484">
        <f>SUM(I12:I13)</f>
        <v>0</v>
      </c>
      <c r="J11" s="484">
        <f>SUM(J12:J13)</f>
        <v>0</v>
      </c>
    </row>
    <row r="12" spans="1:10" s="490" customFormat="1">
      <c r="A12" s="486" t="s">
        <v>272</v>
      </c>
      <c r="B12" s="487" t="s">
        <v>273</v>
      </c>
      <c r="C12" s="488"/>
      <c r="D12" s="488"/>
      <c r="E12" s="488">
        <f t="shared" ref="E12:E13" si="1">C12+D12-G12</f>
        <v>0</v>
      </c>
      <c r="F12" s="489">
        <f t="shared" ref="F12:F13" si="2">SUM(G12+H12+I12)</f>
        <v>0</v>
      </c>
      <c r="G12" s="489"/>
      <c r="H12" s="489"/>
      <c r="I12" s="489">
        <v>0</v>
      </c>
      <c r="J12" s="489">
        <f>SUM(G12:I12)</f>
        <v>0</v>
      </c>
    </row>
    <row r="13" spans="1:10" s="490" customFormat="1">
      <c r="A13" s="486" t="s">
        <v>274</v>
      </c>
      <c r="B13" s="487" t="s">
        <v>275</v>
      </c>
      <c r="C13" s="488"/>
      <c r="D13" s="488"/>
      <c r="E13" s="488">
        <f t="shared" si="1"/>
        <v>0</v>
      </c>
      <c r="F13" s="489">
        <f t="shared" si="2"/>
        <v>0</v>
      </c>
      <c r="G13" s="489"/>
      <c r="H13" s="489"/>
      <c r="I13" s="489"/>
      <c r="J13" s="489">
        <f>SUM(G13:I13)</f>
        <v>0</v>
      </c>
    </row>
    <row r="14" spans="1:10" s="480" customFormat="1" ht="19.5" customHeight="1">
      <c r="A14" s="483" t="s">
        <v>51</v>
      </c>
      <c r="B14" s="491" t="s">
        <v>276</v>
      </c>
      <c r="C14" s="484">
        <f>SUM(C15+C22)</f>
        <v>1652680</v>
      </c>
      <c r="D14" s="484">
        <f t="shared" ref="D14:J14" si="3">SUM(D15+D22)</f>
        <v>5785894</v>
      </c>
      <c r="E14" s="484">
        <f t="shared" si="3"/>
        <v>4426819</v>
      </c>
      <c r="F14" s="484">
        <f t="shared" si="3"/>
        <v>3041475</v>
      </c>
      <c r="G14" s="484">
        <f t="shared" si="3"/>
        <v>3011755</v>
      </c>
      <c r="H14" s="484">
        <f t="shared" si="3"/>
        <v>28100</v>
      </c>
      <c r="I14" s="484">
        <f t="shared" si="3"/>
        <v>1620</v>
      </c>
      <c r="J14" s="484">
        <f t="shared" si="3"/>
        <v>3041475</v>
      </c>
    </row>
    <row r="15" spans="1:10" s="480" customFormat="1" ht="21" customHeight="1">
      <c r="A15" s="492" t="s">
        <v>277</v>
      </c>
      <c r="B15" s="491" t="s">
        <v>278</v>
      </c>
      <c r="C15" s="484">
        <f>SUM(C16:C21)</f>
        <v>1353843</v>
      </c>
      <c r="D15" s="484">
        <f t="shared" ref="D15:J15" si="4">SUM(D16:D21)</f>
        <v>4646157</v>
      </c>
      <c r="E15" s="484">
        <f t="shared" si="4"/>
        <v>3000000</v>
      </c>
      <c r="F15" s="484">
        <f t="shared" si="4"/>
        <v>3014000</v>
      </c>
      <c r="G15" s="484">
        <f t="shared" si="4"/>
        <v>3000000</v>
      </c>
      <c r="H15" s="484">
        <f t="shared" si="4"/>
        <v>14000</v>
      </c>
      <c r="I15" s="484">
        <f t="shared" si="4"/>
        <v>0</v>
      </c>
      <c r="J15" s="484">
        <f t="shared" si="4"/>
        <v>3014000</v>
      </c>
    </row>
    <row r="16" spans="1:10" s="490" customFormat="1" ht="18.75" customHeight="1">
      <c r="A16" s="486" t="s">
        <v>279</v>
      </c>
      <c r="B16" s="493" t="s">
        <v>280</v>
      </c>
      <c r="C16" s="488">
        <v>1353843</v>
      </c>
      <c r="D16" s="488">
        <f>1646157+2000000+1000000</f>
        <v>4646157</v>
      </c>
      <c r="E16" s="488">
        <f>C16+D16-G16</f>
        <v>3000000</v>
      </c>
      <c r="F16" s="489">
        <f>SUM(G16+H16+I16)</f>
        <v>3014000</v>
      </c>
      <c r="G16" s="488">
        <v>3000000</v>
      </c>
      <c r="H16" s="489">
        <f>10000+4000</f>
        <v>14000</v>
      </c>
      <c r="I16" s="489">
        <v>0</v>
      </c>
      <c r="J16" s="489">
        <f>SUM(G16:I16)</f>
        <v>3014000</v>
      </c>
    </row>
    <row r="17" spans="1:10" s="490" customFormat="1" ht="31.5">
      <c r="A17" s="487" t="s">
        <v>281</v>
      </c>
      <c r="B17" s="493" t="s">
        <v>282</v>
      </c>
      <c r="C17" s="488"/>
      <c r="D17" s="488"/>
      <c r="E17" s="488">
        <f t="shared" ref="E17:E20" si="5">C17+D17-G17</f>
        <v>0</v>
      </c>
      <c r="F17" s="489">
        <f t="shared" ref="F17:F19" si="6">SUM(G17+H17+I17)</f>
        <v>0</v>
      </c>
      <c r="G17" s="489"/>
      <c r="H17" s="489"/>
      <c r="I17" s="489">
        <v>0</v>
      </c>
      <c r="J17" s="489">
        <f t="shared" ref="J17:J21" si="7">SUM(G17:I17)</f>
        <v>0</v>
      </c>
    </row>
    <row r="18" spans="1:10" s="490" customFormat="1" ht="20.25" customHeight="1">
      <c r="A18" s="487" t="s">
        <v>283</v>
      </c>
      <c r="B18" s="493" t="s">
        <v>284</v>
      </c>
      <c r="C18" s="488"/>
      <c r="D18" s="488"/>
      <c r="E18" s="488">
        <f t="shared" si="5"/>
        <v>0</v>
      </c>
      <c r="F18" s="489">
        <f t="shared" si="6"/>
        <v>0</v>
      </c>
      <c r="G18" s="489"/>
      <c r="H18" s="489"/>
      <c r="I18" s="489">
        <v>0</v>
      </c>
      <c r="J18" s="489">
        <f t="shared" si="7"/>
        <v>0</v>
      </c>
    </row>
    <row r="19" spans="1:10" s="490" customFormat="1" ht="31.5">
      <c r="A19" s="487" t="s">
        <v>285</v>
      </c>
      <c r="B19" s="493" t="s">
        <v>286</v>
      </c>
      <c r="C19" s="488"/>
      <c r="D19" s="488"/>
      <c r="E19" s="488">
        <f t="shared" si="5"/>
        <v>0</v>
      </c>
      <c r="F19" s="489">
        <f t="shared" si="6"/>
        <v>0</v>
      </c>
      <c r="G19" s="489"/>
      <c r="H19" s="489"/>
      <c r="I19" s="489">
        <v>0</v>
      </c>
      <c r="J19" s="489">
        <f t="shared" si="7"/>
        <v>0</v>
      </c>
    </row>
    <row r="20" spans="1:10" s="490" customFormat="1" ht="19.5" customHeight="1">
      <c r="A20" s="487" t="s">
        <v>287</v>
      </c>
      <c r="B20" s="493" t="s">
        <v>288</v>
      </c>
      <c r="C20" s="488"/>
      <c r="D20" s="488"/>
      <c r="E20" s="488">
        <f t="shared" si="5"/>
        <v>0</v>
      </c>
      <c r="F20" s="489">
        <f>SUM(G20+I20)</f>
        <v>0</v>
      </c>
      <c r="G20" s="489"/>
      <c r="H20" s="489"/>
      <c r="I20" s="489">
        <v>0</v>
      </c>
      <c r="J20" s="489">
        <f t="shared" si="7"/>
        <v>0</v>
      </c>
    </row>
    <row r="21" spans="1:10" s="490" customFormat="1" ht="18.75" customHeight="1">
      <c r="A21" s="487" t="s">
        <v>289</v>
      </c>
      <c r="B21" s="493" t="s">
        <v>290</v>
      </c>
      <c r="C21" s="488"/>
      <c r="D21" s="488"/>
      <c r="E21" s="488">
        <f>C21+D21-G21</f>
        <v>0</v>
      </c>
      <c r="F21" s="489">
        <f>SUM(G21+H21+I21)</f>
        <v>0</v>
      </c>
      <c r="G21" s="494"/>
      <c r="H21" s="495"/>
      <c r="I21" s="489">
        <v>0</v>
      </c>
      <c r="J21" s="489">
        <f t="shared" si="7"/>
        <v>0</v>
      </c>
    </row>
    <row r="22" spans="1:10" s="480" customFormat="1">
      <c r="A22" s="483" t="s">
        <v>291</v>
      </c>
      <c r="B22" s="491" t="s">
        <v>292</v>
      </c>
      <c r="C22" s="484">
        <f>SUM(C23:C27)</f>
        <v>298837</v>
      </c>
      <c r="D22" s="484">
        <f t="shared" ref="D22:J22" si="8">SUM(D23:D27)</f>
        <v>1139737</v>
      </c>
      <c r="E22" s="484">
        <f t="shared" si="8"/>
        <v>1426819</v>
      </c>
      <c r="F22" s="484">
        <f t="shared" si="8"/>
        <v>27475</v>
      </c>
      <c r="G22" s="484">
        <f t="shared" si="8"/>
        <v>11755</v>
      </c>
      <c r="H22" s="484">
        <f t="shared" si="8"/>
        <v>14100</v>
      </c>
      <c r="I22" s="484">
        <f t="shared" si="8"/>
        <v>1620</v>
      </c>
      <c r="J22" s="484">
        <f t="shared" si="8"/>
        <v>27475</v>
      </c>
    </row>
    <row r="23" spans="1:10" s="490" customFormat="1" ht="31.5">
      <c r="A23" s="487" t="s">
        <v>293</v>
      </c>
      <c r="B23" s="493" t="s">
        <v>1243</v>
      </c>
      <c r="C23" s="488">
        <v>298837</v>
      </c>
      <c r="D23" s="488">
        <f>554984+584753</f>
        <v>1139737</v>
      </c>
      <c r="E23" s="488">
        <f t="shared" ref="E23:E28" si="9">C23+D23-G23</f>
        <v>1426819</v>
      </c>
      <c r="F23" s="489">
        <f>SUM(G23+H23+I23)</f>
        <v>27475</v>
      </c>
      <c r="G23" s="488">
        <f>7255+4500</f>
        <v>11755</v>
      </c>
      <c r="H23" s="489">
        <f>7000+7100</f>
        <v>14100</v>
      </c>
      <c r="I23" s="489">
        <f>520+1100</f>
        <v>1620</v>
      </c>
      <c r="J23" s="489">
        <f>SUM(G23:I23)</f>
        <v>27475</v>
      </c>
    </row>
    <row r="24" spans="1:10" s="490" customFormat="1" ht="31.5">
      <c r="A24" s="487" t="s">
        <v>294</v>
      </c>
      <c r="B24" s="493" t="s">
        <v>295</v>
      </c>
      <c r="C24" s="488"/>
      <c r="D24" s="488"/>
      <c r="E24" s="488">
        <f t="shared" si="9"/>
        <v>0</v>
      </c>
      <c r="F24" s="489">
        <f>SUM(G24+H24+I24)</f>
        <v>0</v>
      </c>
      <c r="G24" s="489"/>
      <c r="H24" s="489"/>
      <c r="I24" s="489"/>
      <c r="J24" s="489">
        <f t="shared" ref="J24:J26" si="10">SUM(G24:I24)</f>
        <v>0</v>
      </c>
    </row>
    <row r="25" spans="1:10" s="490" customFormat="1" ht="18.75" customHeight="1">
      <c r="A25" s="487" t="s">
        <v>296</v>
      </c>
      <c r="B25" s="493" t="s">
        <v>284</v>
      </c>
      <c r="C25" s="488"/>
      <c r="D25" s="488"/>
      <c r="E25" s="488">
        <f t="shared" si="9"/>
        <v>0</v>
      </c>
      <c r="F25" s="489">
        <f>SUM(G25+H25+I25)</f>
        <v>0</v>
      </c>
      <c r="G25" s="489"/>
      <c r="H25" s="489"/>
      <c r="I25" s="489"/>
      <c r="J25" s="489">
        <f t="shared" si="10"/>
        <v>0</v>
      </c>
    </row>
    <row r="26" spans="1:10" s="490" customFormat="1" ht="17.25" customHeight="1">
      <c r="A26" s="487" t="s">
        <v>297</v>
      </c>
      <c r="B26" s="493" t="s">
        <v>288</v>
      </c>
      <c r="C26" s="488"/>
      <c r="D26" s="488"/>
      <c r="E26" s="488">
        <f t="shared" si="9"/>
        <v>0</v>
      </c>
      <c r="F26" s="489">
        <f>SUM(G26+I26)</f>
        <v>0</v>
      </c>
      <c r="G26" s="489"/>
      <c r="H26" s="489" t="s">
        <v>271</v>
      </c>
      <c r="I26" s="489"/>
      <c r="J26" s="489">
        <f t="shared" si="10"/>
        <v>0</v>
      </c>
    </row>
    <row r="27" spans="1:10" s="490" customFormat="1" ht="18" customHeight="1">
      <c r="A27" s="487" t="s">
        <v>298</v>
      </c>
      <c r="B27" s="493" t="s">
        <v>1242</v>
      </c>
      <c r="C27" s="488"/>
      <c r="D27" s="488"/>
      <c r="E27" s="488">
        <f t="shared" si="9"/>
        <v>0</v>
      </c>
      <c r="F27" s="489">
        <f>SUM(G27+H27+I27)</f>
        <v>0</v>
      </c>
      <c r="G27" s="489"/>
      <c r="H27" s="489"/>
      <c r="I27" s="489">
        <v>0</v>
      </c>
      <c r="J27" s="489">
        <f>SUM(G27:I27)</f>
        <v>0</v>
      </c>
    </row>
    <row r="28" spans="1:10" s="480" customFormat="1">
      <c r="A28" s="483" t="s">
        <v>53</v>
      </c>
      <c r="B28" s="491" t="s">
        <v>299</v>
      </c>
      <c r="C28" s="484">
        <v>0</v>
      </c>
      <c r="D28" s="484">
        <v>0</v>
      </c>
      <c r="E28" s="484">
        <f t="shared" si="9"/>
        <v>0</v>
      </c>
      <c r="F28" s="485">
        <f>SUM(G28+H28+I28)</f>
        <v>0</v>
      </c>
      <c r="G28" s="485">
        <v>0</v>
      </c>
      <c r="H28" s="485">
        <v>0</v>
      </c>
      <c r="I28" s="485">
        <v>0</v>
      </c>
      <c r="J28" s="485">
        <f>SUM(F28)</f>
        <v>0</v>
      </c>
    </row>
    <row r="29" spans="1:10" s="480" customFormat="1">
      <c r="A29" s="496" t="s">
        <v>54</v>
      </c>
      <c r="B29" s="497" t="s">
        <v>300</v>
      </c>
      <c r="C29" s="485">
        <f>SUM(C11+C14+C28)</f>
        <v>1652680</v>
      </c>
      <c r="D29" s="485">
        <f>SUM(D11+D14+D28)</f>
        <v>5785894</v>
      </c>
      <c r="E29" s="485">
        <f>SUM(E11+E14+E28)</f>
        <v>4426819</v>
      </c>
      <c r="F29" s="485">
        <f>SUM(F11+F14+F28)</f>
        <v>3041475</v>
      </c>
      <c r="G29" s="485">
        <f>SUM(G14+G28)</f>
        <v>3011755</v>
      </c>
      <c r="H29" s="485">
        <f>SUM(H14+H28)</f>
        <v>28100</v>
      </c>
      <c r="I29" s="485">
        <f>SUM(I11+I14+I28)</f>
        <v>1620</v>
      </c>
      <c r="J29" s="485">
        <f>SUM(J11+J14+J28)</f>
        <v>3041475</v>
      </c>
    </row>
    <row r="30" spans="1:10" s="490" customFormat="1">
      <c r="A30" s="487" t="s">
        <v>55</v>
      </c>
      <c r="B30" s="493" t="s">
        <v>301</v>
      </c>
      <c r="C30" s="498"/>
      <c r="D30" s="498"/>
      <c r="E30" s="488"/>
      <c r="F30" s="489" t="s">
        <v>271</v>
      </c>
      <c r="G30" s="489" t="s">
        <v>271</v>
      </c>
      <c r="H30" s="489" t="s">
        <v>271</v>
      </c>
      <c r="I30" s="489" t="s">
        <v>271</v>
      </c>
      <c r="J30" s="489" t="s">
        <v>271</v>
      </c>
    </row>
    <row r="31" spans="1:10" s="480" customFormat="1">
      <c r="A31" s="483" t="s">
        <v>56</v>
      </c>
      <c r="B31" s="497" t="s">
        <v>302</v>
      </c>
      <c r="C31" s="485">
        <f>SUM(C29+C30)</f>
        <v>1652680</v>
      </c>
      <c r="D31" s="485">
        <f>SUM(D29+D30)</f>
        <v>5785894</v>
      </c>
      <c r="E31" s="485">
        <f>SUM(E29+E30)</f>
        <v>4426819</v>
      </c>
      <c r="F31" s="485" t="s">
        <v>271</v>
      </c>
      <c r="G31" s="485" t="s">
        <v>271</v>
      </c>
      <c r="H31" s="485" t="s">
        <v>271</v>
      </c>
      <c r="I31" s="485" t="s">
        <v>271</v>
      </c>
      <c r="J31" s="485" t="s">
        <v>271</v>
      </c>
    </row>
    <row r="32" spans="1:10" s="480" customFormat="1" ht="31.5">
      <c r="A32" s="499">
        <v>7</v>
      </c>
      <c r="B32" s="500" t="s">
        <v>303</v>
      </c>
      <c r="C32" s="485">
        <v>272762</v>
      </c>
      <c r="D32" s="484">
        <f>6225798+5106158</f>
        <v>11331956</v>
      </c>
      <c r="E32" s="488">
        <f>C32+D32-G32</f>
        <v>11430718</v>
      </c>
      <c r="F32" s="485">
        <f>SUM(G32+H32+I32)</f>
        <v>358200</v>
      </c>
      <c r="G32" s="485">
        <f>174000+0</f>
        <v>174000</v>
      </c>
      <c r="H32" s="485">
        <f>8000+89000+73000</f>
        <v>170000</v>
      </c>
      <c r="I32" s="485">
        <f>1200+8600+4400</f>
        <v>14200</v>
      </c>
      <c r="J32" s="489">
        <f>SUM(G32:I32)</f>
        <v>358200</v>
      </c>
    </row>
    <row r="33" spans="1:10" s="480" customFormat="1">
      <c r="A33" s="483"/>
      <c r="B33" s="497" t="s">
        <v>304</v>
      </c>
      <c r="C33" s="485">
        <f>SUM(C31:C32)</f>
        <v>1925442</v>
      </c>
      <c r="D33" s="485">
        <f>SUM(D31:D32)</f>
        <v>17117850</v>
      </c>
      <c r="E33" s="485">
        <f>SUM(E31:E32)</f>
        <v>15857537</v>
      </c>
      <c r="F33" s="485" t="s">
        <v>271</v>
      </c>
      <c r="G33" s="485" t="s">
        <v>271</v>
      </c>
      <c r="H33" s="485" t="s">
        <v>271</v>
      </c>
      <c r="I33" s="485" t="s">
        <v>271</v>
      </c>
      <c r="J33" s="485" t="s">
        <v>271</v>
      </c>
    </row>
    <row r="34" spans="1:10" s="115" customFormat="1">
      <c r="B34" s="119"/>
      <c r="C34" s="120"/>
      <c r="D34" s="120"/>
      <c r="E34" s="120"/>
    </row>
    <row r="35" spans="1:10" s="115" customFormat="1">
      <c r="B35" s="119"/>
      <c r="C35" s="120"/>
      <c r="D35" s="120"/>
      <c r="E35" s="120"/>
    </row>
    <row r="36" spans="1:10" s="11" customFormat="1">
      <c r="A36" s="155"/>
      <c r="B36" s="17"/>
      <c r="C36" s="17"/>
      <c r="D36" s="17"/>
      <c r="E36" s="17"/>
      <c r="F36" s="17"/>
      <c r="G36" s="53"/>
      <c r="H36" s="53"/>
    </row>
    <row r="37" spans="1:10" s="11" customFormat="1">
      <c r="A37" s="156"/>
      <c r="B37" s="17"/>
      <c r="C37" s="17"/>
      <c r="D37" s="17"/>
      <c r="E37" s="17"/>
      <c r="F37" s="17"/>
      <c r="G37" s="53"/>
      <c r="H37" s="53"/>
    </row>
    <row r="38" spans="1:10" s="11" customFormat="1">
      <c r="A38" s="155"/>
      <c r="B38" s="17"/>
      <c r="C38" s="17"/>
      <c r="D38" s="17"/>
      <c r="E38" s="17"/>
      <c r="F38" s="17"/>
      <c r="G38" s="53"/>
      <c r="H38" s="53"/>
    </row>
    <row r="39" spans="1:10" s="11" customFormat="1">
      <c r="A39" s="157"/>
      <c r="B39" s="17"/>
      <c r="C39" s="17"/>
      <c r="D39" s="17"/>
      <c r="E39" s="17"/>
      <c r="F39" s="17"/>
      <c r="G39" s="56"/>
      <c r="H39" s="56"/>
    </row>
    <row r="40" spans="1:10" s="490" customFormat="1">
      <c r="A40" s="157" t="s">
        <v>1589</v>
      </c>
    </row>
    <row r="41" spans="1:10" s="501" customFormat="1">
      <c r="A41" s="157" t="s">
        <v>1590</v>
      </c>
    </row>
    <row r="42" spans="1:10">
      <c r="A42" s="157" t="s">
        <v>1591</v>
      </c>
      <c r="B42" s="8"/>
      <c r="C42" s="8"/>
      <c r="D42" s="8"/>
      <c r="E42" s="8"/>
      <c r="F42" s="502"/>
      <c r="G42" s="502"/>
      <c r="H42" s="502"/>
    </row>
    <row r="43" spans="1:10" s="11" customFormat="1">
      <c r="A43" s="155"/>
      <c r="B43" s="10"/>
      <c r="C43" s="10"/>
      <c r="D43" s="10"/>
      <c r="E43" s="10"/>
      <c r="F43" s="160"/>
      <c r="G43" s="160"/>
      <c r="H43" s="160"/>
    </row>
    <row r="44" spans="1:10" s="13" customFormat="1">
      <c r="A44" s="156"/>
      <c r="B44" s="12"/>
      <c r="C44" s="12"/>
      <c r="D44" s="12"/>
      <c r="E44" s="12"/>
      <c r="F44" s="162"/>
      <c r="G44" s="162"/>
      <c r="H44" s="162"/>
    </row>
    <row r="45" spans="1:10" s="15" customFormat="1">
      <c r="A45" s="155"/>
      <c r="B45" s="14"/>
      <c r="C45" s="14"/>
      <c r="D45" s="14"/>
      <c r="E45" s="14"/>
      <c r="F45" s="164"/>
      <c r="G45" s="164"/>
      <c r="H45" s="164"/>
    </row>
    <row r="46" spans="1:10" s="11" customFormat="1">
      <c r="A46" s="155"/>
      <c r="B46" s="10"/>
      <c r="C46" s="10"/>
      <c r="D46" s="160"/>
      <c r="E46" s="160"/>
      <c r="F46" s="160"/>
      <c r="G46" s="160"/>
    </row>
    <row r="47" spans="1:10" s="13" customFormat="1">
      <c r="A47" s="156"/>
      <c r="B47" s="12"/>
      <c r="C47" s="12"/>
      <c r="D47" s="162"/>
      <c r="E47" s="162"/>
      <c r="F47" s="162"/>
      <c r="G47" s="162"/>
    </row>
    <row r="48" spans="1:10" s="13" customFormat="1">
      <c r="A48" s="156"/>
      <c r="B48" s="12"/>
      <c r="C48" s="12"/>
      <c r="D48" s="162"/>
      <c r="E48" s="162"/>
      <c r="F48" s="162"/>
      <c r="G48" s="162"/>
    </row>
    <row r="49" spans="1:8" s="13" customFormat="1">
      <c r="A49" s="59"/>
      <c r="B49" s="16"/>
      <c r="C49" s="16"/>
      <c r="D49" s="16"/>
      <c r="E49" s="16"/>
      <c r="F49" s="165"/>
      <c r="G49" s="165"/>
      <c r="H49" s="165"/>
    </row>
    <row r="50" spans="1:8" s="157" customFormat="1">
      <c r="A50" s="60"/>
      <c r="G50" s="155"/>
      <c r="H50" s="155"/>
    </row>
    <row r="51" spans="1:8" s="157" customFormat="1">
      <c r="A51" s="60"/>
    </row>
  </sheetData>
  <mergeCells count="11">
    <mergeCell ref="G9:I9"/>
    <mergeCell ref="A7:A10"/>
    <mergeCell ref="B7:B10"/>
    <mergeCell ref="C7:D7"/>
    <mergeCell ref="F7:J7"/>
    <mergeCell ref="C8:C10"/>
    <mergeCell ref="D8:D10"/>
    <mergeCell ref="E8:E10"/>
    <mergeCell ref="F8:I8"/>
    <mergeCell ref="J8:J10"/>
    <mergeCell ref="F9:F10"/>
  </mergeCells>
  <printOptions horizontalCentered="1" verticalCentered="1"/>
  <pageMargins left="0.23622047244094491" right="0.19685039370078741" top="0.19685039370078741" bottom="0.19685039370078741" header="0.51181102362204722" footer="0.51181102362204722"/>
  <pageSetup paperSize="9" scale="6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D541"/>
  <sheetViews>
    <sheetView zoomScale="115" zoomScaleNormal="115" workbookViewId="0">
      <selection activeCell="A534" sqref="A534"/>
    </sheetView>
  </sheetViews>
  <sheetFormatPr defaultColWidth="11.5703125" defaultRowHeight="15"/>
  <cols>
    <col min="1" max="1" width="12.42578125" style="503" customWidth="1"/>
    <col min="2" max="2" width="60" style="504" customWidth="1"/>
    <col min="3" max="3" width="17" style="538" customWidth="1"/>
    <col min="4" max="228" width="11.5703125" style="506"/>
    <col min="229" max="229" width="12.42578125" style="506" customWidth="1"/>
    <col min="230" max="230" width="57" style="506" customWidth="1"/>
    <col min="231" max="231" width="22.28515625" style="506" customWidth="1"/>
    <col min="232" max="484" width="11.5703125" style="506"/>
    <col min="485" max="485" width="12.42578125" style="506" customWidth="1"/>
    <col min="486" max="486" width="57" style="506" customWidth="1"/>
    <col min="487" max="487" width="22.28515625" style="506" customWidth="1"/>
    <col min="488" max="740" width="11.5703125" style="506"/>
    <col min="741" max="741" width="12.42578125" style="506" customWidth="1"/>
    <col min="742" max="742" width="57" style="506" customWidth="1"/>
    <col min="743" max="743" width="22.28515625" style="506" customWidth="1"/>
    <col min="744" max="996" width="11.5703125" style="506"/>
    <col min="997" max="997" width="12.42578125" style="506" customWidth="1"/>
    <col min="998" max="998" width="57" style="506" customWidth="1"/>
    <col min="999" max="999" width="22.28515625" style="506" customWidth="1"/>
    <col min="1000" max="1252" width="11.5703125" style="506"/>
    <col min="1253" max="1253" width="12.42578125" style="506" customWidth="1"/>
    <col min="1254" max="1254" width="57" style="506" customWidth="1"/>
    <col min="1255" max="1255" width="22.28515625" style="506" customWidth="1"/>
    <col min="1256" max="1508" width="11.5703125" style="506"/>
    <col min="1509" max="1509" width="12.42578125" style="506" customWidth="1"/>
    <col min="1510" max="1510" width="57" style="506" customWidth="1"/>
    <col min="1511" max="1511" width="22.28515625" style="506" customWidth="1"/>
    <col min="1512" max="1764" width="11.5703125" style="506"/>
    <col min="1765" max="1765" width="12.42578125" style="506" customWidth="1"/>
    <col min="1766" max="1766" width="57" style="506" customWidth="1"/>
    <col min="1767" max="1767" width="22.28515625" style="506" customWidth="1"/>
    <col min="1768" max="2020" width="11.5703125" style="506"/>
    <col min="2021" max="2021" width="12.42578125" style="506" customWidth="1"/>
    <col min="2022" max="2022" width="57" style="506" customWidth="1"/>
    <col min="2023" max="2023" width="22.28515625" style="506" customWidth="1"/>
    <col min="2024" max="2276" width="11.5703125" style="506"/>
    <col min="2277" max="2277" width="12.42578125" style="506" customWidth="1"/>
    <col min="2278" max="2278" width="57" style="506" customWidth="1"/>
    <col min="2279" max="2279" width="22.28515625" style="506" customWidth="1"/>
    <col min="2280" max="2532" width="11.5703125" style="506"/>
    <col min="2533" max="2533" width="12.42578125" style="506" customWidth="1"/>
    <col min="2534" max="2534" width="57" style="506" customWidth="1"/>
    <col min="2535" max="2535" width="22.28515625" style="506" customWidth="1"/>
    <col min="2536" max="2788" width="11.5703125" style="506"/>
    <col min="2789" max="2789" width="12.42578125" style="506" customWidth="1"/>
    <col min="2790" max="2790" width="57" style="506" customWidth="1"/>
    <col min="2791" max="2791" width="22.28515625" style="506" customWidth="1"/>
    <col min="2792" max="3044" width="11.5703125" style="506"/>
    <col min="3045" max="3045" width="12.42578125" style="506" customWidth="1"/>
    <col min="3046" max="3046" width="57" style="506" customWidth="1"/>
    <col min="3047" max="3047" width="22.28515625" style="506" customWidth="1"/>
    <col min="3048" max="3300" width="11.5703125" style="506"/>
    <col min="3301" max="3301" width="12.42578125" style="506" customWidth="1"/>
    <col min="3302" max="3302" width="57" style="506" customWidth="1"/>
    <col min="3303" max="3303" width="22.28515625" style="506" customWidth="1"/>
    <col min="3304" max="3556" width="11.5703125" style="506"/>
    <col min="3557" max="3557" width="12.42578125" style="506" customWidth="1"/>
    <col min="3558" max="3558" width="57" style="506" customWidth="1"/>
    <col min="3559" max="3559" width="22.28515625" style="506" customWidth="1"/>
    <col min="3560" max="3812" width="11.5703125" style="506"/>
    <col min="3813" max="3813" width="12.42578125" style="506" customWidth="1"/>
    <col min="3814" max="3814" width="57" style="506" customWidth="1"/>
    <col min="3815" max="3815" width="22.28515625" style="506" customWidth="1"/>
    <col min="3816" max="4068" width="11.5703125" style="506"/>
    <col min="4069" max="4069" width="12.42578125" style="506" customWidth="1"/>
    <col min="4070" max="4070" width="57" style="506" customWidth="1"/>
    <col min="4071" max="4071" width="22.28515625" style="506" customWidth="1"/>
    <col min="4072" max="4324" width="11.5703125" style="506"/>
    <col min="4325" max="4325" width="12.42578125" style="506" customWidth="1"/>
    <col min="4326" max="4326" width="57" style="506" customWidth="1"/>
    <col min="4327" max="4327" width="22.28515625" style="506" customWidth="1"/>
    <col min="4328" max="4580" width="11.5703125" style="506"/>
    <col min="4581" max="4581" width="12.42578125" style="506" customWidth="1"/>
    <col min="4582" max="4582" width="57" style="506" customWidth="1"/>
    <col min="4583" max="4583" width="22.28515625" style="506" customWidth="1"/>
    <col min="4584" max="4836" width="11.5703125" style="506"/>
    <col min="4837" max="4837" width="12.42578125" style="506" customWidth="1"/>
    <col min="4838" max="4838" width="57" style="506" customWidth="1"/>
    <col min="4839" max="4839" width="22.28515625" style="506" customWidth="1"/>
    <col min="4840" max="5092" width="11.5703125" style="506"/>
    <col min="5093" max="5093" width="12.42578125" style="506" customWidth="1"/>
    <col min="5094" max="5094" width="57" style="506" customWidth="1"/>
    <col min="5095" max="5095" width="22.28515625" style="506" customWidth="1"/>
    <col min="5096" max="5348" width="11.5703125" style="506"/>
    <col min="5349" max="5349" width="12.42578125" style="506" customWidth="1"/>
    <col min="5350" max="5350" width="57" style="506" customWidth="1"/>
    <col min="5351" max="5351" width="22.28515625" style="506" customWidth="1"/>
    <col min="5352" max="5604" width="11.5703125" style="506"/>
    <col min="5605" max="5605" width="12.42578125" style="506" customWidth="1"/>
    <col min="5606" max="5606" width="57" style="506" customWidth="1"/>
    <col min="5607" max="5607" width="22.28515625" style="506" customWidth="1"/>
    <col min="5608" max="5860" width="11.5703125" style="506"/>
    <col min="5861" max="5861" width="12.42578125" style="506" customWidth="1"/>
    <col min="5862" max="5862" width="57" style="506" customWidth="1"/>
    <col min="5863" max="5863" width="22.28515625" style="506" customWidth="1"/>
    <col min="5864" max="6116" width="11.5703125" style="506"/>
    <col min="6117" max="6117" width="12.42578125" style="506" customWidth="1"/>
    <col min="6118" max="6118" width="57" style="506" customWidth="1"/>
    <col min="6119" max="6119" width="22.28515625" style="506" customWidth="1"/>
    <col min="6120" max="6372" width="11.5703125" style="506"/>
    <col min="6373" max="6373" width="12.42578125" style="506" customWidth="1"/>
    <col min="6374" max="6374" width="57" style="506" customWidth="1"/>
    <col min="6375" max="6375" width="22.28515625" style="506" customWidth="1"/>
    <col min="6376" max="6628" width="11.5703125" style="506"/>
    <col min="6629" max="6629" width="12.42578125" style="506" customWidth="1"/>
    <col min="6630" max="6630" width="57" style="506" customWidth="1"/>
    <col min="6631" max="6631" width="22.28515625" style="506" customWidth="1"/>
    <col min="6632" max="6884" width="11.5703125" style="506"/>
    <col min="6885" max="6885" width="12.42578125" style="506" customWidth="1"/>
    <col min="6886" max="6886" width="57" style="506" customWidth="1"/>
    <col min="6887" max="6887" width="22.28515625" style="506" customWidth="1"/>
    <col min="6888" max="7140" width="11.5703125" style="506"/>
    <col min="7141" max="7141" width="12.42578125" style="506" customWidth="1"/>
    <col min="7142" max="7142" width="57" style="506" customWidth="1"/>
    <col min="7143" max="7143" width="22.28515625" style="506" customWidth="1"/>
    <col min="7144" max="7396" width="11.5703125" style="506"/>
    <col min="7397" max="7397" width="12.42578125" style="506" customWidth="1"/>
    <col min="7398" max="7398" width="57" style="506" customWidth="1"/>
    <col min="7399" max="7399" width="22.28515625" style="506" customWidth="1"/>
    <col min="7400" max="7652" width="11.5703125" style="506"/>
    <col min="7653" max="7653" width="12.42578125" style="506" customWidth="1"/>
    <col min="7654" max="7654" width="57" style="506" customWidth="1"/>
    <col min="7655" max="7655" width="22.28515625" style="506" customWidth="1"/>
    <col min="7656" max="7908" width="11.5703125" style="506"/>
    <col min="7909" max="7909" width="12.42578125" style="506" customWidth="1"/>
    <col min="7910" max="7910" width="57" style="506" customWidth="1"/>
    <col min="7911" max="7911" width="22.28515625" style="506" customWidth="1"/>
    <col min="7912" max="8164" width="11.5703125" style="506"/>
    <col min="8165" max="8165" width="12.42578125" style="506" customWidth="1"/>
    <col min="8166" max="8166" width="57" style="506" customWidth="1"/>
    <col min="8167" max="8167" width="22.28515625" style="506" customWidth="1"/>
    <col min="8168" max="8420" width="11.5703125" style="506"/>
    <col min="8421" max="8421" width="12.42578125" style="506" customWidth="1"/>
    <col min="8422" max="8422" width="57" style="506" customWidth="1"/>
    <col min="8423" max="8423" width="22.28515625" style="506" customWidth="1"/>
    <col min="8424" max="8676" width="11.5703125" style="506"/>
    <col min="8677" max="8677" width="12.42578125" style="506" customWidth="1"/>
    <col min="8678" max="8678" width="57" style="506" customWidth="1"/>
    <col min="8679" max="8679" width="22.28515625" style="506" customWidth="1"/>
    <col min="8680" max="8932" width="11.5703125" style="506"/>
    <col min="8933" max="8933" width="12.42578125" style="506" customWidth="1"/>
    <col min="8934" max="8934" width="57" style="506" customWidth="1"/>
    <col min="8935" max="8935" width="22.28515625" style="506" customWidth="1"/>
    <col min="8936" max="9188" width="11.5703125" style="506"/>
    <col min="9189" max="9189" width="12.42578125" style="506" customWidth="1"/>
    <col min="9190" max="9190" width="57" style="506" customWidth="1"/>
    <col min="9191" max="9191" width="22.28515625" style="506" customWidth="1"/>
    <col min="9192" max="9444" width="11.5703125" style="506"/>
    <col min="9445" max="9445" width="12.42578125" style="506" customWidth="1"/>
    <col min="9446" max="9446" width="57" style="506" customWidth="1"/>
    <col min="9447" max="9447" width="22.28515625" style="506" customWidth="1"/>
    <col min="9448" max="9700" width="11.5703125" style="506"/>
    <col min="9701" max="9701" width="12.42578125" style="506" customWidth="1"/>
    <col min="9702" max="9702" width="57" style="506" customWidth="1"/>
    <col min="9703" max="9703" width="22.28515625" style="506" customWidth="1"/>
    <col min="9704" max="9956" width="11.5703125" style="506"/>
    <col min="9957" max="9957" width="12.42578125" style="506" customWidth="1"/>
    <col min="9958" max="9958" width="57" style="506" customWidth="1"/>
    <col min="9959" max="9959" width="22.28515625" style="506" customWidth="1"/>
    <col min="9960" max="10212" width="11.5703125" style="506"/>
    <col min="10213" max="10213" width="12.42578125" style="506" customWidth="1"/>
    <col min="10214" max="10214" width="57" style="506" customWidth="1"/>
    <col min="10215" max="10215" width="22.28515625" style="506" customWidth="1"/>
    <col min="10216" max="10468" width="11.5703125" style="506"/>
    <col min="10469" max="10469" width="12.42578125" style="506" customWidth="1"/>
    <col min="10470" max="10470" width="57" style="506" customWidth="1"/>
    <col min="10471" max="10471" width="22.28515625" style="506" customWidth="1"/>
    <col min="10472" max="10724" width="11.5703125" style="506"/>
    <col min="10725" max="10725" width="12.42578125" style="506" customWidth="1"/>
    <col min="10726" max="10726" width="57" style="506" customWidth="1"/>
    <col min="10727" max="10727" width="22.28515625" style="506" customWidth="1"/>
    <col min="10728" max="10980" width="11.5703125" style="506"/>
    <col min="10981" max="10981" width="12.42578125" style="506" customWidth="1"/>
    <col min="10982" max="10982" width="57" style="506" customWidth="1"/>
    <col min="10983" max="10983" width="22.28515625" style="506" customWidth="1"/>
    <col min="10984" max="11236" width="11.5703125" style="506"/>
    <col min="11237" max="11237" width="12.42578125" style="506" customWidth="1"/>
    <col min="11238" max="11238" width="57" style="506" customWidth="1"/>
    <col min="11239" max="11239" width="22.28515625" style="506" customWidth="1"/>
    <col min="11240" max="11492" width="11.5703125" style="506"/>
    <col min="11493" max="11493" width="12.42578125" style="506" customWidth="1"/>
    <col min="11494" max="11494" width="57" style="506" customWidth="1"/>
    <col min="11495" max="11495" width="22.28515625" style="506" customWidth="1"/>
    <col min="11496" max="11748" width="11.5703125" style="506"/>
    <col min="11749" max="11749" width="12.42578125" style="506" customWidth="1"/>
    <col min="11750" max="11750" width="57" style="506" customWidth="1"/>
    <col min="11751" max="11751" width="22.28515625" style="506" customWidth="1"/>
    <col min="11752" max="12004" width="11.5703125" style="506"/>
    <col min="12005" max="12005" width="12.42578125" style="506" customWidth="1"/>
    <col min="12006" max="12006" width="57" style="506" customWidth="1"/>
    <col min="12007" max="12007" width="22.28515625" style="506" customWidth="1"/>
    <col min="12008" max="12260" width="11.5703125" style="506"/>
    <col min="12261" max="12261" width="12.42578125" style="506" customWidth="1"/>
    <col min="12262" max="12262" width="57" style="506" customWidth="1"/>
    <col min="12263" max="12263" width="22.28515625" style="506" customWidth="1"/>
    <col min="12264" max="12516" width="11.5703125" style="506"/>
    <col min="12517" max="12517" width="12.42578125" style="506" customWidth="1"/>
    <col min="12518" max="12518" width="57" style="506" customWidth="1"/>
    <col min="12519" max="12519" width="22.28515625" style="506" customWidth="1"/>
    <col min="12520" max="12772" width="11.5703125" style="506"/>
    <col min="12773" max="12773" width="12.42578125" style="506" customWidth="1"/>
    <col min="12774" max="12774" width="57" style="506" customWidth="1"/>
    <col min="12775" max="12775" width="22.28515625" style="506" customWidth="1"/>
    <col min="12776" max="13028" width="11.5703125" style="506"/>
    <col min="13029" max="13029" width="12.42578125" style="506" customWidth="1"/>
    <col min="13030" max="13030" width="57" style="506" customWidth="1"/>
    <col min="13031" max="13031" width="22.28515625" style="506" customWidth="1"/>
    <col min="13032" max="13284" width="11.5703125" style="506"/>
    <col min="13285" max="13285" width="12.42578125" style="506" customWidth="1"/>
    <col min="13286" max="13286" width="57" style="506" customWidth="1"/>
    <col min="13287" max="13287" width="22.28515625" style="506" customWidth="1"/>
    <col min="13288" max="13540" width="11.5703125" style="506"/>
    <col min="13541" max="13541" width="12.42578125" style="506" customWidth="1"/>
    <col min="13542" max="13542" width="57" style="506" customWidth="1"/>
    <col min="13543" max="13543" width="22.28515625" style="506" customWidth="1"/>
    <col min="13544" max="13796" width="11.5703125" style="506"/>
    <col min="13797" max="13797" width="12.42578125" style="506" customWidth="1"/>
    <col min="13798" max="13798" width="57" style="506" customWidth="1"/>
    <col min="13799" max="13799" width="22.28515625" style="506" customWidth="1"/>
    <col min="13800" max="14052" width="11.5703125" style="506"/>
    <col min="14053" max="14053" width="12.42578125" style="506" customWidth="1"/>
    <col min="14054" max="14054" width="57" style="506" customWidth="1"/>
    <col min="14055" max="14055" width="22.28515625" style="506" customWidth="1"/>
    <col min="14056" max="14308" width="11.5703125" style="506"/>
    <col min="14309" max="14309" width="12.42578125" style="506" customWidth="1"/>
    <col min="14310" max="14310" width="57" style="506" customWidth="1"/>
    <col min="14311" max="14311" width="22.28515625" style="506" customWidth="1"/>
    <col min="14312" max="14564" width="11.5703125" style="506"/>
    <col min="14565" max="14565" width="12.42578125" style="506" customWidth="1"/>
    <col min="14566" max="14566" width="57" style="506" customWidth="1"/>
    <col min="14567" max="14567" width="22.28515625" style="506" customWidth="1"/>
    <col min="14568" max="14820" width="11.5703125" style="506"/>
    <col min="14821" max="14821" width="12.42578125" style="506" customWidth="1"/>
    <col min="14822" max="14822" width="57" style="506" customWidth="1"/>
    <col min="14823" max="14823" width="22.28515625" style="506" customWidth="1"/>
    <col min="14824" max="15076" width="11.5703125" style="506"/>
    <col min="15077" max="15077" width="12.42578125" style="506" customWidth="1"/>
    <col min="15078" max="15078" width="57" style="506" customWidth="1"/>
    <col min="15079" max="15079" width="22.28515625" style="506" customWidth="1"/>
    <col min="15080" max="15332" width="11.5703125" style="506"/>
    <col min="15333" max="15333" width="12.42578125" style="506" customWidth="1"/>
    <col min="15334" max="15334" width="57" style="506" customWidth="1"/>
    <col min="15335" max="15335" width="22.28515625" style="506" customWidth="1"/>
    <col min="15336" max="15588" width="11.5703125" style="506"/>
    <col min="15589" max="15589" width="12.42578125" style="506" customWidth="1"/>
    <col min="15590" max="15590" width="57" style="506" customWidth="1"/>
    <col min="15591" max="15591" width="22.28515625" style="506" customWidth="1"/>
    <col min="15592" max="15844" width="11.5703125" style="506"/>
    <col min="15845" max="15845" width="12.42578125" style="506" customWidth="1"/>
    <col min="15846" max="15846" width="57" style="506" customWidth="1"/>
    <col min="15847" max="15847" width="22.28515625" style="506" customWidth="1"/>
    <col min="15848" max="16100" width="11.5703125" style="506"/>
    <col min="16101" max="16101" width="12.42578125" style="506" customWidth="1"/>
    <col min="16102" max="16102" width="57" style="506" customWidth="1"/>
    <col min="16103" max="16103" width="22.28515625" style="506" customWidth="1"/>
    <col min="16104" max="16384" width="11.5703125" style="506"/>
  </cols>
  <sheetData>
    <row r="2" spans="1:3">
      <c r="C2" s="505" t="s">
        <v>1287</v>
      </c>
    </row>
    <row r="4" spans="1:3" s="510" customFormat="1" ht="14.25">
      <c r="A4" s="507" t="s">
        <v>614</v>
      </c>
      <c r="B4" s="508"/>
      <c r="C4" s="509"/>
    </row>
    <row r="5" spans="1:3" s="510" customFormat="1" ht="14.25">
      <c r="A5" s="507" t="s">
        <v>664</v>
      </c>
      <c r="B5" s="508"/>
      <c r="C5" s="509"/>
    </row>
    <row r="6" spans="1:3" s="510" customFormat="1" ht="14.25">
      <c r="A6" s="507" t="s">
        <v>1301</v>
      </c>
      <c r="B6" s="508"/>
      <c r="C6" s="509"/>
    </row>
    <row r="7" spans="1:3" s="510" customFormat="1" ht="14.25">
      <c r="A7" s="507"/>
      <c r="B7" s="508"/>
      <c r="C7" s="509"/>
    </row>
    <row r="8" spans="1:3" s="514" customFormat="1" ht="42.75">
      <c r="A8" s="511" t="s">
        <v>1049</v>
      </c>
      <c r="B8" s="512" t="s">
        <v>665</v>
      </c>
      <c r="C8" s="513" t="s">
        <v>1302</v>
      </c>
    </row>
    <row r="9" spans="1:3" s="518" customFormat="1">
      <c r="A9" s="515" t="s">
        <v>1050</v>
      </c>
      <c r="B9" s="516"/>
      <c r="C9" s="517"/>
    </row>
    <row r="10" spans="1:3" s="518" customFormat="1">
      <c r="A10" s="515"/>
      <c r="B10" s="516"/>
      <c r="C10" s="517"/>
    </row>
    <row r="11" spans="1:3" s="518" customFormat="1">
      <c r="A11" s="515" t="s">
        <v>1051</v>
      </c>
      <c r="B11" s="516"/>
      <c r="C11" s="517"/>
    </row>
    <row r="12" spans="1:3" s="518" customFormat="1">
      <c r="A12" s="515" t="s">
        <v>666</v>
      </c>
      <c r="B12" s="516"/>
      <c r="C12" s="517"/>
    </row>
    <row r="13" spans="1:3" s="518" customFormat="1">
      <c r="A13" s="515" t="s">
        <v>667</v>
      </c>
      <c r="B13" s="516"/>
      <c r="C13" s="517"/>
    </row>
    <row r="14" spans="1:3" s="518" customFormat="1" ht="30">
      <c r="A14" s="519" t="s">
        <v>3</v>
      </c>
      <c r="B14" s="516" t="s">
        <v>345</v>
      </c>
      <c r="C14" s="520">
        <f>SUM(C15)</f>
        <v>979</v>
      </c>
    </row>
    <row r="15" spans="1:3" s="518" customFormat="1" ht="30">
      <c r="A15" s="519" t="s">
        <v>706</v>
      </c>
      <c r="B15" s="516" t="s">
        <v>707</v>
      </c>
      <c r="C15" s="520">
        <v>979</v>
      </c>
    </row>
    <row r="16" spans="1:3" s="518" customFormat="1">
      <c r="A16" s="519" t="s">
        <v>668</v>
      </c>
      <c r="B16" s="516" t="s">
        <v>351</v>
      </c>
      <c r="C16" s="520">
        <f>SUM(C17:C18)</f>
        <v>73804</v>
      </c>
    </row>
    <row r="17" spans="1:3" s="518" customFormat="1">
      <c r="A17" s="519" t="s">
        <v>669</v>
      </c>
      <c r="B17" s="516" t="s">
        <v>670</v>
      </c>
      <c r="C17" s="520">
        <v>73616</v>
      </c>
    </row>
    <row r="18" spans="1:3" s="518" customFormat="1" ht="30">
      <c r="A18" s="416">
        <v>205</v>
      </c>
      <c r="B18" s="516" t="s">
        <v>1063</v>
      </c>
      <c r="C18" s="520">
        <v>188</v>
      </c>
    </row>
    <row r="19" spans="1:3" s="518" customFormat="1">
      <c r="A19" s="519" t="s">
        <v>712</v>
      </c>
      <c r="B19" s="516" t="s">
        <v>361</v>
      </c>
      <c r="C19" s="520">
        <f>SUM(C20:C22)</f>
        <v>93</v>
      </c>
    </row>
    <row r="20" spans="1:3" s="518" customFormat="1" ht="30">
      <c r="A20" s="519" t="s">
        <v>713</v>
      </c>
      <c r="B20" s="516" t="s">
        <v>714</v>
      </c>
      <c r="C20" s="520"/>
    </row>
    <row r="21" spans="1:3" s="518" customFormat="1">
      <c r="A21" s="519" t="s">
        <v>715</v>
      </c>
      <c r="B21" s="516" t="s">
        <v>716</v>
      </c>
      <c r="C21" s="520">
        <v>38</v>
      </c>
    </row>
    <row r="22" spans="1:3" s="518" customFormat="1" ht="30">
      <c r="A22" s="519" t="s">
        <v>717</v>
      </c>
      <c r="B22" s="516" t="s">
        <v>718</v>
      </c>
      <c r="C22" s="520">
        <v>55</v>
      </c>
    </row>
    <row r="23" spans="1:3" s="518" customFormat="1">
      <c r="A23" s="519" t="s">
        <v>671</v>
      </c>
      <c r="B23" s="516" t="s">
        <v>371</v>
      </c>
      <c r="C23" s="520">
        <f>SUM(C24:C29)</f>
        <v>230118</v>
      </c>
    </row>
    <row r="24" spans="1:3" s="518" customFormat="1">
      <c r="A24" s="519" t="s">
        <v>672</v>
      </c>
      <c r="B24" s="516" t="s">
        <v>638</v>
      </c>
      <c r="C24" s="520">
        <v>876</v>
      </c>
    </row>
    <row r="25" spans="1:3" s="518" customFormat="1">
      <c r="A25" s="519" t="s">
        <v>725</v>
      </c>
      <c r="B25" s="516" t="s">
        <v>639</v>
      </c>
      <c r="C25" s="520">
        <v>3229</v>
      </c>
    </row>
    <row r="26" spans="1:3" s="518" customFormat="1">
      <c r="A26" s="519" t="s">
        <v>684</v>
      </c>
      <c r="B26" s="516" t="s">
        <v>685</v>
      </c>
      <c r="C26" s="520">
        <v>1444</v>
      </c>
    </row>
    <row r="27" spans="1:3" s="518" customFormat="1">
      <c r="A27" s="416">
        <v>1030</v>
      </c>
      <c r="B27" s="516" t="s">
        <v>687</v>
      </c>
      <c r="C27" s="520">
        <v>5000</v>
      </c>
    </row>
    <row r="28" spans="1:3" s="518" customFormat="1">
      <c r="A28" s="519" t="s">
        <v>673</v>
      </c>
      <c r="B28" s="516" t="s">
        <v>674</v>
      </c>
      <c r="C28" s="520"/>
    </row>
    <row r="29" spans="1:3" s="518" customFormat="1" ht="30">
      <c r="A29" s="519" t="s">
        <v>677</v>
      </c>
      <c r="B29" s="516" t="s">
        <v>642</v>
      </c>
      <c r="C29" s="520">
        <v>219569</v>
      </c>
    </row>
    <row r="30" spans="1:3" s="518" customFormat="1">
      <c r="A30" s="521" t="s">
        <v>678</v>
      </c>
      <c r="B30" s="516"/>
      <c r="C30" s="418">
        <f>SUM(C14,C16,C19,C23)</f>
        <v>304994</v>
      </c>
    </row>
    <row r="31" spans="1:3" s="518" customFormat="1">
      <c r="A31" s="416">
        <v>5100</v>
      </c>
      <c r="B31" s="516" t="s">
        <v>647</v>
      </c>
      <c r="C31" s="520">
        <v>5147</v>
      </c>
    </row>
    <row r="32" spans="1:3" s="518" customFormat="1">
      <c r="A32" s="519" t="s">
        <v>689</v>
      </c>
      <c r="B32" s="516" t="s">
        <v>648</v>
      </c>
      <c r="C32" s="520">
        <f>SUM(C33)</f>
        <v>10000</v>
      </c>
    </row>
    <row r="33" spans="1:3" s="518" customFormat="1">
      <c r="A33" s="519" t="s">
        <v>719</v>
      </c>
      <c r="B33" s="516" t="s">
        <v>245</v>
      </c>
      <c r="C33" s="520">
        <v>10000</v>
      </c>
    </row>
    <row r="34" spans="1:3" s="523" customFormat="1" ht="14.25">
      <c r="A34" s="521" t="s">
        <v>691</v>
      </c>
      <c r="B34" s="522"/>
      <c r="C34" s="418">
        <f>SUM(C32,C31)</f>
        <v>15147</v>
      </c>
    </row>
    <row r="35" spans="1:3" s="518" customFormat="1">
      <c r="A35" s="521" t="s">
        <v>679</v>
      </c>
      <c r="B35" s="516"/>
      <c r="C35" s="418">
        <f>SUM(C30,C34)</f>
        <v>320141</v>
      </c>
    </row>
    <row r="36" spans="1:3" s="518" customFormat="1">
      <c r="A36" s="515" t="s">
        <v>680</v>
      </c>
      <c r="B36" s="516"/>
      <c r="C36" s="517">
        <f>SUM(C35)</f>
        <v>320141</v>
      </c>
    </row>
    <row r="37" spans="1:3" s="518" customFormat="1">
      <c r="A37" s="521"/>
      <c r="B37" s="516"/>
      <c r="C37" s="418"/>
    </row>
    <row r="38" spans="1:3" s="518" customFormat="1">
      <c r="A38" s="521"/>
      <c r="B38" s="516"/>
      <c r="C38" s="418"/>
    </row>
    <row r="39" spans="1:3" s="518" customFormat="1">
      <c r="A39" s="515" t="s">
        <v>1052</v>
      </c>
      <c r="B39" s="516"/>
      <c r="C39" s="517"/>
    </row>
    <row r="40" spans="1:3" s="518" customFormat="1">
      <c r="A40" s="515" t="s">
        <v>682</v>
      </c>
      <c r="B40" s="516"/>
      <c r="C40" s="517"/>
    </row>
    <row r="41" spans="1:3" s="518" customFormat="1" ht="30">
      <c r="A41" s="524" t="s">
        <v>3</v>
      </c>
      <c r="B41" s="516" t="s">
        <v>345</v>
      </c>
      <c r="C41" s="525">
        <f>SUM(C42)</f>
        <v>1287</v>
      </c>
    </row>
    <row r="42" spans="1:3" s="518" customFormat="1" ht="30">
      <c r="A42" s="524" t="s">
        <v>706</v>
      </c>
      <c r="B42" s="516" t="s">
        <v>707</v>
      </c>
      <c r="C42" s="525">
        <v>1287</v>
      </c>
    </row>
    <row r="43" spans="1:3" s="518" customFormat="1">
      <c r="A43" s="524" t="s">
        <v>712</v>
      </c>
      <c r="B43" s="516" t="s">
        <v>361</v>
      </c>
      <c r="C43" s="525">
        <f>SUM(C44:C45)</f>
        <v>1123</v>
      </c>
    </row>
    <row r="44" spans="1:3" s="518" customFormat="1" ht="30">
      <c r="A44" s="524" t="s">
        <v>713</v>
      </c>
      <c r="B44" s="516" t="s">
        <v>714</v>
      </c>
      <c r="C44" s="525">
        <v>1095</v>
      </c>
    </row>
    <row r="45" spans="1:3" s="518" customFormat="1">
      <c r="A45" s="524" t="s">
        <v>715</v>
      </c>
      <c r="B45" s="516" t="s">
        <v>716</v>
      </c>
      <c r="C45" s="525">
        <v>28</v>
      </c>
    </row>
    <row r="46" spans="1:3" s="518" customFormat="1">
      <c r="A46" s="524" t="s">
        <v>671</v>
      </c>
      <c r="B46" s="516" t="s">
        <v>371</v>
      </c>
      <c r="C46" s="525">
        <f>SUM(C47:C48)</f>
        <v>1794</v>
      </c>
    </row>
    <row r="47" spans="1:3" s="518" customFormat="1">
      <c r="A47" s="524" t="s">
        <v>731</v>
      </c>
      <c r="B47" s="516" t="s">
        <v>732</v>
      </c>
      <c r="C47" s="525">
        <v>133</v>
      </c>
    </row>
    <row r="48" spans="1:3" s="518" customFormat="1">
      <c r="A48" s="524" t="s">
        <v>684</v>
      </c>
      <c r="B48" s="516" t="s">
        <v>685</v>
      </c>
      <c r="C48" s="525">
        <v>1661</v>
      </c>
    </row>
    <row r="49" spans="1:3" s="518" customFormat="1">
      <c r="A49" s="521" t="s">
        <v>678</v>
      </c>
      <c r="B49" s="516"/>
      <c r="C49" s="418">
        <f>SUM(C41,C43,C46)</f>
        <v>4204</v>
      </c>
    </row>
    <row r="50" spans="1:3" s="518" customFormat="1">
      <c r="A50" s="521" t="s">
        <v>679</v>
      </c>
      <c r="B50" s="516"/>
      <c r="C50" s="418">
        <f>SUM(C49)</f>
        <v>4204</v>
      </c>
    </row>
    <row r="51" spans="1:3" s="518" customFormat="1">
      <c r="A51" s="515"/>
      <c r="B51" s="516"/>
      <c r="C51" s="517"/>
    </row>
    <row r="52" spans="1:3" s="518" customFormat="1">
      <c r="A52" s="515" t="s">
        <v>1053</v>
      </c>
      <c r="B52" s="516"/>
      <c r="C52" s="517"/>
    </row>
    <row r="53" spans="1:3" s="518" customFormat="1">
      <c r="A53" s="519" t="s">
        <v>671</v>
      </c>
      <c r="B53" s="516" t="s">
        <v>371</v>
      </c>
      <c r="C53" s="520">
        <f>SUM(C54:C56)</f>
        <v>211732</v>
      </c>
    </row>
    <row r="54" spans="1:3" s="518" customFormat="1">
      <c r="A54" s="519" t="s">
        <v>684</v>
      </c>
      <c r="B54" s="516" t="s">
        <v>685</v>
      </c>
      <c r="C54" s="520">
        <f>208993</f>
        <v>208993</v>
      </c>
    </row>
    <row r="55" spans="1:3" s="518" customFormat="1">
      <c r="A55" s="519" t="s">
        <v>686</v>
      </c>
      <c r="B55" s="516" t="s">
        <v>687</v>
      </c>
      <c r="C55" s="520">
        <v>2739</v>
      </c>
    </row>
    <row r="56" spans="1:3" s="518" customFormat="1" ht="30">
      <c r="A56" s="519" t="s">
        <v>677</v>
      </c>
      <c r="B56" s="516" t="s">
        <v>642</v>
      </c>
      <c r="C56" s="520">
        <f>50975-33531-17444</f>
        <v>0</v>
      </c>
    </row>
    <row r="57" spans="1:3" s="518" customFormat="1">
      <c r="A57" s="521" t="s">
        <v>678</v>
      </c>
      <c r="B57" s="516"/>
      <c r="C57" s="418">
        <f>SUM(C53)</f>
        <v>211732</v>
      </c>
    </row>
    <row r="58" spans="1:3" s="518" customFormat="1">
      <c r="A58" s="521"/>
      <c r="B58" s="516"/>
      <c r="C58" s="418"/>
    </row>
    <row r="59" spans="1:3" s="518" customFormat="1">
      <c r="A59" s="519" t="s">
        <v>688</v>
      </c>
      <c r="B59" s="516" t="s">
        <v>647</v>
      </c>
      <c r="C59" s="520">
        <f>256004-3019-7990-172</f>
        <v>244823</v>
      </c>
    </row>
    <row r="60" spans="1:3" s="518" customFormat="1">
      <c r="A60" s="519" t="s">
        <v>689</v>
      </c>
      <c r="B60" s="516" t="s">
        <v>648</v>
      </c>
      <c r="C60" s="520">
        <f>SUM(C61)</f>
        <v>0</v>
      </c>
    </row>
    <row r="61" spans="1:3" s="518" customFormat="1">
      <c r="A61" s="519" t="s">
        <v>690</v>
      </c>
      <c r="B61" s="516" t="s">
        <v>239</v>
      </c>
      <c r="C61" s="520">
        <f>2-2</f>
        <v>0</v>
      </c>
    </row>
    <row r="62" spans="1:3" s="518" customFormat="1">
      <c r="A62" s="521" t="s">
        <v>691</v>
      </c>
      <c r="B62" s="516"/>
      <c r="C62" s="418">
        <f>SUM(C59,C60)</f>
        <v>244823</v>
      </c>
    </row>
    <row r="63" spans="1:3" s="518" customFormat="1">
      <c r="A63" s="521" t="s">
        <v>679</v>
      </c>
      <c r="B63" s="516"/>
      <c r="C63" s="418">
        <f>SUM(C57,C62)</f>
        <v>456555</v>
      </c>
    </row>
    <row r="64" spans="1:3" s="518" customFormat="1">
      <c r="A64" s="521"/>
      <c r="B64" s="516"/>
      <c r="C64" s="418"/>
    </row>
    <row r="65" spans="1:3" s="518" customFormat="1">
      <c r="A65" s="515" t="s">
        <v>692</v>
      </c>
      <c r="B65" s="516"/>
      <c r="C65" s="517"/>
    </row>
    <row r="66" spans="1:3" s="518" customFormat="1">
      <c r="A66" s="519" t="s">
        <v>671</v>
      </c>
      <c r="B66" s="516" t="s">
        <v>371</v>
      </c>
      <c r="C66" s="520">
        <f>SUM(C67:C69)</f>
        <v>19624</v>
      </c>
    </row>
    <row r="67" spans="1:3" s="518" customFormat="1">
      <c r="A67" s="519" t="s">
        <v>684</v>
      </c>
      <c r="B67" s="516" t="s">
        <v>685</v>
      </c>
      <c r="C67" s="520">
        <v>5652</v>
      </c>
    </row>
    <row r="68" spans="1:3" s="518" customFormat="1">
      <c r="A68" s="519" t="s">
        <v>693</v>
      </c>
      <c r="B68" s="516" t="s">
        <v>694</v>
      </c>
      <c r="C68" s="520">
        <v>2400</v>
      </c>
    </row>
    <row r="69" spans="1:3" s="518" customFormat="1" ht="30">
      <c r="A69" s="519" t="s">
        <v>677</v>
      </c>
      <c r="B69" s="516" t="s">
        <v>642</v>
      </c>
      <c r="C69" s="520">
        <v>11572</v>
      </c>
    </row>
    <row r="70" spans="1:3" s="518" customFormat="1">
      <c r="A70" s="521" t="s">
        <v>678</v>
      </c>
      <c r="B70" s="516"/>
      <c r="C70" s="418">
        <f>SUM(C66)</f>
        <v>19624</v>
      </c>
    </row>
    <row r="71" spans="1:3" s="518" customFormat="1">
      <c r="A71" s="521" t="s">
        <v>679</v>
      </c>
      <c r="B71" s="516"/>
      <c r="C71" s="418">
        <f>SUM(C70)</f>
        <v>19624</v>
      </c>
    </row>
    <row r="72" spans="1:3" s="518" customFormat="1">
      <c r="A72" s="515" t="s">
        <v>680</v>
      </c>
      <c r="B72" s="516"/>
      <c r="C72" s="517">
        <f>SUM(C50,C63,C71)</f>
        <v>480383</v>
      </c>
    </row>
    <row r="73" spans="1:3" s="518" customFormat="1">
      <c r="A73" s="515"/>
      <c r="B73" s="516"/>
      <c r="C73" s="517"/>
    </row>
    <row r="74" spans="1:3" s="518" customFormat="1">
      <c r="A74" s="521" t="s">
        <v>695</v>
      </c>
      <c r="B74" s="516"/>
      <c r="C74" s="418">
        <f>SUM(C36,C72)</f>
        <v>800524</v>
      </c>
    </row>
    <row r="75" spans="1:3" s="518" customFormat="1">
      <c r="A75" s="521"/>
      <c r="B75" s="516"/>
      <c r="C75" s="418"/>
    </row>
    <row r="76" spans="1:3" s="518" customFormat="1">
      <c r="A76" s="521"/>
      <c r="B76" s="516"/>
      <c r="C76" s="418"/>
    </row>
    <row r="77" spans="1:3" s="518" customFormat="1">
      <c r="A77" s="515" t="s">
        <v>1054</v>
      </c>
      <c r="B77" s="516"/>
      <c r="C77" s="517"/>
    </row>
    <row r="78" spans="1:3" s="518" customFormat="1">
      <c r="A78" s="515" t="s">
        <v>696</v>
      </c>
      <c r="B78" s="516"/>
      <c r="C78" s="517"/>
    </row>
    <row r="79" spans="1:3" s="518" customFormat="1">
      <c r="A79" s="519" t="s">
        <v>671</v>
      </c>
      <c r="B79" s="516" t="s">
        <v>371</v>
      </c>
      <c r="C79" s="520">
        <f>SUM(C80)</f>
        <v>1108973</v>
      </c>
    </row>
    <row r="80" spans="1:3" s="518" customFormat="1" ht="30">
      <c r="A80" s="519" t="s">
        <v>677</v>
      </c>
      <c r="B80" s="516" t="s">
        <v>642</v>
      </c>
      <c r="C80" s="520">
        <v>1108973</v>
      </c>
    </row>
    <row r="81" spans="1:3" s="518" customFormat="1">
      <c r="A81" s="521" t="s">
        <v>678</v>
      </c>
      <c r="B81" s="516"/>
      <c r="C81" s="418">
        <f>SUM(C79)</f>
        <v>1108973</v>
      </c>
    </row>
    <row r="82" spans="1:3" s="518" customFormat="1">
      <c r="A82" s="519" t="s">
        <v>688</v>
      </c>
      <c r="B82" s="516" t="s">
        <v>647</v>
      </c>
      <c r="C82" s="520">
        <v>139296</v>
      </c>
    </row>
    <row r="83" spans="1:3" s="518" customFormat="1">
      <c r="A83" s="521" t="s">
        <v>691</v>
      </c>
      <c r="B83" s="516"/>
      <c r="C83" s="418">
        <f>SUM(C82)</f>
        <v>139296</v>
      </c>
    </row>
    <row r="84" spans="1:3" s="518" customFormat="1">
      <c r="A84" s="521" t="s">
        <v>679</v>
      </c>
      <c r="B84" s="516"/>
      <c r="C84" s="418">
        <f>SUM(C81,C83)</f>
        <v>1248269</v>
      </c>
    </row>
    <row r="85" spans="1:3" s="518" customFormat="1">
      <c r="A85" s="521"/>
      <c r="B85" s="516"/>
      <c r="C85" s="418"/>
    </row>
    <row r="86" spans="1:3" s="518" customFormat="1">
      <c r="A86" s="515" t="s">
        <v>697</v>
      </c>
      <c r="B86" s="516"/>
      <c r="C86" s="517"/>
    </row>
    <row r="87" spans="1:3" s="518" customFormat="1">
      <c r="A87" s="521"/>
      <c r="B87" s="516"/>
      <c r="C87" s="418"/>
    </row>
    <row r="88" spans="1:3" s="518" customFormat="1">
      <c r="A88" s="519" t="s">
        <v>671</v>
      </c>
      <c r="B88" s="516" t="s">
        <v>371</v>
      </c>
      <c r="C88" s="520">
        <f>SUM(C89)</f>
        <v>10928</v>
      </c>
    </row>
    <row r="89" spans="1:3" s="518" customFormat="1" ht="30">
      <c r="A89" s="519" t="s">
        <v>677</v>
      </c>
      <c r="B89" s="516" t="s">
        <v>642</v>
      </c>
      <c r="C89" s="520">
        <v>10928</v>
      </c>
    </row>
    <row r="90" spans="1:3" s="518" customFormat="1">
      <c r="A90" s="521" t="s">
        <v>678</v>
      </c>
      <c r="B90" s="516"/>
      <c r="C90" s="418">
        <f>SUM(C88)</f>
        <v>10928</v>
      </c>
    </row>
    <row r="91" spans="1:3" s="518" customFormat="1">
      <c r="A91" s="521"/>
      <c r="B91" s="516"/>
      <c r="C91" s="418"/>
    </row>
    <row r="92" spans="1:3" s="518" customFormat="1">
      <c r="A92" s="521" t="s">
        <v>679</v>
      </c>
      <c r="B92" s="516"/>
      <c r="C92" s="418">
        <f>SUM(C90)</f>
        <v>10928</v>
      </c>
    </row>
    <row r="93" spans="1:3" s="518" customFormat="1">
      <c r="A93" s="521"/>
      <c r="B93" s="516"/>
      <c r="C93" s="418"/>
    </row>
    <row r="94" spans="1:3" s="518" customFormat="1">
      <c r="A94" s="515" t="s">
        <v>698</v>
      </c>
      <c r="B94" s="516"/>
      <c r="C94" s="517"/>
    </row>
    <row r="95" spans="1:3" s="518" customFormat="1">
      <c r="A95" s="519" t="s">
        <v>671</v>
      </c>
      <c r="B95" s="516" t="s">
        <v>371</v>
      </c>
      <c r="C95" s="520">
        <f>SUM(C96)</f>
        <v>1034301</v>
      </c>
    </row>
    <row r="96" spans="1:3" s="518" customFormat="1" ht="30">
      <c r="A96" s="519" t="s">
        <v>677</v>
      </c>
      <c r="B96" s="516" t="s">
        <v>642</v>
      </c>
      <c r="C96" s="520">
        <f>1041403-400-4905-1797</f>
        <v>1034301</v>
      </c>
    </row>
    <row r="97" spans="1:3" s="518" customFormat="1">
      <c r="A97" s="519" t="s">
        <v>699</v>
      </c>
      <c r="B97" s="516" t="s">
        <v>644</v>
      </c>
      <c r="C97" s="520">
        <v>321650</v>
      </c>
    </row>
    <row r="98" spans="1:3" s="518" customFormat="1">
      <c r="A98" s="521" t="s">
        <v>678</v>
      </c>
      <c r="B98" s="516"/>
      <c r="C98" s="418">
        <f>SUM(C95,C97)</f>
        <v>1355951</v>
      </c>
    </row>
    <row r="99" spans="1:3" s="518" customFormat="1">
      <c r="A99" s="519" t="s">
        <v>689</v>
      </c>
      <c r="B99" s="516" t="s">
        <v>648</v>
      </c>
      <c r="C99" s="520">
        <f>SUM(C100:C102)</f>
        <v>0</v>
      </c>
    </row>
    <row r="100" spans="1:3" s="518" customFormat="1">
      <c r="A100" s="519" t="s">
        <v>721</v>
      </c>
      <c r="B100" s="516" t="s">
        <v>240</v>
      </c>
      <c r="C100" s="520"/>
    </row>
    <row r="101" spans="1:3" s="518" customFormat="1">
      <c r="A101" s="519" t="s">
        <v>719</v>
      </c>
      <c r="B101" s="516" t="s">
        <v>245</v>
      </c>
      <c r="C101" s="520"/>
    </row>
    <row r="102" spans="1:3" s="518" customFormat="1">
      <c r="A102" s="519" t="s">
        <v>940</v>
      </c>
      <c r="B102" s="516" t="s">
        <v>941</v>
      </c>
      <c r="C102" s="520"/>
    </row>
    <row r="103" spans="1:3" s="518" customFormat="1">
      <c r="A103" s="521" t="s">
        <v>691</v>
      </c>
      <c r="B103" s="516"/>
      <c r="C103" s="418">
        <f>SUM(C99)</f>
        <v>0</v>
      </c>
    </row>
    <row r="104" spans="1:3" s="518" customFormat="1">
      <c r="A104" s="521" t="s">
        <v>679</v>
      </c>
      <c r="B104" s="516"/>
      <c r="C104" s="418">
        <f>SUM(C98,C103)</f>
        <v>1355951</v>
      </c>
    </row>
    <row r="105" spans="1:3" s="518" customFormat="1">
      <c r="A105" s="521"/>
      <c r="B105" s="516"/>
      <c r="C105" s="418"/>
    </row>
    <row r="106" spans="1:3" s="518" customFormat="1">
      <c r="A106" s="515" t="s">
        <v>700</v>
      </c>
      <c r="B106" s="516"/>
      <c r="C106" s="517"/>
    </row>
    <row r="107" spans="1:3" s="518" customFormat="1">
      <c r="A107" s="519" t="s">
        <v>671</v>
      </c>
      <c r="B107" s="516" t="s">
        <v>371</v>
      </c>
      <c r="C107" s="520">
        <f>SUM(C108)</f>
        <v>101766</v>
      </c>
    </row>
    <row r="108" spans="1:3" s="518" customFormat="1" ht="30">
      <c r="A108" s="519" t="s">
        <v>677</v>
      </c>
      <c r="B108" s="516" t="s">
        <v>642</v>
      </c>
      <c r="C108" s="520">
        <v>101766</v>
      </c>
    </row>
    <row r="109" spans="1:3" s="518" customFormat="1">
      <c r="A109" s="519" t="s">
        <v>699</v>
      </c>
      <c r="B109" s="516" t="s">
        <v>644</v>
      </c>
      <c r="C109" s="520">
        <v>820</v>
      </c>
    </row>
    <row r="110" spans="1:3" s="518" customFormat="1">
      <c r="A110" s="521" t="s">
        <v>678</v>
      </c>
      <c r="B110" s="516"/>
      <c r="C110" s="418">
        <f>SUM(C107,C109)</f>
        <v>102586</v>
      </c>
    </row>
    <row r="111" spans="1:3" s="518" customFormat="1">
      <c r="A111" s="521" t="s">
        <v>679</v>
      </c>
      <c r="B111" s="516"/>
      <c r="C111" s="418">
        <f>SUM(C110)</f>
        <v>102586</v>
      </c>
    </row>
    <row r="112" spans="1:3" s="518" customFormat="1">
      <c r="A112" s="521"/>
      <c r="B112" s="516"/>
      <c r="C112" s="418"/>
    </row>
    <row r="113" spans="1:3" s="518" customFormat="1">
      <c r="A113" s="515" t="s">
        <v>1055</v>
      </c>
      <c r="B113" s="516"/>
      <c r="C113" s="517"/>
    </row>
    <row r="114" spans="1:3" s="518" customFormat="1">
      <c r="A114" s="519" t="s">
        <v>671</v>
      </c>
      <c r="B114" s="516" t="s">
        <v>371</v>
      </c>
      <c r="C114" s="520">
        <f>SUM(C115)</f>
        <v>23064</v>
      </c>
    </row>
    <row r="115" spans="1:3" s="518" customFormat="1" ht="30">
      <c r="A115" s="519" t="s">
        <v>677</v>
      </c>
      <c r="B115" s="516" t="s">
        <v>642</v>
      </c>
      <c r="C115" s="520">
        <v>23064</v>
      </c>
    </row>
    <row r="116" spans="1:3" s="518" customFormat="1">
      <c r="A116" s="519" t="s">
        <v>699</v>
      </c>
      <c r="B116" s="516" t="s">
        <v>644</v>
      </c>
      <c r="C116" s="520">
        <v>7566</v>
      </c>
    </row>
    <row r="117" spans="1:3" s="518" customFormat="1">
      <c r="A117" s="521" t="s">
        <v>678</v>
      </c>
      <c r="B117" s="516"/>
      <c r="C117" s="418">
        <f>SUM(C114,C116)</f>
        <v>30630</v>
      </c>
    </row>
    <row r="118" spans="1:3" s="518" customFormat="1">
      <c r="A118" s="521" t="s">
        <v>679</v>
      </c>
      <c r="B118" s="516"/>
      <c r="C118" s="418">
        <f>SUM(C117)</f>
        <v>30630</v>
      </c>
    </row>
    <row r="119" spans="1:3" s="518" customFormat="1">
      <c r="A119" s="521"/>
      <c r="B119" s="516"/>
      <c r="C119" s="418"/>
    </row>
    <row r="120" spans="1:3" s="518" customFormat="1">
      <c r="A120" s="515" t="s">
        <v>702</v>
      </c>
      <c r="B120" s="516"/>
      <c r="C120" s="517"/>
    </row>
    <row r="121" spans="1:3" s="518" customFormat="1">
      <c r="A121" s="519" t="s">
        <v>671</v>
      </c>
      <c r="B121" s="516" t="s">
        <v>371</v>
      </c>
      <c r="C121" s="520">
        <f>SUM(C122)</f>
        <v>335843</v>
      </c>
    </row>
    <row r="122" spans="1:3" s="518" customFormat="1" ht="30">
      <c r="A122" s="519" t="s">
        <v>677</v>
      </c>
      <c r="B122" s="516" t="s">
        <v>642</v>
      </c>
      <c r="C122" s="520">
        <v>335843</v>
      </c>
    </row>
    <row r="123" spans="1:3" s="518" customFormat="1">
      <c r="A123" s="521" t="s">
        <v>678</v>
      </c>
      <c r="B123" s="516"/>
      <c r="C123" s="418">
        <f>SUM(C121)</f>
        <v>335843</v>
      </c>
    </row>
    <row r="124" spans="1:3" s="518" customFormat="1">
      <c r="A124" s="521" t="s">
        <v>679</v>
      </c>
      <c r="B124" s="516"/>
      <c r="C124" s="418">
        <f>SUM(C123)</f>
        <v>335843</v>
      </c>
    </row>
    <row r="125" spans="1:3" s="518" customFormat="1">
      <c r="A125" s="521"/>
      <c r="B125" s="516"/>
      <c r="C125" s="418"/>
    </row>
    <row r="126" spans="1:3" s="518" customFormat="1">
      <c r="A126" s="515" t="s">
        <v>703</v>
      </c>
      <c r="B126" s="516"/>
      <c r="C126" s="517"/>
    </row>
    <row r="127" spans="1:3" s="518" customFormat="1">
      <c r="A127" s="521"/>
      <c r="B127" s="516"/>
      <c r="C127" s="418"/>
    </row>
    <row r="128" spans="1:3" s="518" customFormat="1">
      <c r="A128" s="519" t="s">
        <v>671</v>
      </c>
      <c r="B128" s="516" t="s">
        <v>371</v>
      </c>
      <c r="C128" s="520">
        <f>SUM(C129)</f>
        <v>13682</v>
      </c>
    </row>
    <row r="129" spans="1:3" s="518" customFormat="1" ht="30">
      <c r="A129" s="519" t="s">
        <v>677</v>
      </c>
      <c r="B129" s="516" t="s">
        <v>642</v>
      </c>
      <c r="C129" s="520">
        <v>13682</v>
      </c>
    </row>
    <row r="130" spans="1:3" s="518" customFormat="1">
      <c r="A130" s="521" t="s">
        <v>678</v>
      </c>
      <c r="B130" s="516"/>
      <c r="C130" s="418">
        <f>SUM(C128)</f>
        <v>13682</v>
      </c>
    </row>
    <row r="131" spans="1:3" s="518" customFormat="1">
      <c r="A131" s="521" t="s">
        <v>679</v>
      </c>
      <c r="B131" s="516"/>
      <c r="C131" s="418">
        <f>SUM(C130)</f>
        <v>13682</v>
      </c>
    </row>
    <row r="132" spans="1:3" s="518" customFormat="1">
      <c r="A132" s="515" t="s">
        <v>704</v>
      </c>
      <c r="B132" s="516"/>
      <c r="C132" s="517"/>
    </row>
    <row r="133" spans="1:3" s="518" customFormat="1">
      <c r="A133" s="519" t="s">
        <v>671</v>
      </c>
      <c r="B133" s="516" t="s">
        <v>371</v>
      </c>
      <c r="C133" s="520">
        <f>SUM(C134)</f>
        <v>84512</v>
      </c>
    </row>
    <row r="134" spans="1:3" s="518" customFormat="1" ht="30">
      <c r="A134" s="519" t="s">
        <v>677</v>
      </c>
      <c r="B134" s="516" t="s">
        <v>642</v>
      </c>
      <c r="C134" s="520">
        <v>84512</v>
      </c>
    </row>
    <row r="135" spans="1:3" s="518" customFormat="1">
      <c r="A135" s="521" t="s">
        <v>678</v>
      </c>
      <c r="B135" s="516"/>
      <c r="C135" s="418">
        <f>SUM(C133)</f>
        <v>84512</v>
      </c>
    </row>
    <row r="136" spans="1:3" s="518" customFormat="1">
      <c r="A136" s="521" t="s">
        <v>679</v>
      </c>
      <c r="B136" s="516"/>
      <c r="C136" s="418">
        <f>SUM(C135)</f>
        <v>84512</v>
      </c>
    </row>
    <row r="137" spans="1:3" s="518" customFormat="1">
      <c r="A137" s="515" t="s">
        <v>967</v>
      </c>
      <c r="B137" s="516"/>
      <c r="C137" s="517"/>
    </row>
    <row r="138" spans="1:3" s="518" customFormat="1">
      <c r="A138" s="519" t="s">
        <v>671</v>
      </c>
      <c r="B138" s="516" t="s">
        <v>371</v>
      </c>
      <c r="C138" s="520">
        <f>SUM(C139)</f>
        <v>57100</v>
      </c>
    </row>
    <row r="139" spans="1:3" s="518" customFormat="1" ht="30">
      <c r="A139" s="519" t="s">
        <v>677</v>
      </c>
      <c r="B139" s="516" t="s">
        <v>642</v>
      </c>
      <c r="C139" s="520">
        <v>57100</v>
      </c>
    </row>
    <row r="140" spans="1:3" s="518" customFormat="1">
      <c r="A140" s="521" t="s">
        <v>678</v>
      </c>
      <c r="B140" s="516"/>
      <c r="C140" s="418">
        <f>SUM(C138)</f>
        <v>57100</v>
      </c>
    </row>
    <row r="141" spans="1:3" s="518" customFormat="1">
      <c r="A141" s="521" t="s">
        <v>679</v>
      </c>
      <c r="B141" s="516"/>
      <c r="C141" s="418">
        <f>SUM(C140)</f>
        <v>57100</v>
      </c>
    </row>
    <row r="142" spans="1:3" s="518" customFormat="1">
      <c r="A142" s="515"/>
      <c r="B142" s="516"/>
      <c r="C142" s="517"/>
    </row>
    <row r="143" spans="1:3" s="518" customFormat="1">
      <c r="A143" s="521" t="s">
        <v>695</v>
      </c>
      <c r="B143" s="516"/>
      <c r="C143" s="418">
        <f>SUM(C84,C92,C104,C111,C118,C124,C131,C136,C141)</f>
        <v>3239501</v>
      </c>
    </row>
    <row r="144" spans="1:3" s="518" customFormat="1">
      <c r="A144" s="515"/>
      <c r="B144" s="516"/>
      <c r="C144" s="517"/>
    </row>
    <row r="145" spans="1:3" s="518" customFormat="1">
      <c r="A145" s="515" t="s">
        <v>1056</v>
      </c>
      <c r="B145" s="516"/>
      <c r="C145" s="517"/>
    </row>
    <row r="146" spans="1:3" s="518" customFormat="1">
      <c r="A146" s="515" t="s">
        <v>876</v>
      </c>
      <c r="B146" s="516"/>
      <c r="C146" s="517"/>
    </row>
    <row r="147" spans="1:3" s="518" customFormat="1">
      <c r="A147" s="515" t="s">
        <v>705</v>
      </c>
      <c r="B147" s="516"/>
      <c r="C147" s="517"/>
    </row>
    <row r="148" spans="1:3" s="518" customFormat="1">
      <c r="A148" s="521"/>
      <c r="B148" s="516"/>
      <c r="C148" s="418"/>
    </row>
    <row r="149" spans="1:3" s="518" customFormat="1" ht="30">
      <c r="A149" s="519" t="s">
        <v>3</v>
      </c>
      <c r="B149" s="516" t="s">
        <v>345</v>
      </c>
      <c r="C149" s="520">
        <f>SUM(C150)</f>
        <v>107176</v>
      </c>
    </row>
    <row r="150" spans="1:3" s="518" customFormat="1" ht="30">
      <c r="A150" s="519" t="s">
        <v>706</v>
      </c>
      <c r="B150" s="516" t="s">
        <v>707</v>
      </c>
      <c r="C150" s="520">
        <v>107176</v>
      </c>
    </row>
    <row r="151" spans="1:3" s="518" customFormat="1">
      <c r="A151" s="519" t="s">
        <v>668</v>
      </c>
      <c r="B151" s="516" t="s">
        <v>351</v>
      </c>
      <c r="C151" s="520">
        <f>SUM(C152:C154)</f>
        <v>293613</v>
      </c>
    </row>
    <row r="152" spans="1:3" s="518" customFormat="1" ht="30">
      <c r="A152" s="416">
        <v>205</v>
      </c>
      <c r="B152" s="516" t="s">
        <v>1063</v>
      </c>
      <c r="C152" s="520">
        <v>26478</v>
      </c>
    </row>
    <row r="153" spans="1:3" s="518" customFormat="1">
      <c r="A153" s="519" t="s">
        <v>708</v>
      </c>
      <c r="B153" s="516" t="s">
        <v>709</v>
      </c>
      <c r="C153" s="520">
        <v>267135</v>
      </c>
    </row>
    <row r="154" spans="1:3" s="518" customFormat="1">
      <c r="A154" s="519" t="s">
        <v>710</v>
      </c>
      <c r="B154" s="516" t="s">
        <v>711</v>
      </c>
      <c r="C154" s="520"/>
    </row>
    <row r="155" spans="1:3" s="518" customFormat="1">
      <c r="A155" s="519" t="s">
        <v>712</v>
      </c>
      <c r="B155" s="516" t="s">
        <v>361</v>
      </c>
      <c r="C155" s="520">
        <f>SUM(C156:C158)</f>
        <v>17757</v>
      </c>
    </row>
    <row r="156" spans="1:3" s="518" customFormat="1" ht="30">
      <c r="A156" s="519" t="s">
        <v>713</v>
      </c>
      <c r="B156" s="516" t="s">
        <v>714</v>
      </c>
      <c r="C156" s="520">
        <v>5671</v>
      </c>
    </row>
    <row r="157" spans="1:3" s="518" customFormat="1">
      <c r="A157" s="519" t="s">
        <v>715</v>
      </c>
      <c r="B157" s="516" t="s">
        <v>716</v>
      </c>
      <c r="C157" s="520">
        <v>1302</v>
      </c>
    </row>
    <row r="158" spans="1:3" s="518" customFormat="1" ht="30">
      <c r="A158" s="519" t="s">
        <v>717</v>
      </c>
      <c r="B158" s="516" t="s">
        <v>718</v>
      </c>
      <c r="C158" s="520">
        <v>10784</v>
      </c>
    </row>
    <row r="159" spans="1:3" s="518" customFormat="1">
      <c r="A159" s="519" t="s">
        <v>671</v>
      </c>
      <c r="B159" s="516" t="s">
        <v>371</v>
      </c>
      <c r="C159" s="520">
        <f>SUM(C160:C161)</f>
        <v>1255877</v>
      </c>
    </row>
    <row r="160" spans="1:3" s="518" customFormat="1">
      <c r="A160" s="519" t="s">
        <v>723</v>
      </c>
      <c r="B160" s="516" t="s">
        <v>724</v>
      </c>
      <c r="C160" s="520">
        <v>30447</v>
      </c>
    </row>
    <row r="161" spans="1:3" s="518" customFormat="1">
      <c r="A161" s="519" t="s">
        <v>684</v>
      </c>
      <c r="B161" s="516" t="s">
        <v>685</v>
      </c>
      <c r="C161" s="520">
        <v>1225430</v>
      </c>
    </row>
    <row r="162" spans="1:3" s="518" customFormat="1">
      <c r="A162" s="521" t="s">
        <v>678</v>
      </c>
      <c r="B162" s="516"/>
      <c r="C162" s="418">
        <f>SUM(C149,C151,C155,C159)</f>
        <v>1674423</v>
      </c>
    </row>
    <row r="163" spans="1:3" s="518" customFormat="1">
      <c r="A163" s="521"/>
      <c r="B163" s="516"/>
      <c r="C163" s="418"/>
    </row>
    <row r="164" spans="1:3" s="518" customFormat="1">
      <c r="A164" s="519" t="s">
        <v>688</v>
      </c>
      <c r="B164" s="516" t="s">
        <v>647</v>
      </c>
      <c r="C164" s="520">
        <v>122481</v>
      </c>
    </row>
    <row r="165" spans="1:3" s="518" customFormat="1">
      <c r="A165" s="519" t="s">
        <v>689</v>
      </c>
      <c r="B165" s="516" t="s">
        <v>648</v>
      </c>
      <c r="C165" s="520">
        <f>SUM(C166:C168)</f>
        <v>32186</v>
      </c>
    </row>
    <row r="166" spans="1:3" s="518" customFormat="1">
      <c r="A166" s="519" t="s">
        <v>721</v>
      </c>
      <c r="B166" s="516" t="s">
        <v>240</v>
      </c>
      <c r="C166" s="520">
        <v>74</v>
      </c>
    </row>
    <row r="167" spans="1:3" s="518" customFormat="1">
      <c r="A167" s="519" t="s">
        <v>719</v>
      </c>
      <c r="B167" s="516" t="s">
        <v>245</v>
      </c>
      <c r="C167" s="520">
        <v>1940</v>
      </c>
    </row>
    <row r="168" spans="1:3" s="518" customFormat="1">
      <c r="A168" s="416">
        <v>5205</v>
      </c>
      <c r="B168" s="516" t="s">
        <v>941</v>
      </c>
      <c r="C168" s="520">
        <v>30172</v>
      </c>
    </row>
    <row r="169" spans="1:3" s="518" customFormat="1">
      <c r="A169" s="521" t="s">
        <v>691</v>
      </c>
      <c r="B169" s="516"/>
      <c r="C169" s="418">
        <f>SUM(C164,C165)</f>
        <v>154667</v>
      </c>
    </row>
    <row r="170" spans="1:3" s="518" customFormat="1">
      <c r="A170" s="521" t="s">
        <v>679</v>
      </c>
      <c r="B170" s="516"/>
      <c r="C170" s="418">
        <f>SUM(C162,C169)</f>
        <v>1829090</v>
      </c>
    </row>
    <row r="171" spans="1:3" s="518" customFormat="1">
      <c r="A171" s="521"/>
      <c r="B171" s="516"/>
      <c r="C171" s="418"/>
    </row>
    <row r="172" spans="1:3" s="518" customFormat="1">
      <c r="A172" s="515" t="s">
        <v>720</v>
      </c>
      <c r="B172" s="516"/>
      <c r="C172" s="517"/>
    </row>
    <row r="173" spans="1:3" s="518" customFormat="1" ht="30">
      <c r="A173" s="519" t="s">
        <v>3</v>
      </c>
      <c r="B173" s="516" t="s">
        <v>345</v>
      </c>
      <c r="C173" s="520">
        <f>SUM(C174)</f>
        <v>55061</v>
      </c>
    </row>
    <row r="174" spans="1:3" s="518" customFormat="1" ht="30">
      <c r="A174" s="519" t="s">
        <v>706</v>
      </c>
      <c r="B174" s="516" t="s">
        <v>707</v>
      </c>
      <c r="C174" s="520">
        <v>55061</v>
      </c>
    </row>
    <row r="175" spans="1:3" s="518" customFormat="1">
      <c r="A175" s="519" t="s">
        <v>668</v>
      </c>
      <c r="B175" s="516" t="s">
        <v>351</v>
      </c>
      <c r="C175" s="520">
        <f>SUM(C176:C177)</f>
        <v>10476</v>
      </c>
    </row>
    <row r="176" spans="1:3" s="518" customFormat="1" ht="30">
      <c r="A176" s="416">
        <v>205</v>
      </c>
      <c r="B176" s="516" t="s">
        <v>1063</v>
      </c>
      <c r="C176" s="520">
        <v>5322</v>
      </c>
    </row>
    <row r="177" spans="1:3" s="518" customFormat="1">
      <c r="A177" s="519" t="s">
        <v>708</v>
      </c>
      <c r="B177" s="516" t="s">
        <v>709</v>
      </c>
      <c r="C177" s="520">
        <v>5154</v>
      </c>
    </row>
    <row r="178" spans="1:3" s="518" customFormat="1">
      <c r="A178" s="519" t="s">
        <v>712</v>
      </c>
      <c r="B178" s="516" t="s">
        <v>361</v>
      </c>
      <c r="C178" s="520">
        <f>SUM(C179:C181)</f>
        <v>7055</v>
      </c>
    </row>
    <row r="179" spans="1:3" s="518" customFormat="1" ht="30">
      <c r="A179" s="519" t="s">
        <v>713</v>
      </c>
      <c r="B179" s="516" t="s">
        <v>714</v>
      </c>
      <c r="C179" s="520">
        <v>5406</v>
      </c>
    </row>
    <row r="180" spans="1:3" s="518" customFormat="1">
      <c r="A180" s="519" t="s">
        <v>715</v>
      </c>
      <c r="B180" s="516" t="s">
        <v>716</v>
      </c>
      <c r="C180" s="520">
        <v>1649</v>
      </c>
    </row>
    <row r="181" spans="1:3" s="518" customFormat="1" ht="30">
      <c r="A181" s="519" t="s">
        <v>717</v>
      </c>
      <c r="B181" s="516" t="s">
        <v>718</v>
      </c>
      <c r="C181" s="520"/>
    </row>
    <row r="182" spans="1:3" s="518" customFormat="1">
      <c r="A182" s="519" t="s">
        <v>671</v>
      </c>
      <c r="B182" s="516" t="s">
        <v>371</v>
      </c>
      <c r="C182" s="520">
        <f>SUM(C183:C187)</f>
        <v>64550</v>
      </c>
    </row>
    <row r="183" spans="1:3" s="518" customFormat="1">
      <c r="A183" s="519" t="s">
        <v>723</v>
      </c>
      <c r="B183" s="516" t="s">
        <v>724</v>
      </c>
      <c r="C183" s="520">
        <v>12797</v>
      </c>
    </row>
    <row r="184" spans="1:3" s="518" customFormat="1">
      <c r="A184" s="519" t="s">
        <v>672</v>
      </c>
      <c r="B184" s="516" t="s">
        <v>638</v>
      </c>
      <c r="C184" s="520">
        <v>579</v>
      </c>
    </row>
    <row r="185" spans="1:3" s="518" customFormat="1">
      <c r="A185" s="519" t="s">
        <v>684</v>
      </c>
      <c r="B185" s="516" t="s">
        <v>685</v>
      </c>
      <c r="C185" s="520">
        <v>50974</v>
      </c>
    </row>
    <row r="186" spans="1:3" s="518" customFormat="1">
      <c r="A186" s="519" t="s">
        <v>673</v>
      </c>
      <c r="B186" s="516" t="s">
        <v>674</v>
      </c>
      <c r="C186" s="520">
        <v>200</v>
      </c>
    </row>
    <row r="187" spans="1:3" s="518" customFormat="1" ht="30">
      <c r="A187" s="519" t="s">
        <v>675</v>
      </c>
      <c r="B187" s="516" t="s">
        <v>676</v>
      </c>
      <c r="C187" s="520"/>
    </row>
    <row r="188" spans="1:3" s="518" customFormat="1">
      <c r="A188" s="521" t="s">
        <v>678</v>
      </c>
      <c r="B188" s="516"/>
      <c r="C188" s="418">
        <f>SUM(C173,C175,C178,C182)</f>
        <v>137142</v>
      </c>
    </row>
    <row r="189" spans="1:3" s="518" customFormat="1">
      <c r="A189" s="521"/>
      <c r="B189" s="516"/>
      <c r="C189" s="418"/>
    </row>
    <row r="190" spans="1:3" s="518" customFormat="1">
      <c r="A190" s="519" t="s">
        <v>689</v>
      </c>
      <c r="B190" s="516" t="s">
        <v>648</v>
      </c>
      <c r="C190" s="520">
        <f>SUM(C191)</f>
        <v>180</v>
      </c>
    </row>
    <row r="191" spans="1:3" s="518" customFormat="1">
      <c r="A191" s="519" t="s">
        <v>721</v>
      </c>
      <c r="B191" s="516" t="s">
        <v>240</v>
      </c>
      <c r="C191" s="520">
        <v>180</v>
      </c>
    </row>
    <row r="192" spans="1:3" s="518" customFormat="1">
      <c r="A192" s="521" t="s">
        <v>691</v>
      </c>
      <c r="B192" s="516"/>
      <c r="C192" s="418">
        <f>SUM(C190)</f>
        <v>180</v>
      </c>
    </row>
    <row r="193" spans="1:3" s="518" customFormat="1">
      <c r="A193" s="521" t="s">
        <v>679</v>
      </c>
      <c r="B193" s="516"/>
      <c r="C193" s="418">
        <f>SUM(C192,C188)</f>
        <v>137322</v>
      </c>
    </row>
    <row r="194" spans="1:3" s="518" customFormat="1">
      <c r="A194" s="521"/>
      <c r="B194" s="516"/>
      <c r="C194" s="418"/>
    </row>
    <row r="195" spans="1:3" s="518" customFormat="1">
      <c r="A195" s="515" t="s">
        <v>722</v>
      </c>
      <c r="B195" s="516"/>
      <c r="C195" s="517"/>
    </row>
    <row r="196" spans="1:3" s="518" customFormat="1" ht="30">
      <c r="A196" s="524" t="s">
        <v>3</v>
      </c>
      <c r="B196" s="516" t="s">
        <v>345</v>
      </c>
      <c r="C196" s="525">
        <f>SUM(C197)</f>
        <v>77629</v>
      </c>
    </row>
    <row r="197" spans="1:3" s="518" customFormat="1" ht="30">
      <c r="A197" s="524" t="s">
        <v>706</v>
      </c>
      <c r="B197" s="516" t="s">
        <v>707</v>
      </c>
      <c r="C197" s="525">
        <v>77629</v>
      </c>
    </row>
    <row r="198" spans="1:3" s="518" customFormat="1">
      <c r="A198" s="524" t="s">
        <v>668</v>
      </c>
      <c r="B198" s="516" t="s">
        <v>351</v>
      </c>
      <c r="C198" s="525">
        <f>SUM(C199)</f>
        <v>2371</v>
      </c>
    </row>
    <row r="199" spans="1:3" s="518" customFormat="1" ht="30">
      <c r="A199" s="524" t="s">
        <v>1062</v>
      </c>
      <c r="B199" s="516" t="s">
        <v>1063</v>
      </c>
      <c r="C199" s="525">
        <v>2371</v>
      </c>
    </row>
    <row r="200" spans="1:3" s="518" customFormat="1">
      <c r="A200" s="524" t="s">
        <v>712</v>
      </c>
      <c r="B200" s="516" t="s">
        <v>361</v>
      </c>
      <c r="C200" s="525">
        <f>SUM(C201:C203)</f>
        <v>14915</v>
      </c>
    </row>
    <row r="201" spans="1:3" s="518" customFormat="1" ht="30">
      <c r="A201" s="524" t="s">
        <v>713</v>
      </c>
      <c r="B201" s="516" t="s">
        <v>714</v>
      </c>
      <c r="C201" s="525">
        <v>9234</v>
      </c>
    </row>
    <row r="202" spans="1:3" s="518" customFormat="1">
      <c r="A202" s="524" t="s">
        <v>715</v>
      </c>
      <c r="B202" s="516" t="s">
        <v>716</v>
      </c>
      <c r="C202" s="525">
        <v>3462</v>
      </c>
    </row>
    <row r="203" spans="1:3" s="518" customFormat="1" ht="30">
      <c r="A203" s="524" t="s">
        <v>717</v>
      </c>
      <c r="B203" s="516" t="s">
        <v>718</v>
      </c>
      <c r="C203" s="525">
        <v>2219</v>
      </c>
    </row>
    <row r="204" spans="1:3" s="518" customFormat="1">
      <c r="A204" s="524" t="s">
        <v>671</v>
      </c>
      <c r="B204" s="516" t="s">
        <v>371</v>
      </c>
      <c r="C204" s="525">
        <f>SUM(C205:C211)</f>
        <v>21381</v>
      </c>
    </row>
    <row r="205" spans="1:3" s="518" customFormat="1">
      <c r="A205" s="524" t="s">
        <v>723</v>
      </c>
      <c r="B205" s="516" t="s">
        <v>724</v>
      </c>
      <c r="C205" s="525">
        <v>880</v>
      </c>
    </row>
    <row r="206" spans="1:3" s="518" customFormat="1">
      <c r="A206" s="524" t="s">
        <v>672</v>
      </c>
      <c r="B206" s="516" t="s">
        <v>638</v>
      </c>
      <c r="C206" s="525">
        <v>3209</v>
      </c>
    </row>
    <row r="207" spans="1:3" s="518" customFormat="1">
      <c r="A207" s="524" t="s">
        <v>725</v>
      </c>
      <c r="B207" s="516" t="s">
        <v>639</v>
      </c>
      <c r="C207" s="525">
        <v>1904</v>
      </c>
    </row>
    <row r="208" spans="1:3" s="518" customFormat="1">
      <c r="A208" s="524" t="s">
        <v>684</v>
      </c>
      <c r="B208" s="516" t="s">
        <v>685</v>
      </c>
      <c r="C208" s="525">
        <v>3152</v>
      </c>
    </row>
    <row r="209" spans="1:3" s="518" customFormat="1">
      <c r="A209" s="524" t="s">
        <v>673</v>
      </c>
      <c r="B209" s="516" t="s">
        <v>674</v>
      </c>
      <c r="C209" s="525">
        <v>37</v>
      </c>
    </row>
    <row r="210" spans="1:3" s="518" customFormat="1" ht="30">
      <c r="A210" s="524" t="s">
        <v>675</v>
      </c>
      <c r="B210" s="516" t="s">
        <v>676</v>
      </c>
      <c r="C210" s="525"/>
    </row>
    <row r="211" spans="1:3" s="518" customFormat="1" ht="30">
      <c r="A211" s="524" t="s">
        <v>677</v>
      </c>
      <c r="B211" s="516" t="s">
        <v>642</v>
      </c>
      <c r="C211" s="525">
        <v>12199</v>
      </c>
    </row>
    <row r="212" spans="1:3" s="518" customFormat="1">
      <c r="A212" s="521" t="s">
        <v>678</v>
      </c>
      <c r="B212" s="516"/>
      <c r="C212" s="418">
        <f>SUM(C196,C198,C200,C204)</f>
        <v>116296</v>
      </c>
    </row>
    <row r="213" spans="1:3" s="518" customFormat="1">
      <c r="A213" s="521"/>
      <c r="B213" s="516"/>
      <c r="C213" s="418"/>
    </row>
    <row r="214" spans="1:3" s="518" customFormat="1">
      <c r="A214" s="519" t="s">
        <v>688</v>
      </c>
      <c r="B214" s="516" t="s">
        <v>647</v>
      </c>
      <c r="C214" s="520">
        <v>80000</v>
      </c>
    </row>
    <row r="215" spans="1:3" s="518" customFormat="1">
      <c r="A215" s="521" t="s">
        <v>691</v>
      </c>
      <c r="B215" s="516"/>
      <c r="C215" s="418">
        <f>SUM(C214)</f>
        <v>80000</v>
      </c>
    </row>
    <row r="216" spans="1:3" s="518" customFormat="1">
      <c r="A216" s="521" t="s">
        <v>679</v>
      </c>
      <c r="B216" s="516"/>
      <c r="C216" s="418">
        <f>SUM(C212,C215)</f>
        <v>196296</v>
      </c>
    </row>
    <row r="217" spans="1:3" s="518" customFormat="1">
      <c r="A217" s="515"/>
      <c r="B217" s="516"/>
      <c r="C217" s="517"/>
    </row>
    <row r="218" spans="1:3" s="518" customFormat="1">
      <c r="A218" s="521" t="s">
        <v>695</v>
      </c>
      <c r="B218" s="516"/>
      <c r="C218" s="418">
        <f>SUM(C170,C193,C216)</f>
        <v>2162708</v>
      </c>
    </row>
    <row r="219" spans="1:3" s="518" customFormat="1">
      <c r="A219" s="515"/>
      <c r="B219" s="516"/>
      <c r="C219" s="517"/>
    </row>
    <row r="220" spans="1:3" s="518" customFormat="1">
      <c r="A220" s="515" t="s">
        <v>726</v>
      </c>
      <c r="B220" s="516"/>
      <c r="C220" s="517"/>
    </row>
    <row r="221" spans="1:3" s="518" customFormat="1">
      <c r="A221" s="515" t="s">
        <v>1057</v>
      </c>
      <c r="B221" s="516"/>
      <c r="C221" s="517"/>
    </row>
    <row r="222" spans="1:3" s="518" customFormat="1">
      <c r="A222" s="515" t="s">
        <v>985</v>
      </c>
      <c r="B222" s="516"/>
      <c r="C222" s="517"/>
    </row>
    <row r="223" spans="1:3" s="518" customFormat="1">
      <c r="A223" s="521"/>
      <c r="B223" s="516"/>
      <c r="C223" s="418"/>
    </row>
    <row r="224" spans="1:3" s="518" customFormat="1">
      <c r="A224" s="519" t="s">
        <v>671</v>
      </c>
      <c r="B224" s="516" t="s">
        <v>371</v>
      </c>
      <c r="C224" s="520">
        <f>SUM(C225:C226)</f>
        <v>70134</v>
      </c>
    </row>
    <row r="225" spans="1:3" s="518" customFormat="1">
      <c r="A225" s="519" t="s">
        <v>684</v>
      </c>
      <c r="B225" s="516" t="s">
        <v>685</v>
      </c>
      <c r="C225" s="520">
        <v>39564</v>
      </c>
    </row>
    <row r="226" spans="1:3" s="518" customFormat="1" ht="30">
      <c r="A226" s="524" t="s">
        <v>677</v>
      </c>
      <c r="B226" s="516" t="s">
        <v>642</v>
      </c>
      <c r="C226" s="525">
        <v>30570</v>
      </c>
    </row>
    <row r="227" spans="1:3" s="518" customFormat="1">
      <c r="A227" s="521" t="s">
        <v>678</v>
      </c>
      <c r="B227" s="516"/>
      <c r="C227" s="418">
        <f>SUM(C224)</f>
        <v>70134</v>
      </c>
    </row>
    <row r="228" spans="1:3" s="518" customFormat="1">
      <c r="A228" s="521" t="s">
        <v>679</v>
      </c>
      <c r="B228" s="516"/>
      <c r="C228" s="418">
        <f>SUM(C227)</f>
        <v>70134</v>
      </c>
    </row>
    <row r="229" spans="1:3" s="518" customFormat="1">
      <c r="A229" s="521"/>
      <c r="B229" s="516"/>
      <c r="C229" s="418"/>
    </row>
    <row r="230" spans="1:3" s="518" customFormat="1">
      <c r="A230" s="515" t="s">
        <v>727</v>
      </c>
      <c r="B230" s="516"/>
      <c r="C230" s="517"/>
    </row>
    <row r="231" spans="1:3" s="518" customFormat="1" ht="30">
      <c r="A231" s="524" t="s">
        <v>3</v>
      </c>
      <c r="B231" s="516" t="s">
        <v>345</v>
      </c>
      <c r="C231" s="525">
        <f>SUM(C232)</f>
        <v>58378</v>
      </c>
    </row>
    <row r="232" spans="1:3" s="518" customFormat="1" ht="30">
      <c r="A232" s="524" t="s">
        <v>706</v>
      </c>
      <c r="B232" s="516" t="s">
        <v>707</v>
      </c>
      <c r="C232" s="525">
        <v>58378</v>
      </c>
    </row>
    <row r="233" spans="1:3" s="518" customFormat="1">
      <c r="A233" s="524" t="s">
        <v>668</v>
      </c>
      <c r="B233" s="516" t="s">
        <v>351</v>
      </c>
      <c r="C233" s="525">
        <f>SUM(C234:C235)</f>
        <v>5041</v>
      </c>
    </row>
    <row r="234" spans="1:3" s="518" customFormat="1" ht="30">
      <c r="A234" s="417">
        <v>202</v>
      </c>
      <c r="B234" s="516" t="s">
        <v>1303</v>
      </c>
      <c r="C234" s="525">
        <v>870</v>
      </c>
    </row>
    <row r="235" spans="1:3" s="518" customFormat="1" ht="30">
      <c r="A235" s="524" t="s">
        <v>1062</v>
      </c>
      <c r="B235" s="516" t="s">
        <v>1063</v>
      </c>
      <c r="C235" s="525">
        <v>4171</v>
      </c>
    </row>
    <row r="236" spans="1:3" s="518" customFormat="1">
      <c r="A236" s="524" t="s">
        <v>712</v>
      </c>
      <c r="B236" s="516" t="s">
        <v>361</v>
      </c>
      <c r="C236" s="525">
        <f>SUM(C237:C239)</f>
        <v>11055</v>
      </c>
    </row>
    <row r="237" spans="1:3" s="518" customFormat="1" ht="30">
      <c r="A237" s="524" t="s">
        <v>713</v>
      </c>
      <c r="B237" s="516" t="s">
        <v>714</v>
      </c>
      <c r="C237" s="525">
        <v>6668</v>
      </c>
    </row>
    <row r="238" spans="1:3" s="518" customFormat="1">
      <c r="A238" s="524" t="s">
        <v>715</v>
      </c>
      <c r="B238" s="516" t="s">
        <v>716</v>
      </c>
      <c r="C238" s="525">
        <v>2097</v>
      </c>
    </row>
    <row r="239" spans="1:3" s="518" customFormat="1" ht="30">
      <c r="A239" s="524" t="s">
        <v>717</v>
      </c>
      <c r="B239" s="516" t="s">
        <v>718</v>
      </c>
      <c r="C239" s="525">
        <v>2290</v>
      </c>
    </row>
    <row r="240" spans="1:3" s="518" customFormat="1">
      <c r="A240" s="524" t="s">
        <v>671</v>
      </c>
      <c r="B240" s="516" t="s">
        <v>371</v>
      </c>
      <c r="C240" s="525">
        <f>SUM(C241:C249)</f>
        <v>124491</v>
      </c>
    </row>
    <row r="241" spans="1:3" s="518" customFormat="1">
      <c r="A241" s="417">
        <v>1011</v>
      </c>
      <c r="B241" s="516" t="s">
        <v>732</v>
      </c>
      <c r="C241" s="525">
        <v>61102</v>
      </c>
    </row>
    <row r="242" spans="1:3" s="518" customFormat="1">
      <c r="A242" s="524" t="s">
        <v>733</v>
      </c>
      <c r="B242" s="516" t="s">
        <v>734</v>
      </c>
      <c r="C242" s="525">
        <v>3782</v>
      </c>
    </row>
    <row r="243" spans="1:3" s="518" customFormat="1">
      <c r="A243" s="524" t="s">
        <v>723</v>
      </c>
      <c r="B243" s="516" t="s">
        <v>724</v>
      </c>
      <c r="C243" s="525">
        <v>6005</v>
      </c>
    </row>
    <row r="244" spans="1:3" s="518" customFormat="1" ht="30">
      <c r="A244" s="524" t="s">
        <v>964</v>
      </c>
      <c r="B244" s="516" t="s">
        <v>965</v>
      </c>
      <c r="C244" s="525">
        <v>111</v>
      </c>
    </row>
    <row r="245" spans="1:3" s="518" customFormat="1">
      <c r="A245" s="524" t="s">
        <v>672</v>
      </c>
      <c r="B245" s="516" t="s">
        <v>638</v>
      </c>
      <c r="C245" s="525">
        <v>7084</v>
      </c>
    </row>
    <row r="246" spans="1:3" s="518" customFormat="1">
      <c r="A246" s="417">
        <v>1016</v>
      </c>
      <c r="B246" s="516" t="s">
        <v>639</v>
      </c>
      <c r="C246" s="525">
        <v>27385</v>
      </c>
    </row>
    <row r="247" spans="1:3" s="518" customFormat="1">
      <c r="A247" s="524" t="s">
        <v>673</v>
      </c>
      <c r="B247" s="516" t="s">
        <v>674</v>
      </c>
      <c r="C247" s="525"/>
    </row>
    <row r="248" spans="1:3" s="518" customFormat="1">
      <c r="A248" s="524" t="s">
        <v>693</v>
      </c>
      <c r="B248" s="516" t="s">
        <v>694</v>
      </c>
      <c r="C248" s="525">
        <v>117</v>
      </c>
    </row>
    <row r="249" spans="1:3" s="518" customFormat="1" ht="30">
      <c r="A249" s="524" t="s">
        <v>677</v>
      </c>
      <c r="B249" s="516" t="s">
        <v>642</v>
      </c>
      <c r="C249" s="525">
        <v>18905</v>
      </c>
    </row>
    <row r="250" spans="1:3" s="518" customFormat="1">
      <c r="A250" s="524" t="s">
        <v>735</v>
      </c>
      <c r="B250" s="516" t="s">
        <v>248</v>
      </c>
      <c r="C250" s="525">
        <f>SUM(C251:C252)</f>
        <v>1271</v>
      </c>
    </row>
    <row r="251" spans="1:3" s="518" customFormat="1" ht="30">
      <c r="A251" s="524" t="s">
        <v>736</v>
      </c>
      <c r="B251" s="516" t="s">
        <v>242</v>
      </c>
      <c r="C251" s="525">
        <v>288</v>
      </c>
    </row>
    <row r="252" spans="1:3" s="518" customFormat="1" ht="30">
      <c r="A252" s="524" t="s">
        <v>750</v>
      </c>
      <c r="B252" s="516" t="s">
        <v>243</v>
      </c>
      <c r="C252" s="525">
        <v>983</v>
      </c>
    </row>
    <row r="253" spans="1:3" s="518" customFormat="1">
      <c r="A253" s="524" t="s">
        <v>728</v>
      </c>
      <c r="B253" s="516" t="s">
        <v>249</v>
      </c>
      <c r="C253" s="525">
        <f>SUM(C254)</f>
        <v>21176</v>
      </c>
    </row>
    <row r="254" spans="1:3" s="518" customFormat="1">
      <c r="A254" s="524" t="s">
        <v>729</v>
      </c>
      <c r="B254" s="516" t="s">
        <v>244</v>
      </c>
      <c r="C254" s="525">
        <v>21176</v>
      </c>
    </row>
    <row r="255" spans="1:3" s="518" customFormat="1">
      <c r="A255" s="521" t="s">
        <v>678</v>
      </c>
      <c r="B255" s="516"/>
      <c r="C255" s="418">
        <f>SUM(C231,C233,C236,C240,C253,C250)</f>
        <v>221412</v>
      </c>
    </row>
    <row r="256" spans="1:3" s="518" customFormat="1">
      <c r="A256" s="521" t="s">
        <v>679</v>
      </c>
      <c r="B256" s="516"/>
      <c r="C256" s="418">
        <f>SUM(C255)</f>
        <v>221412</v>
      </c>
    </row>
    <row r="257" spans="1:3" s="518" customFormat="1">
      <c r="A257" s="521"/>
      <c r="B257" s="516"/>
      <c r="C257" s="418"/>
    </row>
    <row r="258" spans="1:3" s="518" customFormat="1">
      <c r="A258" s="515" t="s">
        <v>730</v>
      </c>
      <c r="B258" s="516"/>
      <c r="C258" s="517"/>
    </row>
    <row r="259" spans="1:3" s="518" customFormat="1" ht="30">
      <c r="A259" s="519" t="s">
        <v>3</v>
      </c>
      <c r="B259" s="516" t="s">
        <v>345</v>
      </c>
      <c r="C259" s="520">
        <f>SUM(C260)</f>
        <v>19587</v>
      </c>
    </row>
    <row r="260" spans="1:3" s="518" customFormat="1" ht="30">
      <c r="A260" s="519" t="s">
        <v>706</v>
      </c>
      <c r="B260" s="516" t="s">
        <v>707</v>
      </c>
      <c r="C260" s="520">
        <v>19587</v>
      </c>
    </row>
    <row r="261" spans="1:3" s="518" customFormat="1">
      <c r="A261" s="519" t="s">
        <v>668</v>
      </c>
      <c r="B261" s="516" t="s">
        <v>351</v>
      </c>
      <c r="C261" s="520">
        <f>SUM(C262:C264)</f>
        <v>19191</v>
      </c>
    </row>
    <row r="262" spans="1:3" s="518" customFormat="1">
      <c r="A262" s="519" t="s">
        <v>669</v>
      </c>
      <c r="B262" s="516" t="s">
        <v>670</v>
      </c>
      <c r="C262" s="520">
        <v>3506</v>
      </c>
    </row>
    <row r="263" spans="1:3" s="518" customFormat="1" ht="30">
      <c r="A263" s="416">
        <v>205</v>
      </c>
      <c r="B263" s="516" t="s">
        <v>1063</v>
      </c>
      <c r="C263" s="520">
        <v>5263</v>
      </c>
    </row>
    <row r="264" spans="1:3" s="518" customFormat="1">
      <c r="A264" s="519" t="s">
        <v>708</v>
      </c>
      <c r="B264" s="516" t="s">
        <v>709</v>
      </c>
      <c r="C264" s="520">
        <v>10422</v>
      </c>
    </row>
    <row r="265" spans="1:3" s="518" customFormat="1">
      <c r="A265" s="519" t="s">
        <v>712</v>
      </c>
      <c r="B265" s="516" t="s">
        <v>361</v>
      </c>
      <c r="C265" s="520">
        <f>SUM(C266:C267)</f>
        <v>5278</v>
      </c>
    </row>
    <row r="266" spans="1:3" s="518" customFormat="1" ht="30">
      <c r="A266" s="524" t="s">
        <v>713</v>
      </c>
      <c r="B266" s="516" t="s">
        <v>714</v>
      </c>
      <c r="C266" s="525">
        <v>1028</v>
      </c>
    </row>
    <row r="267" spans="1:3" s="518" customFormat="1" ht="30">
      <c r="A267" s="519" t="s">
        <v>717</v>
      </c>
      <c r="B267" s="516" t="s">
        <v>718</v>
      </c>
      <c r="C267" s="520">
        <v>4250</v>
      </c>
    </row>
    <row r="268" spans="1:3" s="518" customFormat="1">
      <c r="A268" s="519" t="s">
        <v>671</v>
      </c>
      <c r="B268" s="516" t="s">
        <v>371</v>
      </c>
      <c r="C268" s="520">
        <f>SUM(C269:C278)</f>
        <v>406309</v>
      </c>
    </row>
    <row r="269" spans="1:3" s="518" customFormat="1">
      <c r="A269" s="519" t="s">
        <v>731</v>
      </c>
      <c r="B269" s="516" t="s">
        <v>732</v>
      </c>
      <c r="C269" s="520">
        <v>14280</v>
      </c>
    </row>
    <row r="270" spans="1:3" s="518" customFormat="1">
      <c r="A270" s="519" t="s">
        <v>733</v>
      </c>
      <c r="B270" s="516" t="s">
        <v>734</v>
      </c>
      <c r="C270" s="520">
        <v>607</v>
      </c>
    </row>
    <row r="271" spans="1:3" s="518" customFormat="1">
      <c r="A271" s="519" t="s">
        <v>723</v>
      </c>
      <c r="B271" s="516" t="s">
        <v>724</v>
      </c>
      <c r="C271" s="520">
        <v>17073</v>
      </c>
    </row>
    <row r="272" spans="1:3" s="518" customFormat="1" ht="30">
      <c r="A272" s="519" t="s">
        <v>964</v>
      </c>
      <c r="B272" s="516" t="s">
        <v>965</v>
      </c>
      <c r="C272" s="520">
        <v>2497</v>
      </c>
    </row>
    <row r="273" spans="1:3" s="518" customFormat="1">
      <c r="A273" s="519" t="s">
        <v>672</v>
      </c>
      <c r="B273" s="516" t="s">
        <v>638</v>
      </c>
      <c r="C273" s="520">
        <v>24819</v>
      </c>
    </row>
    <row r="274" spans="1:3" s="518" customFormat="1">
      <c r="A274" s="519" t="s">
        <v>725</v>
      </c>
      <c r="B274" s="516" t="s">
        <v>639</v>
      </c>
      <c r="C274" s="520">
        <v>8881</v>
      </c>
    </row>
    <row r="275" spans="1:3" s="518" customFormat="1">
      <c r="A275" s="519" t="s">
        <v>684</v>
      </c>
      <c r="B275" s="516" t="s">
        <v>685</v>
      </c>
      <c r="C275" s="520">
        <v>22185</v>
      </c>
    </row>
    <row r="276" spans="1:3" s="518" customFormat="1">
      <c r="A276" s="519" t="s">
        <v>686</v>
      </c>
      <c r="B276" s="516" t="s">
        <v>687</v>
      </c>
      <c r="C276" s="520">
        <v>7130</v>
      </c>
    </row>
    <row r="277" spans="1:3" s="518" customFormat="1">
      <c r="A277" s="519" t="s">
        <v>673</v>
      </c>
      <c r="B277" s="516" t="s">
        <v>674</v>
      </c>
      <c r="C277" s="520">
        <v>418</v>
      </c>
    </row>
    <row r="278" spans="1:3" s="518" customFormat="1" ht="30">
      <c r="A278" s="519" t="s">
        <v>677</v>
      </c>
      <c r="B278" s="516" t="s">
        <v>642</v>
      </c>
      <c r="C278" s="520">
        <f>280169+28250</f>
        <v>308419</v>
      </c>
    </row>
    <row r="279" spans="1:3" s="518" customFormat="1">
      <c r="A279" s="519" t="s">
        <v>735</v>
      </c>
      <c r="B279" s="516" t="s">
        <v>248</v>
      </c>
      <c r="C279" s="520">
        <f>SUM(C280:C281)</f>
        <v>1544</v>
      </c>
    </row>
    <row r="280" spans="1:3" s="518" customFormat="1" ht="30">
      <c r="A280" s="519" t="s">
        <v>736</v>
      </c>
      <c r="B280" s="516" t="s">
        <v>242</v>
      </c>
      <c r="C280" s="520">
        <v>1543</v>
      </c>
    </row>
    <row r="281" spans="1:3" s="518" customFormat="1" ht="30">
      <c r="A281" s="519" t="s">
        <v>750</v>
      </c>
      <c r="B281" s="516" t="s">
        <v>243</v>
      </c>
      <c r="C281" s="520">
        <v>1</v>
      </c>
    </row>
    <row r="282" spans="1:3" s="518" customFormat="1">
      <c r="A282" s="519" t="s">
        <v>728</v>
      </c>
      <c r="B282" s="516" t="s">
        <v>249</v>
      </c>
      <c r="C282" s="520">
        <f>SUM(C283)</f>
        <v>94413</v>
      </c>
    </row>
    <row r="283" spans="1:3" s="518" customFormat="1">
      <c r="A283" s="519" t="s">
        <v>729</v>
      </c>
      <c r="B283" s="516" t="s">
        <v>244</v>
      </c>
      <c r="C283" s="520">
        <v>94413</v>
      </c>
    </row>
    <row r="284" spans="1:3" s="518" customFormat="1">
      <c r="A284" s="521" t="s">
        <v>678</v>
      </c>
      <c r="B284" s="516"/>
      <c r="C284" s="418">
        <f>SUM(C259,C261,C265,C268,C279,C282)</f>
        <v>546322</v>
      </c>
    </row>
    <row r="285" spans="1:3" s="518" customFormat="1">
      <c r="A285" s="521"/>
      <c r="B285" s="516"/>
      <c r="C285" s="418"/>
    </row>
    <row r="286" spans="1:3" s="518" customFormat="1">
      <c r="A286" s="519" t="s">
        <v>689</v>
      </c>
      <c r="B286" s="516" t="s">
        <v>648</v>
      </c>
      <c r="C286" s="520">
        <f>SUM(C287)</f>
        <v>11806</v>
      </c>
    </row>
    <row r="287" spans="1:3" s="518" customFormat="1">
      <c r="A287" s="519" t="s">
        <v>719</v>
      </c>
      <c r="B287" s="516" t="s">
        <v>245</v>
      </c>
      <c r="C287" s="520">
        <v>11806</v>
      </c>
    </row>
    <row r="288" spans="1:3" s="518" customFormat="1">
      <c r="A288" s="521" t="s">
        <v>691</v>
      </c>
      <c r="B288" s="516"/>
      <c r="C288" s="418">
        <f>SUM(C286)</f>
        <v>11806</v>
      </c>
    </row>
    <row r="289" spans="1:3" s="518" customFormat="1">
      <c r="A289" s="521" t="s">
        <v>679</v>
      </c>
      <c r="B289" s="516"/>
      <c r="C289" s="418">
        <f>SUM(C288,C284)</f>
        <v>558128</v>
      </c>
    </row>
    <row r="290" spans="1:3" s="518" customFormat="1">
      <c r="A290" s="521"/>
      <c r="B290" s="516"/>
      <c r="C290" s="418"/>
    </row>
    <row r="291" spans="1:3" s="518" customFormat="1">
      <c r="A291" s="515" t="s">
        <v>737</v>
      </c>
      <c r="B291" s="516"/>
      <c r="C291" s="517"/>
    </row>
    <row r="292" spans="1:3" s="518" customFormat="1">
      <c r="A292" s="519" t="s">
        <v>668</v>
      </c>
      <c r="B292" s="516" t="s">
        <v>351</v>
      </c>
      <c r="C292" s="520">
        <f>SUM(C293)</f>
        <v>10629</v>
      </c>
    </row>
    <row r="293" spans="1:3" s="518" customFormat="1">
      <c r="A293" s="519" t="s">
        <v>738</v>
      </c>
      <c r="B293" s="516" t="s">
        <v>739</v>
      </c>
      <c r="C293" s="520">
        <v>10629</v>
      </c>
    </row>
    <row r="294" spans="1:3" s="518" customFormat="1">
      <c r="A294" s="521" t="s">
        <v>678</v>
      </c>
      <c r="B294" s="516"/>
      <c r="C294" s="418">
        <f>SUM(C292)</f>
        <v>10629</v>
      </c>
    </row>
    <row r="295" spans="1:3" s="518" customFormat="1">
      <c r="A295" s="521" t="s">
        <v>679</v>
      </c>
      <c r="B295" s="516"/>
      <c r="C295" s="418">
        <f>SUM(C294)</f>
        <v>10629</v>
      </c>
    </row>
    <row r="296" spans="1:3" s="518" customFormat="1">
      <c r="A296" s="521"/>
      <c r="B296" s="516"/>
      <c r="C296" s="418"/>
    </row>
    <row r="297" spans="1:3" s="518" customFormat="1">
      <c r="A297" s="515" t="s">
        <v>984</v>
      </c>
      <c r="B297" s="516"/>
      <c r="C297" s="517"/>
    </row>
    <row r="298" spans="1:3" s="518" customFormat="1">
      <c r="A298" s="519" t="s">
        <v>671</v>
      </c>
      <c r="B298" s="516" t="s">
        <v>371</v>
      </c>
      <c r="C298" s="520">
        <f>SUM(C299:C300)</f>
        <v>11959</v>
      </c>
    </row>
    <row r="299" spans="1:3" s="518" customFormat="1">
      <c r="A299" s="519" t="s">
        <v>684</v>
      </c>
      <c r="B299" s="516" t="s">
        <v>685</v>
      </c>
      <c r="C299" s="520">
        <v>5502</v>
      </c>
    </row>
    <row r="300" spans="1:3" s="518" customFormat="1" ht="30">
      <c r="A300" s="519" t="s">
        <v>677</v>
      </c>
      <c r="B300" s="516" t="s">
        <v>642</v>
      </c>
      <c r="C300" s="520">
        <v>6457</v>
      </c>
    </row>
    <row r="301" spans="1:3" s="518" customFormat="1">
      <c r="A301" s="521" t="s">
        <v>678</v>
      </c>
      <c r="B301" s="516"/>
      <c r="C301" s="418">
        <f>SUM(C298)</f>
        <v>11959</v>
      </c>
    </row>
    <row r="302" spans="1:3" s="518" customFormat="1">
      <c r="A302" s="521" t="s">
        <v>679</v>
      </c>
      <c r="B302" s="516"/>
      <c r="C302" s="418">
        <f>SUM(C301)</f>
        <v>11959</v>
      </c>
    </row>
    <row r="303" spans="1:3" s="518" customFormat="1">
      <c r="A303" s="521"/>
      <c r="B303" s="516"/>
      <c r="C303" s="418"/>
    </row>
    <row r="304" spans="1:3" s="518" customFormat="1">
      <c r="A304" s="521" t="s">
        <v>983</v>
      </c>
      <c r="B304" s="516"/>
      <c r="C304" s="418"/>
    </row>
    <row r="305" spans="1:3" s="518" customFormat="1">
      <c r="A305" s="519"/>
      <c r="B305" s="516"/>
      <c r="C305" s="418"/>
    </row>
    <row r="306" spans="1:3" s="518" customFormat="1">
      <c r="A306" s="519" t="s">
        <v>671</v>
      </c>
      <c r="B306" s="516" t="s">
        <v>371</v>
      </c>
      <c r="C306" s="520">
        <f>SUM(C307:C307)</f>
        <v>11070</v>
      </c>
    </row>
    <row r="307" spans="1:3" s="518" customFormat="1" ht="30">
      <c r="A307" s="519" t="s">
        <v>677</v>
      </c>
      <c r="B307" s="516" t="s">
        <v>642</v>
      </c>
      <c r="C307" s="520">
        <v>11070</v>
      </c>
    </row>
    <row r="308" spans="1:3" s="518" customFormat="1">
      <c r="A308" s="521" t="s">
        <v>678</v>
      </c>
      <c r="B308" s="516"/>
      <c r="C308" s="418">
        <f>SUM(C306)</f>
        <v>11070</v>
      </c>
    </row>
    <row r="309" spans="1:3" s="518" customFormat="1">
      <c r="A309" s="521" t="s">
        <v>679</v>
      </c>
      <c r="B309" s="516"/>
      <c r="C309" s="418">
        <f>SUM(C308)</f>
        <v>11070</v>
      </c>
    </row>
    <row r="310" spans="1:3" s="518" customFormat="1">
      <c r="A310" s="521"/>
      <c r="B310" s="516"/>
      <c r="C310" s="418"/>
    </row>
    <row r="311" spans="1:3" s="518" customFormat="1">
      <c r="A311" s="515" t="s">
        <v>740</v>
      </c>
      <c r="B311" s="516"/>
      <c r="C311" s="517"/>
    </row>
    <row r="312" spans="1:3" s="518" customFormat="1" ht="30">
      <c r="A312" s="519" t="s">
        <v>3</v>
      </c>
      <c r="B312" s="516" t="s">
        <v>345</v>
      </c>
      <c r="C312" s="520">
        <f>SUM(C313)</f>
        <v>0</v>
      </c>
    </row>
    <row r="313" spans="1:3" s="518" customFormat="1" ht="30">
      <c r="A313" s="519" t="s">
        <v>706</v>
      </c>
      <c r="B313" s="516" t="s">
        <v>707</v>
      </c>
      <c r="C313" s="520"/>
    </row>
    <row r="314" spans="1:3" s="518" customFormat="1">
      <c r="A314" s="519" t="s">
        <v>712</v>
      </c>
      <c r="B314" s="516" t="s">
        <v>361</v>
      </c>
      <c r="C314" s="520">
        <f>SUM(C315)</f>
        <v>0</v>
      </c>
    </row>
    <row r="315" spans="1:3" s="518" customFormat="1" ht="30">
      <c r="A315" s="519" t="s">
        <v>717</v>
      </c>
      <c r="B315" s="516" t="s">
        <v>718</v>
      </c>
      <c r="C315" s="520"/>
    </row>
    <row r="316" spans="1:3" s="518" customFormat="1">
      <c r="A316" s="519" t="s">
        <v>671</v>
      </c>
      <c r="B316" s="516" t="s">
        <v>371</v>
      </c>
      <c r="C316" s="520">
        <f>SUM(C317:C327)</f>
        <v>304805</v>
      </c>
    </row>
    <row r="317" spans="1:3" s="518" customFormat="1">
      <c r="A317" s="519" t="s">
        <v>731</v>
      </c>
      <c r="B317" s="516" t="s">
        <v>732</v>
      </c>
      <c r="C317" s="520">
        <v>65645</v>
      </c>
    </row>
    <row r="318" spans="1:3" s="518" customFormat="1">
      <c r="A318" s="519" t="s">
        <v>733</v>
      </c>
      <c r="B318" s="516" t="s">
        <v>734</v>
      </c>
      <c r="C318" s="520">
        <v>2273</v>
      </c>
    </row>
    <row r="319" spans="1:3" s="518" customFormat="1">
      <c r="A319" s="519" t="s">
        <v>723</v>
      </c>
      <c r="B319" s="516" t="s">
        <v>724</v>
      </c>
      <c r="C319" s="520">
        <v>3872</v>
      </c>
    </row>
    <row r="320" spans="1:3" s="518" customFormat="1">
      <c r="A320" s="519" t="s">
        <v>672</v>
      </c>
      <c r="B320" s="516" t="s">
        <v>638</v>
      </c>
      <c r="C320" s="520">
        <v>31613</v>
      </c>
    </row>
    <row r="321" spans="1:3" s="518" customFormat="1">
      <c r="A321" s="519" t="s">
        <v>725</v>
      </c>
      <c r="B321" s="516" t="s">
        <v>639</v>
      </c>
      <c r="C321" s="520">
        <v>34794</v>
      </c>
    </row>
    <row r="322" spans="1:3" s="518" customFormat="1">
      <c r="A322" s="519" t="s">
        <v>684</v>
      </c>
      <c r="B322" s="516" t="s">
        <v>685</v>
      </c>
      <c r="C322" s="520">
        <v>17519</v>
      </c>
    </row>
    <row r="323" spans="1:3" s="518" customFormat="1">
      <c r="A323" s="519" t="s">
        <v>673</v>
      </c>
      <c r="B323" s="516" t="s">
        <v>674</v>
      </c>
      <c r="C323" s="520"/>
    </row>
    <row r="324" spans="1:3" s="518" customFormat="1">
      <c r="A324" s="519" t="s">
        <v>693</v>
      </c>
      <c r="B324" s="516" t="s">
        <v>694</v>
      </c>
      <c r="C324" s="520">
        <v>613</v>
      </c>
    </row>
    <row r="325" spans="1:3" s="518" customFormat="1" ht="30">
      <c r="A325" s="519" t="s">
        <v>675</v>
      </c>
      <c r="B325" s="516" t="s">
        <v>676</v>
      </c>
      <c r="C325" s="520"/>
    </row>
    <row r="326" spans="1:3" s="518" customFormat="1" ht="30">
      <c r="A326" s="519" t="s">
        <v>1162</v>
      </c>
      <c r="B326" s="516" t="s">
        <v>641</v>
      </c>
      <c r="C326" s="520">
        <v>952</v>
      </c>
    </row>
    <row r="327" spans="1:3" s="518" customFormat="1" ht="30">
      <c r="A327" s="519" t="s">
        <v>677</v>
      </c>
      <c r="B327" s="516" t="s">
        <v>642</v>
      </c>
      <c r="C327" s="520">
        <v>147524</v>
      </c>
    </row>
    <row r="328" spans="1:3" s="518" customFormat="1">
      <c r="A328" s="519" t="s">
        <v>735</v>
      </c>
      <c r="B328" s="516" t="s">
        <v>248</v>
      </c>
      <c r="C328" s="520">
        <f>SUM(C329)</f>
        <v>702</v>
      </c>
    </row>
    <row r="329" spans="1:3" s="518" customFormat="1" ht="30">
      <c r="A329" s="519" t="s">
        <v>750</v>
      </c>
      <c r="B329" s="516" t="s">
        <v>243</v>
      </c>
      <c r="C329" s="520">
        <v>702</v>
      </c>
    </row>
    <row r="330" spans="1:3" s="518" customFormat="1">
      <c r="A330" s="521" t="s">
        <v>678</v>
      </c>
      <c r="B330" s="516"/>
      <c r="C330" s="418">
        <f>SUM(C312,C314,C316,C328)</f>
        <v>305507</v>
      </c>
    </row>
    <row r="331" spans="1:3" s="518" customFormat="1">
      <c r="A331" s="521" t="s">
        <v>679</v>
      </c>
      <c r="B331" s="516"/>
      <c r="C331" s="418">
        <f>SUM(C330)</f>
        <v>305507</v>
      </c>
    </row>
    <row r="332" spans="1:3" s="518" customFormat="1">
      <c r="A332" s="521"/>
      <c r="B332" s="516"/>
      <c r="C332" s="418"/>
    </row>
    <row r="333" spans="1:3" s="518" customFormat="1">
      <c r="A333" s="515" t="s">
        <v>982</v>
      </c>
      <c r="B333" s="516"/>
      <c r="C333" s="517"/>
    </row>
    <row r="334" spans="1:3" s="518" customFormat="1">
      <c r="A334" s="519" t="s">
        <v>671</v>
      </c>
      <c r="B334" s="516" t="s">
        <v>371</v>
      </c>
      <c r="C334" s="520">
        <f>SUM(C335:C336)</f>
        <v>61560</v>
      </c>
    </row>
    <row r="335" spans="1:3" s="518" customFormat="1">
      <c r="A335" s="519" t="s">
        <v>684</v>
      </c>
      <c r="B335" s="516" t="s">
        <v>685</v>
      </c>
      <c r="C335" s="520">
        <v>35369</v>
      </c>
    </row>
    <row r="336" spans="1:3" s="518" customFormat="1" ht="30">
      <c r="A336" s="519" t="s">
        <v>677</v>
      </c>
      <c r="B336" s="516" t="s">
        <v>642</v>
      </c>
      <c r="C336" s="520">
        <v>26191</v>
      </c>
    </row>
    <row r="337" spans="1:3" s="518" customFormat="1">
      <c r="A337" s="521" t="s">
        <v>678</v>
      </c>
      <c r="B337" s="516"/>
      <c r="C337" s="418">
        <f>SUM(C334)</f>
        <v>61560</v>
      </c>
    </row>
    <row r="338" spans="1:3" s="518" customFormat="1">
      <c r="A338" s="519" t="s">
        <v>689</v>
      </c>
      <c r="B338" s="516" t="s">
        <v>648</v>
      </c>
      <c r="C338" s="520">
        <f>SUM(C339:C339)</f>
        <v>1917</v>
      </c>
    </row>
    <row r="339" spans="1:3" s="518" customFormat="1">
      <c r="A339" s="416">
        <v>5205</v>
      </c>
      <c r="B339" s="516" t="s">
        <v>941</v>
      </c>
      <c r="C339" s="520">
        <v>1917</v>
      </c>
    </row>
    <row r="340" spans="1:3" s="518" customFormat="1">
      <c r="A340" s="521" t="s">
        <v>691</v>
      </c>
      <c r="B340" s="516"/>
      <c r="C340" s="418">
        <f>SUM(C338)</f>
        <v>1917</v>
      </c>
    </row>
    <row r="341" spans="1:3" s="518" customFormat="1">
      <c r="A341" s="521" t="s">
        <v>679</v>
      </c>
      <c r="B341" s="516"/>
      <c r="C341" s="418">
        <f>SUM(C337,C338)</f>
        <v>63477</v>
      </c>
    </row>
    <row r="342" spans="1:3" s="518" customFormat="1">
      <c r="A342" s="521"/>
      <c r="B342" s="516"/>
      <c r="C342" s="418"/>
    </row>
    <row r="343" spans="1:3" s="518" customFormat="1">
      <c r="A343" s="515" t="s">
        <v>741</v>
      </c>
      <c r="B343" s="516"/>
      <c r="C343" s="517"/>
    </row>
    <row r="344" spans="1:3" s="518" customFormat="1" ht="30">
      <c r="A344" s="519" t="s">
        <v>3</v>
      </c>
      <c r="B344" s="516" t="s">
        <v>345</v>
      </c>
      <c r="C344" s="520">
        <f>SUM(C345)</f>
        <v>12600</v>
      </c>
    </row>
    <row r="345" spans="1:3" s="518" customFormat="1" ht="30">
      <c r="A345" s="519" t="s">
        <v>706</v>
      </c>
      <c r="B345" s="516" t="s">
        <v>707</v>
      </c>
      <c r="C345" s="520">
        <v>12600</v>
      </c>
    </row>
    <row r="346" spans="1:3" s="518" customFormat="1">
      <c r="A346" s="519" t="s">
        <v>668</v>
      </c>
      <c r="B346" s="516" t="s">
        <v>351</v>
      </c>
      <c r="C346" s="520">
        <f>SUM(C347:C349)</f>
        <v>5799</v>
      </c>
    </row>
    <row r="347" spans="1:3" s="518" customFormat="1">
      <c r="A347" s="519" t="s">
        <v>669</v>
      </c>
      <c r="B347" s="516" t="s">
        <v>670</v>
      </c>
      <c r="C347" s="520">
        <v>2820</v>
      </c>
    </row>
    <row r="348" spans="1:3" s="518" customFormat="1" ht="30">
      <c r="A348" s="416">
        <v>205</v>
      </c>
      <c r="B348" s="516" t="s">
        <v>1063</v>
      </c>
      <c r="C348" s="520">
        <v>1359</v>
      </c>
    </row>
    <row r="349" spans="1:3" s="518" customFormat="1">
      <c r="A349" s="519" t="s">
        <v>708</v>
      </c>
      <c r="B349" s="516" t="s">
        <v>709</v>
      </c>
      <c r="C349" s="520">
        <v>1620</v>
      </c>
    </row>
    <row r="350" spans="1:3" s="518" customFormat="1">
      <c r="A350" s="519" t="s">
        <v>712</v>
      </c>
      <c r="B350" s="516" t="s">
        <v>361</v>
      </c>
      <c r="C350" s="520">
        <f>SUM(C351:C353)</f>
        <v>2567</v>
      </c>
    </row>
    <row r="351" spans="1:3" s="518" customFormat="1" ht="30">
      <c r="A351" s="519" t="s">
        <v>713</v>
      </c>
      <c r="B351" s="516" t="s">
        <v>714</v>
      </c>
      <c r="C351" s="520">
        <v>1617</v>
      </c>
    </row>
    <row r="352" spans="1:3" s="518" customFormat="1">
      <c r="A352" s="524" t="s">
        <v>715</v>
      </c>
      <c r="B352" s="516" t="s">
        <v>716</v>
      </c>
      <c r="C352" s="525">
        <v>8</v>
      </c>
    </row>
    <row r="353" spans="1:3" s="518" customFormat="1" ht="30">
      <c r="A353" s="519" t="s">
        <v>717</v>
      </c>
      <c r="B353" s="516" t="s">
        <v>718</v>
      </c>
      <c r="C353" s="520">
        <v>942</v>
      </c>
    </row>
    <row r="354" spans="1:3" s="518" customFormat="1">
      <c r="A354" s="519" t="s">
        <v>671</v>
      </c>
      <c r="B354" s="516" t="s">
        <v>371</v>
      </c>
      <c r="C354" s="520">
        <f>SUM(C355:C364)</f>
        <v>172398</v>
      </c>
    </row>
    <row r="355" spans="1:3" s="518" customFormat="1">
      <c r="A355" s="519" t="s">
        <v>733</v>
      </c>
      <c r="B355" s="516" t="s">
        <v>734</v>
      </c>
      <c r="C355" s="520">
        <v>355</v>
      </c>
    </row>
    <row r="356" spans="1:3" s="518" customFormat="1">
      <c r="A356" s="519" t="s">
        <v>723</v>
      </c>
      <c r="B356" s="516" t="s">
        <v>724</v>
      </c>
      <c r="C356" s="520">
        <v>3614</v>
      </c>
    </row>
    <row r="357" spans="1:3" s="518" customFormat="1">
      <c r="A357" s="519" t="s">
        <v>672</v>
      </c>
      <c r="B357" s="516" t="s">
        <v>638</v>
      </c>
      <c r="C357" s="520"/>
    </row>
    <row r="358" spans="1:3" s="518" customFormat="1">
      <c r="A358" s="519" t="s">
        <v>725</v>
      </c>
      <c r="B358" s="516" t="s">
        <v>639</v>
      </c>
      <c r="C358" s="520">
        <v>9019</v>
      </c>
    </row>
    <row r="359" spans="1:3" s="518" customFormat="1">
      <c r="A359" s="519" t="s">
        <v>684</v>
      </c>
      <c r="B359" s="516" t="s">
        <v>685</v>
      </c>
      <c r="C359" s="520">
        <v>15684</v>
      </c>
    </row>
    <row r="360" spans="1:3" s="518" customFormat="1">
      <c r="A360" s="519" t="s">
        <v>686</v>
      </c>
      <c r="B360" s="516" t="s">
        <v>687</v>
      </c>
      <c r="C360" s="520"/>
    </row>
    <row r="361" spans="1:3" s="518" customFormat="1">
      <c r="A361" s="519" t="s">
        <v>673</v>
      </c>
      <c r="B361" s="516" t="s">
        <v>674</v>
      </c>
      <c r="C361" s="520"/>
    </row>
    <row r="362" spans="1:3" s="518" customFormat="1">
      <c r="A362" s="519" t="s">
        <v>693</v>
      </c>
      <c r="B362" s="516" t="s">
        <v>694</v>
      </c>
      <c r="C362" s="520">
        <v>1277</v>
      </c>
    </row>
    <row r="363" spans="1:3" s="518" customFormat="1" ht="30">
      <c r="A363" s="519" t="s">
        <v>675</v>
      </c>
      <c r="B363" s="516" t="s">
        <v>676</v>
      </c>
      <c r="C363" s="520"/>
    </row>
    <row r="364" spans="1:3" s="518" customFormat="1" ht="30">
      <c r="A364" s="519" t="s">
        <v>677</v>
      </c>
      <c r="B364" s="516" t="s">
        <v>642</v>
      </c>
      <c r="C364" s="520">
        <v>142449</v>
      </c>
    </row>
    <row r="365" spans="1:3" s="518" customFormat="1">
      <c r="A365" s="519" t="s">
        <v>735</v>
      </c>
      <c r="B365" s="516" t="s">
        <v>248</v>
      </c>
      <c r="C365" s="520">
        <f>SUM(C366:C367)</f>
        <v>246</v>
      </c>
    </row>
    <row r="366" spans="1:3" s="518" customFormat="1" ht="30">
      <c r="A366" s="519" t="s">
        <v>736</v>
      </c>
      <c r="B366" s="516" t="s">
        <v>242</v>
      </c>
      <c r="C366" s="520">
        <v>53</v>
      </c>
    </row>
    <row r="367" spans="1:3" s="518" customFormat="1" ht="30">
      <c r="A367" s="519" t="s">
        <v>750</v>
      </c>
      <c r="B367" s="516" t="s">
        <v>243</v>
      </c>
      <c r="C367" s="520">
        <v>193</v>
      </c>
    </row>
    <row r="368" spans="1:3" s="518" customFormat="1">
      <c r="A368" s="521" t="s">
        <v>678</v>
      </c>
      <c r="B368" s="516"/>
      <c r="C368" s="418">
        <f>SUM(C344,C346,C350,C354,C365)</f>
        <v>193610</v>
      </c>
    </row>
    <row r="369" spans="1:3" s="518" customFormat="1">
      <c r="A369" s="519" t="s">
        <v>689</v>
      </c>
      <c r="B369" s="516" t="s">
        <v>648</v>
      </c>
      <c r="C369" s="520">
        <f>SUM(C370)</f>
        <v>106</v>
      </c>
    </row>
    <row r="370" spans="1:3" s="518" customFormat="1">
      <c r="A370" s="416">
        <v>5201</v>
      </c>
      <c r="B370" s="516" t="s">
        <v>240</v>
      </c>
      <c r="C370" s="520">
        <v>106</v>
      </c>
    </row>
    <row r="371" spans="1:3" s="518" customFormat="1">
      <c r="A371" s="521" t="s">
        <v>691</v>
      </c>
      <c r="B371" s="516"/>
      <c r="C371" s="418">
        <f>SUM(C369)</f>
        <v>106</v>
      </c>
    </row>
    <row r="372" spans="1:3" s="518" customFormat="1">
      <c r="A372" s="521" t="s">
        <v>679</v>
      </c>
      <c r="B372" s="516"/>
      <c r="C372" s="418">
        <f>SUM(C371,C368)</f>
        <v>193716</v>
      </c>
    </row>
    <row r="373" spans="1:3" s="518" customFormat="1">
      <c r="A373" s="521"/>
      <c r="B373" s="516"/>
      <c r="C373" s="418"/>
    </row>
    <row r="374" spans="1:3" s="518" customFormat="1">
      <c r="A374" s="515" t="s">
        <v>742</v>
      </c>
      <c r="B374" s="516"/>
      <c r="C374" s="517"/>
    </row>
    <row r="375" spans="1:3" s="518" customFormat="1" ht="30">
      <c r="A375" s="524" t="s">
        <v>3</v>
      </c>
      <c r="B375" s="516" t="s">
        <v>345</v>
      </c>
      <c r="C375" s="525">
        <f>SUM(C376)</f>
        <v>16584</v>
      </c>
    </row>
    <row r="376" spans="1:3" s="518" customFormat="1" ht="30">
      <c r="A376" s="524" t="s">
        <v>706</v>
      </c>
      <c r="B376" s="516" t="s">
        <v>707</v>
      </c>
      <c r="C376" s="525">
        <v>16584</v>
      </c>
    </row>
    <row r="377" spans="1:3" s="518" customFormat="1">
      <c r="A377" s="524" t="s">
        <v>668</v>
      </c>
      <c r="B377" s="516" t="s">
        <v>351</v>
      </c>
      <c r="C377" s="525">
        <f>SUM(C378:C379)</f>
        <v>3324</v>
      </c>
    </row>
    <row r="378" spans="1:3" s="518" customFormat="1">
      <c r="A378" s="524" t="s">
        <v>669</v>
      </c>
      <c r="B378" s="516" t="s">
        <v>670</v>
      </c>
      <c r="C378" s="525">
        <v>1650</v>
      </c>
    </row>
    <row r="379" spans="1:3" s="518" customFormat="1" ht="30">
      <c r="A379" s="416">
        <v>205</v>
      </c>
      <c r="B379" s="516" t="s">
        <v>1063</v>
      </c>
      <c r="C379" s="525">
        <v>1674</v>
      </c>
    </row>
    <row r="380" spans="1:3" s="518" customFormat="1">
      <c r="A380" s="524" t="s">
        <v>712</v>
      </c>
      <c r="B380" s="516" t="s">
        <v>361</v>
      </c>
      <c r="C380" s="525">
        <f>SUM(C381:C383)</f>
        <v>5376</v>
      </c>
    </row>
    <row r="381" spans="1:3" s="518" customFormat="1" ht="30">
      <c r="A381" s="524" t="s">
        <v>713</v>
      </c>
      <c r="B381" s="516" t="s">
        <v>714</v>
      </c>
      <c r="C381" s="525">
        <v>2990</v>
      </c>
    </row>
    <row r="382" spans="1:3" s="518" customFormat="1">
      <c r="A382" s="524" t="s">
        <v>715</v>
      </c>
      <c r="B382" s="516" t="s">
        <v>716</v>
      </c>
      <c r="C382" s="525">
        <v>843</v>
      </c>
    </row>
    <row r="383" spans="1:3" s="518" customFormat="1" ht="30">
      <c r="A383" s="524" t="s">
        <v>717</v>
      </c>
      <c r="B383" s="516" t="s">
        <v>718</v>
      </c>
      <c r="C383" s="525">
        <v>1543</v>
      </c>
    </row>
    <row r="384" spans="1:3" s="518" customFormat="1">
      <c r="A384" s="519" t="s">
        <v>671</v>
      </c>
      <c r="B384" s="516" t="s">
        <v>371</v>
      </c>
      <c r="C384" s="520">
        <f>SUM(C385:C396)</f>
        <v>287781</v>
      </c>
    </row>
    <row r="385" spans="1:3" s="518" customFormat="1">
      <c r="A385" s="519" t="s">
        <v>731</v>
      </c>
      <c r="B385" s="516" t="s">
        <v>732</v>
      </c>
      <c r="C385" s="520">
        <v>5426</v>
      </c>
    </row>
    <row r="386" spans="1:3" s="518" customFormat="1">
      <c r="A386" s="519" t="s">
        <v>733</v>
      </c>
      <c r="B386" s="516" t="s">
        <v>734</v>
      </c>
      <c r="C386" s="520">
        <v>300</v>
      </c>
    </row>
    <row r="387" spans="1:3" s="518" customFormat="1">
      <c r="A387" s="519" t="s">
        <v>723</v>
      </c>
      <c r="B387" s="516" t="s">
        <v>724</v>
      </c>
      <c r="C387" s="520">
        <v>1677</v>
      </c>
    </row>
    <row r="388" spans="1:3" s="518" customFormat="1" ht="30">
      <c r="A388" s="519" t="s">
        <v>964</v>
      </c>
      <c r="B388" s="516" t="s">
        <v>965</v>
      </c>
      <c r="C388" s="520"/>
    </row>
    <row r="389" spans="1:3" s="518" customFormat="1">
      <c r="A389" s="519" t="s">
        <v>672</v>
      </c>
      <c r="B389" s="516" t="s">
        <v>638</v>
      </c>
      <c r="C389" s="520">
        <v>8295</v>
      </c>
    </row>
    <row r="390" spans="1:3" s="518" customFormat="1">
      <c r="A390" s="519" t="s">
        <v>725</v>
      </c>
      <c r="B390" s="516" t="s">
        <v>639</v>
      </c>
      <c r="C390" s="520">
        <v>11159</v>
      </c>
    </row>
    <row r="391" spans="1:3" s="518" customFormat="1">
      <c r="A391" s="519" t="s">
        <v>684</v>
      </c>
      <c r="B391" s="516" t="s">
        <v>685</v>
      </c>
      <c r="C391" s="520">
        <v>59259</v>
      </c>
    </row>
    <row r="392" spans="1:3" s="518" customFormat="1">
      <c r="A392" s="519" t="s">
        <v>686</v>
      </c>
      <c r="B392" s="516" t="s">
        <v>687</v>
      </c>
      <c r="C392" s="520"/>
    </row>
    <row r="393" spans="1:3" s="518" customFormat="1">
      <c r="A393" s="519" t="s">
        <v>673</v>
      </c>
      <c r="B393" s="516" t="s">
        <v>674</v>
      </c>
      <c r="C393" s="520">
        <v>1030</v>
      </c>
    </row>
    <row r="394" spans="1:3" s="518" customFormat="1">
      <c r="A394" s="519" t="s">
        <v>693</v>
      </c>
      <c r="B394" s="516" t="s">
        <v>694</v>
      </c>
      <c r="C394" s="520">
        <v>217</v>
      </c>
    </row>
    <row r="395" spans="1:3" s="518" customFormat="1" ht="30">
      <c r="A395" s="519" t="s">
        <v>675</v>
      </c>
      <c r="B395" s="516" t="s">
        <v>676</v>
      </c>
      <c r="C395" s="520"/>
    </row>
    <row r="396" spans="1:3" s="518" customFormat="1" ht="30">
      <c r="A396" s="519" t="s">
        <v>677</v>
      </c>
      <c r="B396" s="516" t="s">
        <v>642</v>
      </c>
      <c r="C396" s="520">
        <v>200418</v>
      </c>
    </row>
    <row r="397" spans="1:3" s="518" customFormat="1">
      <c r="A397" s="519" t="s">
        <v>735</v>
      </c>
      <c r="B397" s="516" t="s">
        <v>248</v>
      </c>
      <c r="C397" s="520">
        <f>SUM(C398:C399)</f>
        <v>1115</v>
      </c>
    </row>
    <row r="398" spans="1:3" s="518" customFormat="1" ht="30">
      <c r="A398" s="519" t="s">
        <v>736</v>
      </c>
      <c r="B398" s="516" t="s">
        <v>242</v>
      </c>
      <c r="C398" s="520">
        <v>153</v>
      </c>
    </row>
    <row r="399" spans="1:3" s="518" customFormat="1" ht="30">
      <c r="A399" s="519" t="s">
        <v>750</v>
      </c>
      <c r="B399" s="516" t="s">
        <v>243</v>
      </c>
      <c r="C399" s="520">
        <v>962</v>
      </c>
    </row>
    <row r="400" spans="1:3" s="518" customFormat="1">
      <c r="A400" s="521" t="s">
        <v>678</v>
      </c>
      <c r="B400" s="516"/>
      <c r="C400" s="418">
        <f>SUM(C375,C377,C380,C384,C397)</f>
        <v>314180</v>
      </c>
    </row>
    <row r="401" spans="1:4" s="518" customFormat="1">
      <c r="A401" s="521"/>
      <c r="B401" s="516"/>
      <c r="C401" s="418"/>
    </row>
    <row r="402" spans="1:4" s="518" customFormat="1">
      <c r="A402" s="519" t="s">
        <v>689</v>
      </c>
      <c r="B402" s="516" t="s">
        <v>648</v>
      </c>
      <c r="C402" s="520">
        <f>SUM(C403)</f>
        <v>6534</v>
      </c>
    </row>
    <row r="403" spans="1:4" s="518" customFormat="1">
      <c r="A403" s="519" t="s">
        <v>719</v>
      </c>
      <c r="B403" s="516" t="s">
        <v>245</v>
      </c>
      <c r="C403" s="520">
        <v>6534</v>
      </c>
    </row>
    <row r="404" spans="1:4" s="518" customFormat="1">
      <c r="A404" s="521" t="s">
        <v>691</v>
      </c>
      <c r="B404" s="516"/>
      <c r="C404" s="418">
        <f>SUM(C402)</f>
        <v>6534</v>
      </c>
    </row>
    <row r="405" spans="1:4" s="518" customFormat="1">
      <c r="A405" s="521" t="s">
        <v>679</v>
      </c>
      <c r="B405" s="516"/>
      <c r="C405" s="418">
        <f>SUM(C404,C400)</f>
        <v>320714</v>
      </c>
    </row>
    <row r="406" spans="1:4" s="518" customFormat="1">
      <c r="A406" s="521"/>
      <c r="B406" s="516"/>
      <c r="C406" s="418"/>
    </row>
    <row r="407" spans="1:4" s="518" customFormat="1">
      <c r="A407" s="515" t="s">
        <v>743</v>
      </c>
      <c r="B407" s="516"/>
      <c r="C407" s="517"/>
    </row>
    <row r="408" spans="1:4" s="518" customFormat="1">
      <c r="A408" s="519" t="s">
        <v>671</v>
      </c>
      <c r="B408" s="516" t="s">
        <v>371</v>
      </c>
      <c r="C408" s="520">
        <f>SUM(C409:C410)</f>
        <v>11803</v>
      </c>
    </row>
    <row r="409" spans="1:4" s="518" customFormat="1">
      <c r="A409" s="519" t="s">
        <v>684</v>
      </c>
      <c r="B409" s="516" t="s">
        <v>685</v>
      </c>
      <c r="C409" s="520">
        <v>11371</v>
      </c>
    </row>
    <row r="410" spans="1:4" s="518" customFormat="1">
      <c r="A410" s="519" t="s">
        <v>686</v>
      </c>
      <c r="B410" s="516" t="s">
        <v>687</v>
      </c>
      <c r="C410" s="520">
        <v>432</v>
      </c>
    </row>
    <row r="411" spans="1:4" s="518" customFormat="1">
      <c r="A411" s="521" t="s">
        <v>678</v>
      </c>
      <c r="B411" s="516"/>
      <c r="C411" s="418">
        <f>SUM(C408)</f>
        <v>11803</v>
      </c>
    </row>
    <row r="412" spans="1:4" s="518" customFormat="1">
      <c r="A412" s="521"/>
      <c r="B412" s="516"/>
      <c r="C412" s="418"/>
    </row>
    <row r="413" spans="1:4" s="518" customFormat="1">
      <c r="A413" s="521" t="s">
        <v>679</v>
      </c>
      <c r="B413" s="516"/>
      <c r="C413" s="418">
        <f>SUM(C411)</f>
        <v>11803</v>
      </c>
    </row>
    <row r="414" spans="1:4" s="518" customFormat="1">
      <c r="A414" s="521"/>
      <c r="B414" s="526"/>
      <c r="C414" s="527"/>
    </row>
    <row r="415" spans="1:4" s="518" customFormat="1">
      <c r="A415" s="528" t="s">
        <v>1229</v>
      </c>
      <c r="B415" s="529"/>
      <c r="C415" s="529"/>
      <c r="D415" s="530"/>
    </row>
    <row r="416" spans="1:4" s="518" customFormat="1" ht="30">
      <c r="A416" s="531" t="s">
        <v>3</v>
      </c>
      <c r="B416" s="532" t="s">
        <v>345</v>
      </c>
      <c r="C416" s="533">
        <f>SUM(C417)</f>
        <v>310707</v>
      </c>
    </row>
    <row r="417" spans="1:3" s="518" customFormat="1" ht="30">
      <c r="A417" s="519" t="s">
        <v>706</v>
      </c>
      <c r="B417" s="534" t="s">
        <v>707</v>
      </c>
      <c r="C417" s="535">
        <v>310707</v>
      </c>
    </row>
    <row r="418" spans="1:3" s="518" customFormat="1">
      <c r="A418" s="519" t="s">
        <v>668</v>
      </c>
      <c r="B418" s="516" t="s">
        <v>351</v>
      </c>
      <c r="C418" s="520">
        <f>SUM(C419)</f>
        <v>12576</v>
      </c>
    </row>
    <row r="419" spans="1:3" s="518" customFormat="1" ht="30">
      <c r="A419" s="519" t="s">
        <v>1062</v>
      </c>
      <c r="B419" s="516" t="s">
        <v>1063</v>
      </c>
      <c r="C419" s="520">
        <v>12576</v>
      </c>
    </row>
    <row r="420" spans="1:3" s="518" customFormat="1">
      <c r="A420" s="519" t="s">
        <v>712</v>
      </c>
      <c r="B420" s="516" t="s">
        <v>361</v>
      </c>
      <c r="C420" s="520">
        <f>SUM(C421:C423)</f>
        <v>59819</v>
      </c>
    </row>
    <row r="421" spans="1:3" s="518" customFormat="1" ht="30">
      <c r="A421" s="519" t="s">
        <v>713</v>
      </c>
      <c r="B421" s="516" t="s">
        <v>714</v>
      </c>
      <c r="C421" s="520">
        <v>35592</v>
      </c>
    </row>
    <row r="422" spans="1:3" s="518" customFormat="1">
      <c r="A422" s="519" t="s">
        <v>715</v>
      </c>
      <c r="B422" s="516" t="s">
        <v>716</v>
      </c>
      <c r="C422" s="520">
        <v>14479</v>
      </c>
    </row>
    <row r="423" spans="1:3" s="518" customFormat="1" ht="30">
      <c r="A423" s="519" t="s">
        <v>717</v>
      </c>
      <c r="B423" s="516" t="s">
        <v>718</v>
      </c>
      <c r="C423" s="520">
        <v>9748</v>
      </c>
    </row>
    <row r="424" spans="1:3" s="518" customFormat="1">
      <c r="A424" s="519" t="s">
        <v>671</v>
      </c>
      <c r="B424" s="516" t="s">
        <v>371</v>
      </c>
      <c r="C424" s="520">
        <f>SUM(C425:C428)</f>
        <v>68943</v>
      </c>
    </row>
    <row r="425" spans="1:3" s="518" customFormat="1">
      <c r="A425" s="519" t="s">
        <v>723</v>
      </c>
      <c r="B425" s="516" t="s">
        <v>724</v>
      </c>
      <c r="C425" s="520">
        <v>10065</v>
      </c>
    </row>
    <row r="426" spans="1:3" s="518" customFormat="1">
      <c r="A426" s="519" t="s">
        <v>725</v>
      </c>
      <c r="B426" s="516" t="s">
        <v>639</v>
      </c>
      <c r="C426" s="520">
        <v>6249</v>
      </c>
    </row>
    <row r="427" spans="1:3" s="518" customFormat="1">
      <c r="A427" s="519" t="s">
        <v>684</v>
      </c>
      <c r="B427" s="516" t="s">
        <v>685</v>
      </c>
      <c r="C427" s="520">
        <v>51926</v>
      </c>
    </row>
    <row r="428" spans="1:3" s="518" customFormat="1">
      <c r="A428" s="519" t="s">
        <v>693</v>
      </c>
      <c r="B428" s="516" t="s">
        <v>694</v>
      </c>
      <c r="C428" s="520">
        <v>703</v>
      </c>
    </row>
    <row r="429" spans="1:3" s="518" customFormat="1">
      <c r="A429" s="519" t="s">
        <v>735</v>
      </c>
      <c r="B429" s="516" t="s">
        <v>248</v>
      </c>
      <c r="C429" s="520">
        <f>SUM(C430)</f>
        <v>97</v>
      </c>
    </row>
    <row r="430" spans="1:3" s="518" customFormat="1" ht="30">
      <c r="A430" s="519" t="s">
        <v>736</v>
      </c>
      <c r="B430" s="516" t="s">
        <v>242</v>
      </c>
      <c r="C430" s="520">
        <v>97</v>
      </c>
    </row>
    <row r="431" spans="1:3" s="518" customFormat="1">
      <c r="A431" s="521" t="s">
        <v>678</v>
      </c>
      <c r="B431" s="516"/>
      <c r="C431" s="418">
        <f>SUM(C416,C418,C420,C424,C429)</f>
        <v>452142</v>
      </c>
    </row>
    <row r="432" spans="1:3" s="518" customFormat="1">
      <c r="A432" s="521"/>
      <c r="B432" s="516"/>
      <c r="C432" s="418"/>
    </row>
    <row r="433" spans="1:3" s="518" customFormat="1">
      <c r="A433" s="521" t="s">
        <v>679</v>
      </c>
      <c r="B433" s="516"/>
      <c r="C433" s="418">
        <f>SUM(C431)</f>
        <v>452142</v>
      </c>
    </row>
    <row r="434" spans="1:3" s="518" customFormat="1">
      <c r="A434" s="521"/>
      <c r="B434" s="516"/>
      <c r="C434" s="418"/>
    </row>
    <row r="435" spans="1:3" s="518" customFormat="1">
      <c r="A435" s="515" t="s">
        <v>1058</v>
      </c>
      <c r="B435" s="516"/>
      <c r="C435" s="517"/>
    </row>
    <row r="436" spans="1:3" s="518" customFormat="1" ht="30">
      <c r="A436" s="531" t="s">
        <v>3</v>
      </c>
      <c r="B436" s="532" t="s">
        <v>345</v>
      </c>
      <c r="C436" s="533">
        <f>SUM(C437)</f>
        <v>11116</v>
      </c>
    </row>
    <row r="437" spans="1:3" s="518" customFormat="1" ht="30">
      <c r="A437" s="519" t="s">
        <v>706</v>
      </c>
      <c r="B437" s="534" t="s">
        <v>707</v>
      </c>
      <c r="C437" s="535">
        <v>11116</v>
      </c>
    </row>
    <row r="438" spans="1:3" s="518" customFormat="1">
      <c r="A438" s="524" t="s">
        <v>668</v>
      </c>
      <c r="B438" s="516" t="s">
        <v>351</v>
      </c>
      <c r="C438" s="525">
        <f>SUM(C439)</f>
        <v>124</v>
      </c>
    </row>
    <row r="439" spans="1:3" s="518" customFormat="1">
      <c r="A439" s="519" t="s">
        <v>708</v>
      </c>
      <c r="B439" s="516" t="s">
        <v>709</v>
      </c>
      <c r="C439" s="520">
        <v>124</v>
      </c>
    </row>
    <row r="440" spans="1:3" s="518" customFormat="1">
      <c r="A440" s="524" t="s">
        <v>712</v>
      </c>
      <c r="B440" s="516" t="s">
        <v>361</v>
      </c>
      <c r="C440" s="525">
        <f>SUM(C441:C443)</f>
        <v>4920</v>
      </c>
    </row>
    <row r="441" spans="1:3" s="518" customFormat="1" ht="30">
      <c r="A441" s="524" t="s">
        <v>713</v>
      </c>
      <c r="B441" s="516" t="s">
        <v>714</v>
      </c>
      <c r="C441" s="525">
        <v>3027</v>
      </c>
    </row>
    <row r="442" spans="1:3" s="518" customFormat="1">
      <c r="A442" s="524" t="s">
        <v>715</v>
      </c>
      <c r="B442" s="516" t="s">
        <v>716</v>
      </c>
      <c r="C442" s="525">
        <v>1174</v>
      </c>
    </row>
    <row r="443" spans="1:3" s="518" customFormat="1" ht="30">
      <c r="A443" s="524" t="s">
        <v>717</v>
      </c>
      <c r="B443" s="516" t="s">
        <v>718</v>
      </c>
      <c r="C443" s="525">
        <v>719</v>
      </c>
    </row>
    <row r="444" spans="1:3" s="518" customFormat="1">
      <c r="A444" s="519" t="s">
        <v>671</v>
      </c>
      <c r="B444" s="516" t="s">
        <v>371</v>
      </c>
      <c r="C444" s="520">
        <f>SUM(C445:C445)</f>
        <v>24</v>
      </c>
    </row>
    <row r="445" spans="1:3" s="518" customFormat="1">
      <c r="A445" s="519" t="s">
        <v>684</v>
      </c>
      <c r="B445" s="516" t="s">
        <v>685</v>
      </c>
      <c r="C445" s="520">
        <v>24</v>
      </c>
    </row>
    <row r="446" spans="1:3" s="518" customFormat="1">
      <c r="A446" s="521" t="s">
        <v>678</v>
      </c>
      <c r="B446" s="516"/>
      <c r="C446" s="418">
        <f>SUM(C436,C438,C440,C444)</f>
        <v>16184</v>
      </c>
    </row>
    <row r="447" spans="1:3" s="518" customFormat="1">
      <c r="A447" s="521" t="s">
        <v>679</v>
      </c>
      <c r="B447" s="516"/>
      <c r="C447" s="418">
        <f>SUM(C446)</f>
        <v>16184</v>
      </c>
    </row>
    <row r="448" spans="1:3" s="518" customFormat="1">
      <c r="A448" s="521"/>
      <c r="B448" s="516"/>
      <c r="C448" s="418"/>
    </row>
    <row r="449" spans="1:3" s="518" customFormat="1">
      <c r="A449" s="515" t="s">
        <v>1059</v>
      </c>
      <c r="B449" s="516"/>
      <c r="C449" s="517"/>
    </row>
    <row r="450" spans="1:3" s="518" customFormat="1">
      <c r="A450" s="519" t="s">
        <v>671</v>
      </c>
      <c r="B450" s="516" t="s">
        <v>371</v>
      </c>
      <c r="C450" s="520">
        <f>SUM(C451:C454)</f>
        <v>11639</v>
      </c>
    </row>
    <row r="451" spans="1:3" s="518" customFormat="1">
      <c r="A451" s="519" t="s">
        <v>731</v>
      </c>
      <c r="B451" s="516" t="s">
        <v>732</v>
      </c>
      <c r="C451" s="520">
        <v>7897</v>
      </c>
    </row>
    <row r="452" spans="1:3" s="518" customFormat="1">
      <c r="A452" s="519" t="s">
        <v>672</v>
      </c>
      <c r="B452" s="516" t="s">
        <v>638</v>
      </c>
      <c r="C452" s="520">
        <v>406</v>
      </c>
    </row>
    <row r="453" spans="1:3" s="518" customFormat="1">
      <c r="A453" s="519" t="s">
        <v>725</v>
      </c>
      <c r="B453" s="516" t="s">
        <v>639</v>
      </c>
      <c r="C453" s="520">
        <v>3320</v>
      </c>
    </row>
    <row r="454" spans="1:3" s="518" customFormat="1">
      <c r="A454" s="519" t="s">
        <v>684</v>
      </c>
      <c r="B454" s="516" t="s">
        <v>685</v>
      </c>
      <c r="C454" s="520">
        <v>16</v>
      </c>
    </row>
    <row r="455" spans="1:3" s="518" customFormat="1">
      <c r="A455" s="519" t="s">
        <v>728</v>
      </c>
      <c r="B455" s="516" t="s">
        <v>249</v>
      </c>
      <c r="C455" s="520">
        <f>SUM(C456)</f>
        <v>27106</v>
      </c>
    </row>
    <row r="456" spans="1:3" s="518" customFormat="1">
      <c r="A456" s="519" t="s">
        <v>745</v>
      </c>
      <c r="B456" s="516" t="s">
        <v>746</v>
      </c>
      <c r="C456" s="520">
        <v>27106</v>
      </c>
    </row>
    <row r="457" spans="1:3" s="518" customFormat="1">
      <c r="A457" s="521" t="s">
        <v>678</v>
      </c>
      <c r="B457" s="516"/>
      <c r="C457" s="418">
        <f>SUM(C450,C455)</f>
        <v>38745</v>
      </c>
    </row>
    <row r="458" spans="1:3" s="518" customFormat="1">
      <c r="A458" s="521" t="s">
        <v>679</v>
      </c>
      <c r="B458" s="516"/>
      <c r="C458" s="418">
        <f>SUM(C457)</f>
        <v>38745</v>
      </c>
    </row>
    <row r="459" spans="1:3" s="518" customFormat="1">
      <c r="A459" s="515"/>
      <c r="B459" s="516"/>
      <c r="C459" s="517"/>
    </row>
    <row r="460" spans="1:3" s="518" customFormat="1">
      <c r="A460" s="515" t="s">
        <v>680</v>
      </c>
      <c r="B460" s="516"/>
      <c r="C460" s="517">
        <f>SUM(C228,C256,C289,C295,C302,C309,C331,C341,C372,C405,C413,C447,C458,C433)</f>
        <v>2285620</v>
      </c>
    </row>
    <row r="461" spans="1:3" s="518" customFormat="1">
      <c r="A461" s="515"/>
      <c r="B461" s="516"/>
      <c r="C461" s="517"/>
    </row>
    <row r="462" spans="1:3" s="518" customFormat="1">
      <c r="A462" s="521" t="s">
        <v>695</v>
      </c>
      <c r="B462" s="516"/>
      <c r="C462" s="418">
        <f>SUM(C460)</f>
        <v>2285620</v>
      </c>
    </row>
    <row r="463" spans="1:3" s="518" customFormat="1">
      <c r="A463" s="515" t="s">
        <v>1060</v>
      </c>
      <c r="B463" s="516"/>
      <c r="C463" s="517"/>
    </row>
    <row r="464" spans="1:3" s="518" customFormat="1">
      <c r="A464" s="515" t="s">
        <v>747</v>
      </c>
      <c r="B464" s="516"/>
      <c r="C464" s="517"/>
    </row>
    <row r="465" spans="1:3" s="518" customFormat="1">
      <c r="A465" s="515" t="s">
        <v>748</v>
      </c>
      <c r="B465" s="516"/>
      <c r="C465" s="517"/>
    </row>
    <row r="466" spans="1:3" s="518" customFormat="1">
      <c r="A466" s="519" t="s">
        <v>671</v>
      </c>
      <c r="B466" s="516" t="s">
        <v>371</v>
      </c>
      <c r="C466" s="520">
        <f>SUM(C467)</f>
        <v>41494</v>
      </c>
    </row>
    <row r="467" spans="1:3" s="518" customFormat="1" ht="30">
      <c r="A467" s="519" t="s">
        <v>677</v>
      </c>
      <c r="B467" s="516" t="s">
        <v>642</v>
      </c>
      <c r="C467" s="520">
        <v>41494</v>
      </c>
    </row>
    <row r="468" spans="1:3" s="518" customFormat="1">
      <c r="A468" s="521" t="s">
        <v>678</v>
      </c>
      <c r="B468" s="516"/>
      <c r="C468" s="418">
        <f>SUM(C466)</f>
        <v>41494</v>
      </c>
    </row>
    <row r="469" spans="1:3" s="518" customFormat="1">
      <c r="A469" s="521" t="s">
        <v>679</v>
      </c>
      <c r="B469" s="516"/>
      <c r="C469" s="418">
        <f>SUM(C468)</f>
        <v>41494</v>
      </c>
    </row>
    <row r="470" spans="1:3" s="518" customFormat="1">
      <c r="A470" s="515" t="s">
        <v>680</v>
      </c>
      <c r="B470" s="516"/>
      <c r="C470" s="517">
        <f>SUM(C469)</f>
        <v>41494</v>
      </c>
    </row>
    <row r="471" spans="1:3" s="518" customFormat="1">
      <c r="A471" s="515"/>
      <c r="B471" s="516"/>
      <c r="C471" s="517"/>
    </row>
    <row r="472" spans="1:3" s="518" customFormat="1">
      <c r="A472" s="515" t="s">
        <v>749</v>
      </c>
      <c r="B472" s="516"/>
      <c r="C472" s="517"/>
    </row>
    <row r="473" spans="1:3" s="518" customFormat="1">
      <c r="A473" s="515" t="s">
        <v>1061</v>
      </c>
      <c r="B473" s="516"/>
      <c r="C473" s="517"/>
    </row>
    <row r="474" spans="1:3" s="518" customFormat="1" ht="30">
      <c r="A474" s="519" t="s">
        <v>3</v>
      </c>
      <c r="B474" s="516" t="s">
        <v>345</v>
      </c>
      <c r="C474" s="520">
        <f>SUM(C475)</f>
        <v>138919</v>
      </c>
    </row>
    <row r="475" spans="1:3" s="518" customFormat="1" ht="30">
      <c r="A475" s="519" t="s">
        <v>706</v>
      </c>
      <c r="B475" s="516" t="s">
        <v>707</v>
      </c>
      <c r="C475" s="520">
        <v>138919</v>
      </c>
    </row>
    <row r="476" spans="1:3" s="518" customFormat="1">
      <c r="A476" s="519" t="s">
        <v>712</v>
      </c>
      <c r="B476" s="516" t="s">
        <v>361</v>
      </c>
      <c r="C476" s="520">
        <f>SUM(C477:C479)</f>
        <v>25277</v>
      </c>
    </row>
    <row r="477" spans="1:3" s="518" customFormat="1" ht="30">
      <c r="A477" s="519" t="s">
        <v>713</v>
      </c>
      <c r="B477" s="516" t="s">
        <v>714</v>
      </c>
      <c r="C477" s="520">
        <v>19632</v>
      </c>
    </row>
    <row r="478" spans="1:3" s="518" customFormat="1">
      <c r="A478" s="519" t="s">
        <v>715</v>
      </c>
      <c r="B478" s="516" t="s">
        <v>716</v>
      </c>
      <c r="C478" s="520">
        <v>4961</v>
      </c>
    </row>
    <row r="479" spans="1:3" s="518" customFormat="1" ht="30">
      <c r="A479" s="519" t="s">
        <v>717</v>
      </c>
      <c r="B479" s="516" t="s">
        <v>718</v>
      </c>
      <c r="C479" s="520">
        <v>684</v>
      </c>
    </row>
    <row r="480" spans="1:3" s="518" customFormat="1">
      <c r="A480" s="519" t="s">
        <v>671</v>
      </c>
      <c r="B480" s="516" t="s">
        <v>371</v>
      </c>
      <c r="C480" s="520">
        <f>SUM(C481)</f>
        <v>200</v>
      </c>
    </row>
    <row r="481" spans="1:3" s="518" customFormat="1">
      <c r="A481" s="416">
        <v>1020</v>
      </c>
      <c r="B481" s="516" t="s">
        <v>685</v>
      </c>
      <c r="C481" s="520">
        <v>200</v>
      </c>
    </row>
    <row r="482" spans="1:3" s="518" customFormat="1">
      <c r="A482" s="519" t="s">
        <v>735</v>
      </c>
      <c r="B482" s="516" t="s">
        <v>248</v>
      </c>
      <c r="C482" s="520">
        <f>SUM(C483:C483)</f>
        <v>7</v>
      </c>
    </row>
    <row r="483" spans="1:3" s="518" customFormat="1" ht="30">
      <c r="A483" s="519" t="s">
        <v>750</v>
      </c>
      <c r="B483" s="516" t="s">
        <v>243</v>
      </c>
      <c r="C483" s="520">
        <v>7</v>
      </c>
    </row>
    <row r="484" spans="1:3" s="518" customFormat="1">
      <c r="A484" s="521" t="s">
        <v>678</v>
      </c>
      <c r="B484" s="516"/>
      <c r="C484" s="418">
        <f>SUM(C474,C476,C480,C482)</f>
        <v>164403</v>
      </c>
    </row>
    <row r="485" spans="1:3" s="518" customFormat="1">
      <c r="A485" s="521" t="s">
        <v>679</v>
      </c>
      <c r="B485" s="516"/>
      <c r="C485" s="418">
        <f>SUM(C484)</f>
        <v>164403</v>
      </c>
    </row>
    <row r="486" spans="1:3" s="518" customFormat="1">
      <c r="A486" s="521"/>
      <c r="B486" s="516"/>
      <c r="C486" s="418"/>
    </row>
    <row r="487" spans="1:3" s="518" customFormat="1">
      <c r="A487" s="515" t="s">
        <v>751</v>
      </c>
      <c r="B487" s="516"/>
      <c r="C487" s="517"/>
    </row>
    <row r="488" spans="1:3" s="518" customFormat="1">
      <c r="A488" s="519" t="s">
        <v>671</v>
      </c>
      <c r="B488" s="516" t="s">
        <v>371</v>
      </c>
      <c r="C488" s="520">
        <f>SUM(C489)</f>
        <v>28402</v>
      </c>
    </row>
    <row r="489" spans="1:3" s="518" customFormat="1" ht="30">
      <c r="A489" s="519" t="s">
        <v>677</v>
      </c>
      <c r="B489" s="516" t="s">
        <v>642</v>
      </c>
      <c r="C489" s="520">
        <v>28402</v>
      </c>
    </row>
    <row r="490" spans="1:3" s="518" customFormat="1">
      <c r="A490" s="521" t="s">
        <v>678</v>
      </c>
      <c r="B490" s="516"/>
      <c r="C490" s="418">
        <f>SUM(C488)</f>
        <v>28402</v>
      </c>
    </row>
    <row r="491" spans="1:3" s="518" customFormat="1">
      <c r="A491" s="521" t="s">
        <v>679</v>
      </c>
      <c r="B491" s="516"/>
      <c r="C491" s="418">
        <f>SUM(C490)</f>
        <v>28402</v>
      </c>
    </row>
    <row r="492" spans="1:3" s="518" customFormat="1">
      <c r="A492" s="521"/>
      <c r="B492" s="516"/>
      <c r="C492" s="418"/>
    </row>
    <row r="493" spans="1:3" s="518" customFormat="1">
      <c r="A493" s="515" t="s">
        <v>752</v>
      </c>
      <c r="B493" s="516"/>
      <c r="C493" s="517"/>
    </row>
    <row r="494" spans="1:3" s="518" customFormat="1">
      <c r="A494" s="519" t="s">
        <v>671</v>
      </c>
      <c r="B494" s="516" t="s">
        <v>371</v>
      </c>
      <c r="C494" s="520">
        <f>SUM(C495:C496)</f>
        <v>15000</v>
      </c>
    </row>
    <row r="495" spans="1:3" s="518" customFormat="1">
      <c r="A495" s="519" t="s">
        <v>686</v>
      </c>
      <c r="B495" s="516" t="s">
        <v>687</v>
      </c>
      <c r="C495" s="520">
        <v>15000</v>
      </c>
    </row>
    <row r="496" spans="1:3" s="518" customFormat="1" ht="30">
      <c r="A496" s="519" t="s">
        <v>677</v>
      </c>
      <c r="B496" s="516" t="s">
        <v>642</v>
      </c>
      <c r="C496" s="520">
        <f>21-21</f>
        <v>0</v>
      </c>
    </row>
    <row r="497" spans="1:3" s="518" customFormat="1">
      <c r="A497" s="521" t="s">
        <v>678</v>
      </c>
      <c r="B497" s="516"/>
      <c r="C497" s="418">
        <f>SUM(C494)</f>
        <v>15000</v>
      </c>
    </row>
    <row r="498" spans="1:3" s="518" customFormat="1">
      <c r="A498" s="521" t="s">
        <v>679</v>
      </c>
      <c r="B498" s="516"/>
      <c r="C498" s="418">
        <f>SUM(C497)</f>
        <v>15000</v>
      </c>
    </row>
    <row r="499" spans="1:3" s="518" customFormat="1">
      <c r="A499" s="515" t="s">
        <v>680</v>
      </c>
      <c r="B499" s="516"/>
      <c r="C499" s="517">
        <f>SUM(C485,C491,C498)</f>
        <v>207805</v>
      </c>
    </row>
    <row r="500" spans="1:3" s="518" customFormat="1">
      <c r="A500" s="515"/>
      <c r="B500" s="516"/>
      <c r="C500" s="517"/>
    </row>
    <row r="501" spans="1:3" s="518" customFormat="1">
      <c r="A501" s="521" t="s">
        <v>695</v>
      </c>
      <c r="B501" s="516"/>
      <c r="C501" s="418">
        <f>SUM(C470,C499)</f>
        <v>249299</v>
      </c>
    </row>
    <row r="502" spans="1:3" s="518" customFormat="1">
      <c r="A502" s="515"/>
      <c r="B502" s="516"/>
      <c r="C502" s="517"/>
    </row>
    <row r="503" spans="1:3" s="518" customFormat="1">
      <c r="A503" s="515" t="s">
        <v>1064</v>
      </c>
      <c r="B503" s="516"/>
      <c r="C503" s="517"/>
    </row>
    <row r="504" spans="1:3" s="518" customFormat="1">
      <c r="A504" s="515" t="s">
        <v>912</v>
      </c>
      <c r="B504" s="516"/>
      <c r="C504" s="517"/>
    </row>
    <row r="505" spans="1:3" s="518" customFormat="1">
      <c r="A505" s="515" t="s">
        <v>907</v>
      </c>
      <c r="B505" s="516"/>
      <c r="C505" s="517"/>
    </row>
    <row r="506" spans="1:3" s="518" customFormat="1" ht="30">
      <c r="A506" s="524" t="s">
        <v>987</v>
      </c>
      <c r="B506" s="516" t="s">
        <v>988</v>
      </c>
      <c r="C506" s="525">
        <f>SUM(C507)</f>
        <v>112148</v>
      </c>
    </row>
    <row r="507" spans="1:3" s="518" customFormat="1">
      <c r="A507" s="524" t="s">
        <v>986</v>
      </c>
      <c r="B507" s="516" t="s">
        <v>645</v>
      </c>
      <c r="C507" s="525">
        <f>116349-4201</f>
        <v>112148</v>
      </c>
    </row>
    <row r="508" spans="1:3" s="518" customFormat="1">
      <c r="A508" s="515" t="s">
        <v>1083</v>
      </c>
      <c r="B508" s="516"/>
      <c r="C508" s="525">
        <f>SUM(C506)</f>
        <v>112148</v>
      </c>
    </row>
    <row r="509" spans="1:3" s="518" customFormat="1">
      <c r="A509" s="515" t="s">
        <v>679</v>
      </c>
      <c r="B509" s="516"/>
      <c r="C509" s="517">
        <f>SUM(C508)</f>
        <v>112148</v>
      </c>
    </row>
    <row r="510" spans="1:3" s="518" customFormat="1">
      <c r="A510" s="515" t="s">
        <v>680</v>
      </c>
      <c r="B510" s="516"/>
      <c r="C510" s="517">
        <f>SUM(C509)</f>
        <v>112148</v>
      </c>
    </row>
    <row r="511" spans="1:3" s="518" customFormat="1">
      <c r="A511" s="515"/>
      <c r="B511" s="516"/>
      <c r="C511" s="517"/>
    </row>
    <row r="512" spans="1:3" s="518" customFormat="1">
      <c r="A512" s="515" t="s">
        <v>753</v>
      </c>
      <c r="B512" s="516"/>
      <c r="C512" s="517"/>
    </row>
    <row r="513" spans="1:3" s="518" customFormat="1">
      <c r="A513" s="515" t="s">
        <v>754</v>
      </c>
      <c r="B513" s="516"/>
      <c r="C513" s="517"/>
    </row>
    <row r="514" spans="1:3" s="518" customFormat="1">
      <c r="A514" s="521"/>
      <c r="B514" s="516"/>
      <c r="C514" s="418"/>
    </row>
    <row r="515" spans="1:3" s="518" customFormat="1">
      <c r="A515" s="519" t="s">
        <v>671</v>
      </c>
      <c r="B515" s="516" t="s">
        <v>371</v>
      </c>
      <c r="C515" s="520">
        <f>SUM(C516)</f>
        <v>271</v>
      </c>
    </row>
    <row r="516" spans="1:3" s="518" customFormat="1">
      <c r="A516" s="416">
        <v>1069</v>
      </c>
      <c r="B516" s="516" t="s">
        <v>886</v>
      </c>
      <c r="C516" s="520">
        <v>271</v>
      </c>
    </row>
    <row r="517" spans="1:3" s="518" customFormat="1">
      <c r="A517" s="521" t="s">
        <v>678</v>
      </c>
      <c r="B517" s="516"/>
      <c r="C517" s="418">
        <f>SUM(C515)</f>
        <v>271</v>
      </c>
    </row>
    <row r="518" spans="1:3" s="518" customFormat="1">
      <c r="A518" s="521" t="s">
        <v>679</v>
      </c>
      <c r="B518" s="516"/>
      <c r="C518" s="418">
        <f>SUM(C517)</f>
        <v>271</v>
      </c>
    </row>
    <row r="519" spans="1:3" s="518" customFormat="1">
      <c r="A519" s="515" t="s">
        <v>680</v>
      </c>
      <c r="B519" s="516"/>
      <c r="C519" s="517">
        <f>SUM(C518)</f>
        <v>271</v>
      </c>
    </row>
    <row r="520" spans="1:3" s="518" customFormat="1">
      <c r="A520" s="536" t="s">
        <v>695</v>
      </c>
      <c r="B520" s="526"/>
      <c r="C520" s="527">
        <f>SUM(C510,C519)</f>
        <v>112419</v>
      </c>
    </row>
    <row r="521" spans="1:3" s="518" customFormat="1">
      <c r="A521" s="529"/>
      <c r="B521" s="532"/>
      <c r="C521" s="537"/>
    </row>
    <row r="522" spans="1:3" s="518" customFormat="1">
      <c r="A522" s="529" t="s">
        <v>1065</v>
      </c>
      <c r="B522" s="532"/>
      <c r="C522" s="537">
        <f>SUM(C74,C143,C218,C462,C501,C520)</f>
        <v>8850071</v>
      </c>
    </row>
    <row r="525" spans="1:3">
      <c r="A525" s="170"/>
    </row>
    <row r="526" spans="1:3">
      <c r="A526" s="171"/>
    </row>
    <row r="527" spans="1:3">
      <c r="A527" s="170"/>
    </row>
    <row r="528" spans="1:3">
      <c r="A528" s="172" t="s">
        <v>1589</v>
      </c>
    </row>
    <row r="529" spans="1:1">
      <c r="A529" s="172" t="s">
        <v>1590</v>
      </c>
    </row>
    <row r="530" spans="1:1">
      <c r="A530" s="172" t="s">
        <v>1591</v>
      </c>
    </row>
    <row r="531" spans="1:1">
      <c r="A531" s="172"/>
    </row>
    <row r="532" spans="1:1">
      <c r="A532" s="170"/>
    </row>
    <row r="533" spans="1:1">
      <c r="A533" s="171"/>
    </row>
    <row r="534" spans="1:1">
      <c r="A534" s="170"/>
    </row>
    <row r="535" spans="1:1">
      <c r="A535" s="170"/>
    </row>
    <row r="536" spans="1:1">
      <c r="A536" s="171"/>
    </row>
    <row r="537" spans="1:1">
      <c r="A537" s="171"/>
    </row>
    <row r="538" spans="1:1">
      <c r="A538" s="35"/>
    </row>
    <row r="539" spans="1:1">
      <c r="A539" s="37"/>
    </row>
    <row r="540" spans="1:1">
      <c r="A540" s="37"/>
    </row>
    <row r="541" spans="1:1">
      <c r="A541" s="129"/>
    </row>
  </sheetData>
  <sheetProtection selectLockedCells="1" selectUnlockedCells="1"/>
  <autoFilter ref="A2:A523"/>
  <printOptions horizontalCentered="1"/>
  <pageMargins left="0.78740157480314965" right="0.78740157480314965" top="1.0629921259842521" bottom="1.0629921259842521" header="0.78740157480314965" footer="0.78740157480314965"/>
  <pageSetup scale="76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28</vt:i4>
      </vt:variant>
      <vt:variant>
        <vt:lpstr>Наименувани диапазони</vt:lpstr>
      </vt:variant>
      <vt:variant>
        <vt:i4>10</vt:i4>
      </vt:variant>
    </vt:vector>
  </HeadingPairs>
  <TitlesOfParts>
    <vt:vector size="38" baseType="lpstr">
      <vt:lpstr>Pril1</vt:lpstr>
      <vt:lpstr>Pril2</vt:lpstr>
      <vt:lpstr>Pril2A</vt:lpstr>
      <vt:lpstr>Pril2Б</vt:lpstr>
      <vt:lpstr>Pril2В</vt:lpstr>
      <vt:lpstr>Pril3</vt:lpstr>
      <vt:lpstr>Pril4</vt:lpstr>
      <vt:lpstr>Pril5</vt:lpstr>
      <vt:lpstr>Pril6</vt:lpstr>
      <vt:lpstr>Pril7</vt:lpstr>
      <vt:lpstr>Pril8</vt:lpstr>
      <vt:lpstr>Pril9</vt:lpstr>
      <vt:lpstr>Pril10</vt:lpstr>
      <vt:lpstr>Pril10A</vt:lpstr>
      <vt:lpstr>Pril11</vt:lpstr>
      <vt:lpstr>Pril12</vt:lpstr>
      <vt:lpstr>Pril13</vt:lpstr>
      <vt:lpstr>Pril14</vt:lpstr>
      <vt:lpstr>Pril15</vt:lpstr>
      <vt:lpstr>Pril16</vt:lpstr>
      <vt:lpstr>Pril17</vt:lpstr>
      <vt:lpstr>Pril17A</vt:lpstr>
      <vt:lpstr>Pril18</vt:lpstr>
      <vt:lpstr>Pril19</vt:lpstr>
      <vt:lpstr>Pril20</vt:lpstr>
      <vt:lpstr>Pril21</vt:lpstr>
      <vt:lpstr>Pril22</vt:lpstr>
      <vt:lpstr>Pril23</vt:lpstr>
      <vt:lpstr>Pril1!Печат_заглавия</vt:lpstr>
      <vt:lpstr>Pril14!Печат_заглавия</vt:lpstr>
      <vt:lpstr>Pril17!Печат_заглавия</vt:lpstr>
      <vt:lpstr>Pril17A!Печат_заглавия</vt:lpstr>
      <vt:lpstr>Pril2!Печат_заглавия</vt:lpstr>
      <vt:lpstr>Pril21!Печат_заглавия</vt:lpstr>
      <vt:lpstr>Pril2Б!Печат_заглавия</vt:lpstr>
      <vt:lpstr>Pril4!Печат_заглавия</vt:lpstr>
      <vt:lpstr>Pril6!Печат_заглавия</vt:lpstr>
      <vt:lpstr>Pril9!Печат_заглавия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2022-04-01T09:44:03Z</dcterms:modified>
</cp:coreProperties>
</file>