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5\mandat 2019-2023\Заседания\35 заседание\"/>
    </mc:Choice>
  </mc:AlternateContent>
  <bookViews>
    <workbookView xWindow="0" yWindow="0" windowWidth="20490" windowHeight="7755"/>
  </bookViews>
  <sheets>
    <sheet name="31122021" sheetId="1" r:id="rId1"/>
    <sheet name="Pril1_31122021" sheetId="2" r:id="rId2"/>
    <sheet name="pril2_31122021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xlfn_SUMIFS">NA()</definedName>
    <definedName name="_xlnm._FilterDatabase" localSheetId="0" hidden="1">'31122021'!$A$3:$IR$453</definedName>
    <definedName name="_xlnm._FilterDatabase" localSheetId="1" hidden="1">Pril1_31122021!$A$1:$GJ$469</definedName>
    <definedName name="GRO">[1]list!$A$281:$A$304</definedName>
    <definedName name="GROUPS" localSheetId="0">[2]Groups!$A$1:$A$27</definedName>
    <definedName name="GROUPS" localSheetId="1">[3]Groups!$A$1:$A$27</definedName>
    <definedName name="GROUPS">[4]Groups!$A$1:$A$27</definedName>
    <definedName name="GROUPS1">[1]Groups!$A$1:$A$27</definedName>
    <definedName name="GROUPS2" localSheetId="0">[2]Groups!$A$1:$B$27</definedName>
    <definedName name="GROUPS2" localSheetId="1">[3]Groups!$A$1:$B$27</definedName>
    <definedName name="GROUPS2">[4]Groups!$A$1:$B$27</definedName>
    <definedName name="ll">[5]list!$A$421:$B$709</definedName>
    <definedName name="mm">[5]Groups!$A$1:$B$27</definedName>
    <definedName name="oo">[5]list!$A$281:$B$304</definedName>
    <definedName name="OP_LIST" localSheetId="0">[2]list!$A$281:$A$304</definedName>
    <definedName name="OP_LIST" localSheetId="1">[3]list!$A$281:$A$304</definedName>
    <definedName name="OP_LIST">[4]list!$A$281:$A$304</definedName>
    <definedName name="OP_LIST2" localSheetId="0">[2]list!$A$281:$B$304</definedName>
    <definedName name="OP_LIST2" localSheetId="1">[3]list!$A$281:$B$304</definedName>
    <definedName name="OP_LIST2">[4]list!$A$281:$B$304</definedName>
    <definedName name="PRBK" localSheetId="0">[2]list!$A$421:$B$709</definedName>
    <definedName name="PRBK" localSheetId="1">[3]list!$A$421:$B$709</definedName>
    <definedName name="PRBK">[4]list!$A$421:$B$709</definedName>
    <definedName name="ss">[5]list!$A$281:$B$304</definedName>
    <definedName name="в">[2]list!$A$281:$A$304</definedName>
    <definedName name="з">[6]list!$A$281:$A$304</definedName>
    <definedName name="_xlnm.Print_Titles" localSheetId="1">Pril1_31122021!$6:$7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3" l="1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P24" i="3"/>
  <c r="P27" i="3" s="1"/>
  <c r="M24" i="3"/>
  <c r="M27" i="3" s="1"/>
  <c r="L24" i="3"/>
  <c r="L27" i="3" s="1"/>
  <c r="I24" i="3"/>
  <c r="I27" i="3" s="1"/>
  <c r="H24" i="3"/>
  <c r="H27" i="3" s="1"/>
  <c r="E24" i="3"/>
  <c r="E27" i="3" s="1"/>
  <c r="D24" i="3"/>
  <c r="D27" i="3" s="1"/>
  <c r="P17" i="3"/>
  <c r="O17" i="3"/>
  <c r="O24" i="3" s="1"/>
  <c r="O27" i="3" s="1"/>
  <c r="N17" i="3"/>
  <c r="N24" i="3" s="1"/>
  <c r="N27" i="3" s="1"/>
  <c r="M17" i="3"/>
  <c r="L17" i="3"/>
  <c r="K17" i="3"/>
  <c r="K24" i="3" s="1"/>
  <c r="K27" i="3" s="1"/>
  <c r="J17" i="3"/>
  <c r="J24" i="3" s="1"/>
  <c r="J27" i="3" s="1"/>
  <c r="I17" i="3"/>
  <c r="H17" i="3"/>
  <c r="G17" i="3"/>
  <c r="G24" i="3" s="1"/>
  <c r="G27" i="3" s="1"/>
  <c r="F17" i="3"/>
  <c r="F24" i="3" s="1"/>
  <c r="F27" i="3" s="1"/>
  <c r="E17" i="3"/>
  <c r="D17" i="3"/>
  <c r="C11" i="3"/>
  <c r="A7" i="3"/>
  <c r="AE444" i="2"/>
  <c r="AB444" i="2"/>
  <c r="Y444" i="2"/>
  <c r="V444" i="2"/>
  <c r="S444" i="2"/>
  <c r="P444" i="2"/>
  <c r="M444" i="2"/>
  <c r="J444" i="2"/>
  <c r="G444" i="2"/>
  <c r="F444" i="2"/>
  <c r="E444" i="2"/>
  <c r="AD443" i="2"/>
  <c r="AC443" i="2"/>
  <c r="AA443" i="2"/>
  <c r="Z443" i="2"/>
  <c r="Y443" i="2"/>
  <c r="X443" i="2"/>
  <c r="W443" i="2"/>
  <c r="V443" i="2"/>
  <c r="U443" i="2"/>
  <c r="T443" i="2"/>
  <c r="R443" i="2"/>
  <c r="Q443" i="2"/>
  <c r="O443" i="2"/>
  <c r="N443" i="2"/>
  <c r="M443" i="2"/>
  <c r="L443" i="2"/>
  <c r="K443" i="2"/>
  <c r="J443" i="2"/>
  <c r="I443" i="2"/>
  <c r="H443" i="2"/>
  <c r="F443" i="2"/>
  <c r="AC442" i="2"/>
  <c r="AC441" i="2" s="1"/>
  <c r="AA442" i="2"/>
  <c r="Y442" i="2"/>
  <c r="X442" i="2"/>
  <c r="W442" i="2"/>
  <c r="U442" i="2"/>
  <c r="T442" i="2"/>
  <c r="Q442" i="2"/>
  <c r="Q441" i="2" s="1"/>
  <c r="O442" i="2"/>
  <c r="M442" i="2"/>
  <c r="L442" i="2"/>
  <c r="K442" i="2"/>
  <c r="I442" i="2"/>
  <c r="H442" i="2"/>
  <c r="AA441" i="2"/>
  <c r="X441" i="2"/>
  <c r="Y441" i="2" s="1"/>
  <c r="W441" i="2"/>
  <c r="T441" i="2"/>
  <c r="O441" i="2"/>
  <c r="L441" i="2"/>
  <c r="M441" i="2" s="1"/>
  <c r="K441" i="2"/>
  <c r="H441" i="2"/>
  <c r="AE440" i="2"/>
  <c r="AB440" i="2"/>
  <c r="Y440" i="2"/>
  <c r="V440" i="2"/>
  <c r="S440" i="2"/>
  <c r="P440" i="2"/>
  <c r="O440" i="2"/>
  <c r="M440" i="2"/>
  <c r="J440" i="2"/>
  <c r="G440" i="2" s="1"/>
  <c r="F440" i="2"/>
  <c r="E440" i="2"/>
  <c r="AE439" i="2"/>
  <c r="AB439" i="2"/>
  <c r="Y439" i="2"/>
  <c r="V439" i="2"/>
  <c r="S439" i="2"/>
  <c r="P439" i="2"/>
  <c r="O439" i="2"/>
  <c r="N439" i="2"/>
  <c r="M439" i="2"/>
  <c r="J439" i="2"/>
  <c r="F439" i="2"/>
  <c r="E439" i="2"/>
  <c r="AE438" i="2"/>
  <c r="AD438" i="2"/>
  <c r="AC438" i="2"/>
  <c r="AB438" i="2"/>
  <c r="AA438" i="2"/>
  <c r="Z438" i="2"/>
  <c r="X438" i="2"/>
  <c r="W438" i="2"/>
  <c r="U438" i="2"/>
  <c r="V438" i="2" s="1"/>
  <c r="T438" i="2"/>
  <c r="T437" i="2" s="1"/>
  <c r="V437" i="2" s="1"/>
  <c r="S438" i="2"/>
  <c r="R438" i="2"/>
  <c r="Q438" i="2"/>
  <c r="P438" i="2"/>
  <c r="O438" i="2"/>
  <c r="N438" i="2"/>
  <c r="L438" i="2"/>
  <c r="K438" i="2"/>
  <c r="I438" i="2"/>
  <c r="H438" i="2"/>
  <c r="AE437" i="2"/>
  <c r="AD437" i="2"/>
  <c r="AC437" i="2"/>
  <c r="AA437" i="2"/>
  <c r="AB437" i="2" s="1"/>
  <c r="Z437" i="2"/>
  <c r="W437" i="2"/>
  <c r="U437" i="2"/>
  <c r="S437" i="2"/>
  <c r="R437" i="2"/>
  <c r="Q437" i="2"/>
  <c r="O437" i="2"/>
  <c r="P437" i="2" s="1"/>
  <c r="N437" i="2"/>
  <c r="K437" i="2"/>
  <c r="I437" i="2"/>
  <c r="AE436" i="2"/>
  <c r="AB436" i="2"/>
  <c r="Y436" i="2"/>
  <c r="V436" i="2"/>
  <c r="S436" i="2"/>
  <c r="P436" i="2"/>
  <c r="M436" i="2"/>
  <c r="J436" i="2"/>
  <c r="F436" i="2"/>
  <c r="E436" i="2"/>
  <c r="AE435" i="2"/>
  <c r="AB435" i="2"/>
  <c r="Y435" i="2"/>
  <c r="V435" i="2"/>
  <c r="S435" i="2"/>
  <c r="P435" i="2"/>
  <c r="M435" i="2"/>
  <c r="J435" i="2"/>
  <c r="G435" i="2" s="1"/>
  <c r="F435" i="2"/>
  <c r="E435" i="2"/>
  <c r="AE434" i="2"/>
  <c r="AD434" i="2"/>
  <c r="AC434" i="2"/>
  <c r="AB434" i="2"/>
  <c r="AA434" i="2"/>
  <c r="Z434" i="2"/>
  <c r="X434" i="2"/>
  <c r="W434" i="2"/>
  <c r="U434" i="2"/>
  <c r="T434" i="2"/>
  <c r="T433" i="2" s="1"/>
  <c r="V433" i="2" s="1"/>
  <c r="S434" i="2"/>
  <c r="R434" i="2"/>
  <c r="Q434" i="2"/>
  <c r="P434" i="2"/>
  <c r="O434" i="2"/>
  <c r="N434" i="2"/>
  <c r="L434" i="2"/>
  <c r="K434" i="2"/>
  <c r="I434" i="2"/>
  <c r="H434" i="2"/>
  <c r="AE433" i="2"/>
  <c r="AD433" i="2"/>
  <c r="AC433" i="2"/>
  <c r="AA433" i="2"/>
  <c r="AB433" i="2" s="1"/>
  <c r="Z433" i="2"/>
  <c r="W433" i="2"/>
  <c r="W419" i="2" s="1"/>
  <c r="U433" i="2"/>
  <c r="S433" i="2"/>
  <c r="R433" i="2"/>
  <c r="Q433" i="2"/>
  <c r="O433" i="2"/>
  <c r="P433" i="2" s="1"/>
  <c r="N433" i="2"/>
  <c r="K433" i="2"/>
  <c r="I433" i="2"/>
  <c r="AE432" i="2"/>
  <c r="AB432" i="2"/>
  <c r="Y432" i="2"/>
  <c r="V432" i="2"/>
  <c r="S432" i="2"/>
  <c r="P432" i="2"/>
  <c r="M432" i="2"/>
  <c r="J432" i="2"/>
  <c r="F432" i="2"/>
  <c r="E432" i="2"/>
  <c r="AD431" i="2"/>
  <c r="AC431" i="2"/>
  <c r="AE431" i="2" s="1"/>
  <c r="AB431" i="2"/>
  <c r="AA431" i="2"/>
  <c r="Z431" i="2"/>
  <c r="Y431" i="2"/>
  <c r="X431" i="2"/>
  <c r="W431" i="2"/>
  <c r="U431" i="2"/>
  <c r="V431" i="2" s="1"/>
  <c r="T431" i="2"/>
  <c r="R431" i="2"/>
  <c r="Q431" i="2"/>
  <c r="P431" i="2"/>
  <c r="O431" i="2"/>
  <c r="N431" i="2"/>
  <c r="M431" i="2"/>
  <c r="L431" i="2"/>
  <c r="K431" i="2"/>
  <c r="I431" i="2"/>
  <c r="H431" i="2"/>
  <c r="E431" i="2"/>
  <c r="AE430" i="2"/>
  <c r="AB430" i="2"/>
  <c r="Y430" i="2"/>
  <c r="V430" i="2"/>
  <c r="U430" i="2"/>
  <c r="F430" i="2" s="1"/>
  <c r="S430" i="2"/>
  <c r="P430" i="2"/>
  <c r="M430" i="2"/>
  <c r="J430" i="2"/>
  <c r="E430" i="2"/>
  <c r="AE429" i="2"/>
  <c r="AB429" i="2"/>
  <c r="Y429" i="2"/>
  <c r="V429" i="2"/>
  <c r="S429" i="2"/>
  <c r="P429" i="2"/>
  <c r="M429" i="2"/>
  <c r="J429" i="2"/>
  <c r="G429" i="2" s="1"/>
  <c r="F429" i="2"/>
  <c r="E429" i="2"/>
  <c r="AE428" i="2"/>
  <c r="AB428" i="2"/>
  <c r="Y428" i="2"/>
  <c r="V428" i="2"/>
  <c r="S428" i="2"/>
  <c r="P428" i="2"/>
  <c r="M428" i="2"/>
  <c r="J428" i="2"/>
  <c r="G428" i="2"/>
  <c r="F428" i="2"/>
  <c r="E428" i="2"/>
  <c r="AE427" i="2"/>
  <c r="AB427" i="2"/>
  <c r="Y427" i="2"/>
  <c r="V427" i="2"/>
  <c r="S427" i="2"/>
  <c r="P427" i="2"/>
  <c r="M427" i="2"/>
  <c r="J427" i="2"/>
  <c r="G427" i="2" s="1"/>
  <c r="F427" i="2"/>
  <c r="E427" i="2"/>
  <c r="AD426" i="2"/>
  <c r="AC426" i="2"/>
  <c r="AB426" i="2"/>
  <c r="AA426" i="2"/>
  <c r="Z426" i="2"/>
  <c r="Y426" i="2"/>
  <c r="X426" i="2"/>
  <c r="W426" i="2"/>
  <c r="U426" i="2"/>
  <c r="T426" i="2"/>
  <c r="R426" i="2"/>
  <c r="Q426" i="2"/>
  <c r="P426" i="2"/>
  <c r="O426" i="2"/>
  <c r="N426" i="2"/>
  <c r="M426" i="2"/>
  <c r="L426" i="2"/>
  <c r="K426" i="2"/>
  <c r="I426" i="2"/>
  <c r="H426" i="2"/>
  <c r="AD425" i="2"/>
  <c r="AB425" i="2"/>
  <c r="AA425" i="2"/>
  <c r="Z425" i="2"/>
  <c r="X425" i="2"/>
  <c r="Y425" i="2" s="1"/>
  <c r="W425" i="2"/>
  <c r="T425" i="2"/>
  <c r="R425" i="2"/>
  <c r="P425" i="2"/>
  <c r="O425" i="2"/>
  <c r="N425" i="2"/>
  <c r="L425" i="2"/>
  <c r="M425" i="2" s="1"/>
  <c r="K425" i="2"/>
  <c r="H425" i="2"/>
  <c r="AE424" i="2"/>
  <c r="AB424" i="2"/>
  <c r="Y424" i="2"/>
  <c r="V424" i="2"/>
  <c r="S424" i="2"/>
  <c r="P424" i="2"/>
  <c r="M424" i="2"/>
  <c r="J424" i="2"/>
  <c r="G424" i="2"/>
  <c r="F424" i="2"/>
  <c r="E424" i="2"/>
  <c r="AE423" i="2"/>
  <c r="AB423" i="2"/>
  <c r="Y423" i="2"/>
  <c r="V423" i="2"/>
  <c r="S423" i="2"/>
  <c r="P423" i="2"/>
  <c r="O423" i="2"/>
  <c r="M423" i="2"/>
  <c r="J423" i="2"/>
  <c r="G423" i="2"/>
  <c r="F423" i="2"/>
  <c r="E423" i="2"/>
  <c r="AE422" i="2"/>
  <c r="AB422" i="2"/>
  <c r="Y422" i="2"/>
  <c r="V422" i="2"/>
  <c r="S422" i="2"/>
  <c r="P422" i="2"/>
  <c r="O422" i="2"/>
  <c r="O421" i="2" s="1"/>
  <c r="M422" i="2"/>
  <c r="J422" i="2"/>
  <c r="G422" i="2"/>
  <c r="F422" i="2"/>
  <c r="E422" i="2"/>
  <c r="AD421" i="2"/>
  <c r="AC421" i="2"/>
  <c r="AA421" i="2"/>
  <c r="Z421" i="2"/>
  <c r="Y421" i="2"/>
  <c r="X421" i="2"/>
  <c r="W421" i="2"/>
  <c r="U421" i="2"/>
  <c r="T421" i="2"/>
  <c r="R421" i="2"/>
  <c r="Q421" i="2"/>
  <c r="Q420" i="2" s="1"/>
  <c r="N421" i="2"/>
  <c r="N420" i="2" s="1"/>
  <c r="N419" i="2" s="1"/>
  <c r="M421" i="2"/>
  <c r="L421" i="2"/>
  <c r="K421" i="2"/>
  <c r="J421" i="2"/>
  <c r="I421" i="2"/>
  <c r="H421" i="2"/>
  <c r="E421" i="2"/>
  <c r="AC420" i="2"/>
  <c r="AA420" i="2"/>
  <c r="Y420" i="2"/>
  <c r="X420" i="2"/>
  <c r="W420" i="2"/>
  <c r="T420" i="2"/>
  <c r="L420" i="2"/>
  <c r="K420" i="2"/>
  <c r="I420" i="2"/>
  <c r="H420" i="2"/>
  <c r="AA419" i="2"/>
  <c r="K419" i="2"/>
  <c r="AE418" i="2"/>
  <c r="AB418" i="2"/>
  <c r="Y418" i="2"/>
  <c r="V418" i="2"/>
  <c r="S418" i="2"/>
  <c r="P418" i="2"/>
  <c r="G418" i="2" s="1"/>
  <c r="M418" i="2"/>
  <c r="J418" i="2"/>
  <c r="F418" i="2"/>
  <c r="E418" i="2"/>
  <c r="AD417" i="2"/>
  <c r="AC417" i="2"/>
  <c r="AA417" i="2"/>
  <c r="Z417" i="2"/>
  <c r="AB417" i="2" s="1"/>
  <c r="Y417" i="2"/>
  <c r="X417" i="2"/>
  <c r="W417" i="2"/>
  <c r="V417" i="2"/>
  <c r="U417" i="2"/>
  <c r="T417" i="2"/>
  <c r="R417" i="2"/>
  <c r="Q417" i="2"/>
  <c r="E417" i="2" s="1"/>
  <c r="O417" i="2"/>
  <c r="N417" i="2"/>
  <c r="P417" i="2" s="1"/>
  <c r="M417" i="2"/>
  <c r="L417" i="2"/>
  <c r="K417" i="2"/>
  <c r="I417" i="2"/>
  <c r="F417" i="2" s="1"/>
  <c r="H417" i="2"/>
  <c r="AE416" i="2"/>
  <c r="AB416" i="2"/>
  <c r="Y416" i="2"/>
  <c r="V416" i="2"/>
  <c r="S416" i="2"/>
  <c r="P416" i="2"/>
  <c r="M416" i="2"/>
  <c r="J416" i="2"/>
  <c r="G416" i="2" s="1"/>
  <c r="F416" i="2"/>
  <c r="E416" i="2"/>
  <c r="AE415" i="2"/>
  <c r="AD415" i="2"/>
  <c r="AC415" i="2"/>
  <c r="AB415" i="2"/>
  <c r="AA415" i="2"/>
  <c r="Z415" i="2"/>
  <c r="X415" i="2"/>
  <c r="W415" i="2"/>
  <c r="U415" i="2"/>
  <c r="T415" i="2"/>
  <c r="S415" i="2"/>
  <c r="R415" i="2"/>
  <c r="Q415" i="2"/>
  <c r="O415" i="2"/>
  <c r="P415" i="2" s="1"/>
  <c r="N415" i="2"/>
  <c r="L415" i="2"/>
  <c r="K415" i="2"/>
  <c r="I415" i="2"/>
  <c r="H415" i="2"/>
  <c r="E415" i="2" s="1"/>
  <c r="AE414" i="2"/>
  <c r="AB414" i="2"/>
  <c r="Y414" i="2"/>
  <c r="V414" i="2"/>
  <c r="S414" i="2"/>
  <c r="P414" i="2"/>
  <c r="G414" i="2" s="1"/>
  <c r="M414" i="2"/>
  <c r="J414" i="2"/>
  <c r="F414" i="2"/>
  <c r="E414" i="2"/>
  <c r="AD413" i="2"/>
  <c r="AC413" i="2"/>
  <c r="AA413" i="2"/>
  <c r="Z413" i="2"/>
  <c r="Y413" i="2"/>
  <c r="X413" i="2"/>
  <c r="W413" i="2"/>
  <c r="V413" i="2"/>
  <c r="U413" i="2"/>
  <c r="T413" i="2"/>
  <c r="R413" i="2"/>
  <c r="Q413" i="2"/>
  <c r="O413" i="2"/>
  <c r="N413" i="2"/>
  <c r="P413" i="2" s="1"/>
  <c r="L413" i="2"/>
  <c r="M413" i="2" s="1"/>
  <c r="K413" i="2"/>
  <c r="I413" i="2"/>
  <c r="H413" i="2"/>
  <c r="AE412" i="2"/>
  <c r="AB412" i="2"/>
  <c r="Y412" i="2"/>
  <c r="V412" i="2"/>
  <c r="S412" i="2"/>
  <c r="P412" i="2"/>
  <c r="G412" i="2" s="1"/>
  <c r="M412" i="2"/>
  <c r="J412" i="2"/>
  <c r="F412" i="2"/>
  <c r="E412" i="2"/>
  <c r="AE411" i="2"/>
  <c r="AB411" i="2"/>
  <c r="Y411" i="2"/>
  <c r="V411" i="2"/>
  <c r="S411" i="2"/>
  <c r="O411" i="2"/>
  <c r="M411" i="2"/>
  <c r="J411" i="2"/>
  <c r="E411" i="2"/>
  <c r="AD410" i="2"/>
  <c r="AE410" i="2" s="1"/>
  <c r="AC410" i="2"/>
  <c r="AC409" i="2" s="1"/>
  <c r="AA410" i="2"/>
  <c r="AB410" i="2" s="1"/>
  <c r="Z410" i="2"/>
  <c r="Y410" i="2"/>
  <c r="X410" i="2"/>
  <c r="W410" i="2"/>
  <c r="U410" i="2"/>
  <c r="T410" i="2"/>
  <c r="R410" i="2"/>
  <c r="S410" i="2" s="1"/>
  <c r="Q410" i="2"/>
  <c r="N410" i="2"/>
  <c r="M410" i="2"/>
  <c r="L410" i="2"/>
  <c r="K410" i="2"/>
  <c r="K409" i="2" s="1"/>
  <c r="I410" i="2"/>
  <c r="H410" i="2"/>
  <c r="E410" i="2"/>
  <c r="AD409" i="2"/>
  <c r="AE409" i="2" s="1"/>
  <c r="X409" i="2"/>
  <c r="T409" i="2"/>
  <c r="R409" i="2"/>
  <c r="N409" i="2"/>
  <c r="AE408" i="2"/>
  <c r="AB408" i="2"/>
  <c r="Y408" i="2"/>
  <c r="V408" i="2"/>
  <c r="S408" i="2"/>
  <c r="O408" i="2"/>
  <c r="P408" i="2" s="1"/>
  <c r="M408" i="2"/>
  <c r="J408" i="2"/>
  <c r="F408" i="2"/>
  <c r="E408" i="2"/>
  <c r="AE407" i="2"/>
  <c r="AB407" i="2"/>
  <c r="Y407" i="2"/>
  <c r="V407" i="2"/>
  <c r="S407" i="2"/>
  <c r="P407" i="2"/>
  <c r="M407" i="2"/>
  <c r="J407" i="2"/>
  <c r="G407" i="2"/>
  <c r="F407" i="2"/>
  <c r="E407" i="2"/>
  <c r="AE406" i="2"/>
  <c r="AB406" i="2"/>
  <c r="Y406" i="2"/>
  <c r="V406" i="2"/>
  <c r="S406" i="2"/>
  <c r="P406" i="2"/>
  <c r="O406" i="2"/>
  <c r="M406" i="2"/>
  <c r="J406" i="2"/>
  <c r="G406" i="2"/>
  <c r="F406" i="2"/>
  <c r="E406" i="2"/>
  <c r="AE405" i="2"/>
  <c r="AB405" i="2"/>
  <c r="Y405" i="2"/>
  <c r="V405" i="2"/>
  <c r="S405" i="2"/>
  <c r="P405" i="2"/>
  <c r="M405" i="2"/>
  <c r="J405" i="2"/>
  <c r="G405" i="2" s="1"/>
  <c r="F405" i="2"/>
  <c r="E405" i="2"/>
  <c r="AE404" i="2"/>
  <c r="AB404" i="2"/>
  <c r="Y404" i="2"/>
  <c r="V404" i="2"/>
  <c r="S404" i="2"/>
  <c r="P404" i="2"/>
  <c r="M404" i="2"/>
  <c r="G404" i="2" s="1"/>
  <c r="J404" i="2"/>
  <c r="F404" i="2"/>
  <c r="E404" i="2"/>
  <c r="AD403" i="2"/>
  <c r="AE403" i="2" s="1"/>
  <c r="AC403" i="2"/>
  <c r="AB403" i="2"/>
  <c r="AA403" i="2"/>
  <c r="Z403" i="2"/>
  <c r="X403" i="2"/>
  <c r="W403" i="2"/>
  <c r="U403" i="2"/>
  <c r="T403" i="2"/>
  <c r="R403" i="2"/>
  <c r="S403" i="2" s="1"/>
  <c r="Q403" i="2"/>
  <c r="P403" i="2"/>
  <c r="O403" i="2"/>
  <c r="N403" i="2"/>
  <c r="L403" i="2"/>
  <c r="K403" i="2"/>
  <c r="I403" i="2"/>
  <c r="H403" i="2"/>
  <c r="AE402" i="2"/>
  <c r="AB402" i="2"/>
  <c r="Y402" i="2"/>
  <c r="V402" i="2"/>
  <c r="S402" i="2"/>
  <c r="O402" i="2"/>
  <c r="P402" i="2" s="1"/>
  <c r="M402" i="2"/>
  <c r="J402" i="2"/>
  <c r="F402" i="2"/>
  <c r="E402" i="2"/>
  <c r="AE401" i="2"/>
  <c r="AB401" i="2"/>
  <c r="Y401" i="2"/>
  <c r="V401" i="2"/>
  <c r="S401" i="2"/>
  <c r="P401" i="2"/>
  <c r="M401" i="2"/>
  <c r="J401" i="2"/>
  <c r="G401" i="2"/>
  <c r="F401" i="2"/>
  <c r="E401" i="2"/>
  <c r="AE400" i="2"/>
  <c r="AB400" i="2"/>
  <c r="Y400" i="2"/>
  <c r="V400" i="2"/>
  <c r="S400" i="2"/>
  <c r="P400" i="2"/>
  <c r="M400" i="2"/>
  <c r="J400" i="2"/>
  <c r="F400" i="2"/>
  <c r="E400" i="2"/>
  <c r="AE399" i="2"/>
  <c r="AB399" i="2"/>
  <c r="Y399" i="2"/>
  <c r="V399" i="2"/>
  <c r="S399" i="2"/>
  <c r="P399" i="2"/>
  <c r="M399" i="2"/>
  <c r="G399" i="2" s="1"/>
  <c r="J399" i="2"/>
  <c r="F399" i="2"/>
  <c r="E399" i="2"/>
  <c r="AE398" i="2"/>
  <c r="AB398" i="2"/>
  <c r="Y398" i="2"/>
  <c r="V398" i="2"/>
  <c r="S398" i="2"/>
  <c r="O398" i="2"/>
  <c r="N398" i="2"/>
  <c r="M398" i="2"/>
  <c r="J398" i="2"/>
  <c r="F398" i="2"/>
  <c r="AE397" i="2"/>
  <c r="AB397" i="2"/>
  <c r="Y397" i="2"/>
  <c r="V397" i="2"/>
  <c r="S397" i="2"/>
  <c r="P397" i="2"/>
  <c r="M397" i="2"/>
  <c r="G397" i="2" s="1"/>
  <c r="J397" i="2"/>
  <c r="F397" i="2"/>
  <c r="E397" i="2"/>
  <c r="AE396" i="2"/>
  <c r="AB396" i="2"/>
  <c r="Y396" i="2"/>
  <c r="V396" i="2"/>
  <c r="S396" i="2"/>
  <c r="P396" i="2"/>
  <c r="M396" i="2"/>
  <c r="J396" i="2"/>
  <c r="G396" i="2" s="1"/>
  <c r="F396" i="2"/>
  <c r="E396" i="2"/>
  <c r="AE395" i="2"/>
  <c r="AB395" i="2"/>
  <c r="Y395" i="2"/>
  <c r="V395" i="2"/>
  <c r="S395" i="2"/>
  <c r="R395" i="2"/>
  <c r="Q395" i="2"/>
  <c r="Q394" i="2" s="1"/>
  <c r="Q363" i="2" s="1"/>
  <c r="P395" i="2"/>
  <c r="M395" i="2"/>
  <c r="G395" i="2" s="1"/>
  <c r="J395" i="2"/>
  <c r="F395" i="2"/>
  <c r="E395" i="2"/>
  <c r="AD394" i="2"/>
  <c r="AE394" i="2" s="1"/>
  <c r="AC394" i="2"/>
  <c r="AB394" i="2"/>
  <c r="AA394" i="2"/>
  <c r="Z394" i="2"/>
  <c r="X394" i="2"/>
  <c r="Y394" i="2" s="1"/>
  <c r="W394" i="2"/>
  <c r="U394" i="2"/>
  <c r="T394" i="2"/>
  <c r="V394" i="2" s="1"/>
  <c r="R394" i="2"/>
  <c r="L394" i="2"/>
  <c r="K394" i="2"/>
  <c r="I394" i="2"/>
  <c r="H394" i="2"/>
  <c r="AE393" i="2"/>
  <c r="AB393" i="2"/>
  <c r="Y393" i="2"/>
  <c r="V393" i="2"/>
  <c r="S393" i="2"/>
  <c r="P393" i="2"/>
  <c r="M393" i="2"/>
  <c r="J393" i="2"/>
  <c r="G393" i="2"/>
  <c r="F393" i="2"/>
  <c r="E393" i="2"/>
  <c r="AE392" i="2"/>
  <c r="AB392" i="2"/>
  <c r="Y392" i="2"/>
  <c r="U392" i="2"/>
  <c r="T392" i="2"/>
  <c r="S392" i="2"/>
  <c r="P392" i="2"/>
  <c r="M392" i="2"/>
  <c r="J392" i="2"/>
  <c r="F392" i="2"/>
  <c r="AE391" i="2"/>
  <c r="AD391" i="2"/>
  <c r="AC391" i="2"/>
  <c r="AA391" i="2"/>
  <c r="AB391" i="2" s="1"/>
  <c r="Z391" i="2"/>
  <c r="X391" i="2"/>
  <c r="W391" i="2"/>
  <c r="U391" i="2"/>
  <c r="S391" i="2"/>
  <c r="R391" i="2"/>
  <c r="Q391" i="2"/>
  <c r="O391" i="2"/>
  <c r="P391" i="2" s="1"/>
  <c r="N391" i="2"/>
  <c r="L391" i="2"/>
  <c r="K391" i="2"/>
  <c r="I391" i="2"/>
  <c r="J391" i="2" s="1"/>
  <c r="H391" i="2"/>
  <c r="AE390" i="2"/>
  <c r="AB390" i="2"/>
  <c r="Y390" i="2"/>
  <c r="V390" i="2"/>
  <c r="S390" i="2"/>
  <c r="P390" i="2"/>
  <c r="O390" i="2"/>
  <c r="M390" i="2"/>
  <c r="J390" i="2"/>
  <c r="G390" i="2"/>
  <c r="F390" i="2"/>
  <c r="E390" i="2"/>
  <c r="AE389" i="2"/>
  <c r="AB389" i="2"/>
  <c r="Y389" i="2"/>
  <c r="V389" i="2"/>
  <c r="S389" i="2"/>
  <c r="P389" i="2"/>
  <c r="O389" i="2"/>
  <c r="M389" i="2"/>
  <c r="J389" i="2"/>
  <c r="G389" i="2"/>
  <c r="F389" i="2"/>
  <c r="E389" i="2"/>
  <c r="AE388" i="2"/>
  <c r="AB388" i="2"/>
  <c r="Y388" i="2"/>
  <c r="V388" i="2"/>
  <c r="S388" i="2"/>
  <c r="P388" i="2"/>
  <c r="G388" i="2" s="1"/>
  <c r="M388" i="2"/>
  <c r="J388" i="2"/>
  <c r="F388" i="2"/>
  <c r="E388" i="2"/>
  <c r="AE387" i="2"/>
  <c r="AB387" i="2"/>
  <c r="Y387" i="2"/>
  <c r="V387" i="2"/>
  <c r="S387" i="2"/>
  <c r="O387" i="2"/>
  <c r="P387" i="2" s="1"/>
  <c r="M387" i="2"/>
  <c r="J387" i="2"/>
  <c r="F387" i="2"/>
  <c r="E387" i="2"/>
  <c r="AE386" i="2"/>
  <c r="AB386" i="2"/>
  <c r="Y386" i="2"/>
  <c r="V386" i="2"/>
  <c r="S386" i="2"/>
  <c r="O386" i="2"/>
  <c r="P386" i="2" s="1"/>
  <c r="G386" i="2" s="1"/>
  <c r="M386" i="2"/>
  <c r="J386" i="2"/>
  <c r="F386" i="2"/>
  <c r="E386" i="2"/>
  <c r="AE385" i="2"/>
  <c r="AB385" i="2"/>
  <c r="Y385" i="2"/>
  <c r="V385" i="2"/>
  <c r="S385" i="2"/>
  <c r="O385" i="2"/>
  <c r="P385" i="2" s="1"/>
  <c r="M385" i="2"/>
  <c r="J385" i="2"/>
  <c r="F385" i="2"/>
  <c r="E385" i="2"/>
  <c r="AE384" i="2"/>
  <c r="AB384" i="2"/>
  <c r="Y384" i="2"/>
  <c r="V384" i="2"/>
  <c r="S384" i="2"/>
  <c r="O384" i="2"/>
  <c r="N384" i="2"/>
  <c r="M384" i="2"/>
  <c r="J384" i="2"/>
  <c r="E384" i="2"/>
  <c r="AE383" i="2"/>
  <c r="AB383" i="2"/>
  <c r="Y383" i="2"/>
  <c r="V383" i="2"/>
  <c r="S383" i="2"/>
  <c r="P383" i="2"/>
  <c r="O383" i="2"/>
  <c r="M383" i="2"/>
  <c r="J383" i="2"/>
  <c r="G383" i="2"/>
  <c r="F383" i="2"/>
  <c r="E383" i="2"/>
  <c r="AE382" i="2"/>
  <c r="AB382" i="2"/>
  <c r="Y382" i="2"/>
  <c r="V382" i="2"/>
  <c r="S382" i="2"/>
  <c r="P382" i="2"/>
  <c r="O382" i="2"/>
  <c r="M382" i="2"/>
  <c r="J382" i="2"/>
  <c r="G382" i="2"/>
  <c r="F382" i="2"/>
  <c r="E382" i="2"/>
  <c r="O381" i="2"/>
  <c r="N381" i="2"/>
  <c r="E381" i="2"/>
  <c r="AE380" i="2"/>
  <c r="AB380" i="2"/>
  <c r="Y380" i="2"/>
  <c r="V380" i="2"/>
  <c r="S380" i="2"/>
  <c r="O380" i="2"/>
  <c r="N380" i="2"/>
  <c r="M380" i="2"/>
  <c r="J380" i="2"/>
  <c r="F380" i="2"/>
  <c r="AE379" i="2"/>
  <c r="AB379" i="2"/>
  <c r="Y379" i="2"/>
  <c r="V379" i="2"/>
  <c r="S379" i="2"/>
  <c r="O379" i="2"/>
  <c r="O373" i="2" s="1"/>
  <c r="N379" i="2"/>
  <c r="M379" i="2"/>
  <c r="J379" i="2"/>
  <c r="E379" i="2"/>
  <c r="AE378" i="2"/>
  <c r="AB378" i="2"/>
  <c r="Y378" i="2"/>
  <c r="V378" i="2"/>
  <c r="S378" i="2"/>
  <c r="P378" i="2"/>
  <c r="M378" i="2"/>
  <c r="J378" i="2"/>
  <c r="F378" i="2"/>
  <c r="E378" i="2"/>
  <c r="AE377" i="2"/>
  <c r="AB377" i="2"/>
  <c r="Y377" i="2"/>
  <c r="V377" i="2"/>
  <c r="S377" i="2"/>
  <c r="P377" i="2"/>
  <c r="M377" i="2"/>
  <c r="G377" i="2" s="1"/>
  <c r="J377" i="2"/>
  <c r="F377" i="2"/>
  <c r="E377" i="2"/>
  <c r="AE376" i="2"/>
  <c r="AB376" i="2"/>
  <c r="Y376" i="2"/>
  <c r="V376" i="2"/>
  <c r="S376" i="2"/>
  <c r="P376" i="2"/>
  <c r="M376" i="2"/>
  <c r="J376" i="2"/>
  <c r="G376" i="2" s="1"/>
  <c r="F376" i="2"/>
  <c r="E376" i="2"/>
  <c r="AE375" i="2"/>
  <c r="AB375" i="2"/>
  <c r="Y375" i="2"/>
  <c r="V375" i="2"/>
  <c r="S375" i="2"/>
  <c r="P375" i="2"/>
  <c r="M375" i="2"/>
  <c r="J375" i="2"/>
  <c r="G375" i="2"/>
  <c r="F375" i="2"/>
  <c r="E375" i="2"/>
  <c r="AE374" i="2"/>
  <c r="AB374" i="2"/>
  <c r="Y374" i="2"/>
  <c r="V374" i="2"/>
  <c r="S374" i="2"/>
  <c r="P374" i="2"/>
  <c r="O374" i="2"/>
  <c r="N374" i="2"/>
  <c r="M374" i="2"/>
  <c r="J374" i="2"/>
  <c r="G374" i="2" s="1"/>
  <c r="F374" i="2"/>
  <c r="AE373" i="2"/>
  <c r="AD373" i="2"/>
  <c r="AC373" i="2"/>
  <c r="AA373" i="2"/>
  <c r="Z373" i="2"/>
  <c r="X373" i="2"/>
  <c r="W373" i="2"/>
  <c r="U373" i="2"/>
  <c r="V373" i="2" s="1"/>
  <c r="T373" i="2"/>
  <c r="S373" i="2"/>
  <c r="R373" i="2"/>
  <c r="Q373" i="2"/>
  <c r="L373" i="2"/>
  <c r="K373" i="2"/>
  <c r="I373" i="2"/>
  <c r="J373" i="2" s="1"/>
  <c r="H373" i="2"/>
  <c r="AE372" i="2"/>
  <c r="AB372" i="2"/>
  <c r="Y372" i="2"/>
  <c r="V372" i="2"/>
  <c r="S372" i="2"/>
  <c r="P372" i="2"/>
  <c r="O372" i="2"/>
  <c r="N372" i="2"/>
  <c r="E372" i="2" s="1"/>
  <c r="M372" i="2"/>
  <c r="J372" i="2"/>
  <c r="G372" i="2" s="1"/>
  <c r="F372" i="2"/>
  <c r="AE371" i="2"/>
  <c r="AB371" i="2"/>
  <c r="Y371" i="2"/>
  <c r="V371" i="2"/>
  <c r="S371" i="2"/>
  <c r="P371" i="2"/>
  <c r="M371" i="2"/>
  <c r="J371" i="2"/>
  <c r="G371" i="2"/>
  <c r="F371" i="2"/>
  <c r="E371" i="2"/>
  <c r="AE370" i="2"/>
  <c r="AB370" i="2"/>
  <c r="Y370" i="2"/>
  <c r="V370" i="2"/>
  <c r="S370" i="2"/>
  <c r="P370" i="2"/>
  <c r="M370" i="2"/>
  <c r="J370" i="2"/>
  <c r="F370" i="2"/>
  <c r="E370" i="2"/>
  <c r="AE369" i="2"/>
  <c r="AB369" i="2"/>
  <c r="Y369" i="2"/>
  <c r="V369" i="2"/>
  <c r="S369" i="2"/>
  <c r="O369" i="2"/>
  <c r="N369" i="2"/>
  <c r="M369" i="2"/>
  <c r="J369" i="2"/>
  <c r="E369" i="2"/>
  <c r="AE368" i="2"/>
  <c r="AB368" i="2"/>
  <c r="Y368" i="2"/>
  <c r="V368" i="2"/>
  <c r="S368" i="2"/>
  <c r="P368" i="2"/>
  <c r="O368" i="2"/>
  <c r="M368" i="2"/>
  <c r="J368" i="2"/>
  <c r="G368" i="2"/>
  <c r="F368" i="2"/>
  <c r="E368" i="2"/>
  <c r="AE367" i="2"/>
  <c r="AB367" i="2"/>
  <c r="Y367" i="2"/>
  <c r="V367" i="2"/>
  <c r="S367" i="2"/>
  <c r="P367" i="2"/>
  <c r="O367" i="2"/>
  <c r="M367" i="2"/>
  <c r="J367" i="2"/>
  <c r="G367" i="2"/>
  <c r="F367" i="2"/>
  <c r="E367" i="2"/>
  <c r="AE366" i="2"/>
  <c r="AB366" i="2"/>
  <c r="Y366" i="2"/>
  <c r="V366" i="2"/>
  <c r="S366" i="2"/>
  <c r="P366" i="2"/>
  <c r="O366" i="2"/>
  <c r="M366" i="2"/>
  <c r="J366" i="2"/>
  <c r="G366" i="2"/>
  <c r="F366" i="2"/>
  <c r="E366" i="2"/>
  <c r="AE365" i="2"/>
  <c r="AB365" i="2"/>
  <c r="Y365" i="2"/>
  <c r="V365" i="2"/>
  <c r="S365" i="2"/>
  <c r="P365" i="2"/>
  <c r="O365" i="2"/>
  <c r="M365" i="2"/>
  <c r="J365" i="2"/>
  <c r="G365" i="2"/>
  <c r="F365" i="2"/>
  <c r="E365" i="2"/>
  <c r="AD364" i="2"/>
  <c r="AC364" i="2"/>
  <c r="AA364" i="2"/>
  <c r="Z364" i="2"/>
  <c r="X364" i="2"/>
  <c r="Y364" i="2" s="1"/>
  <c r="W364" i="2"/>
  <c r="V364" i="2"/>
  <c r="U364" i="2"/>
  <c r="T364" i="2"/>
  <c r="R364" i="2"/>
  <c r="Q364" i="2"/>
  <c r="N364" i="2"/>
  <c r="L364" i="2"/>
  <c r="M364" i="2" s="1"/>
  <c r="K364" i="2"/>
  <c r="J364" i="2"/>
  <c r="I364" i="2"/>
  <c r="H364" i="2"/>
  <c r="E364" i="2" s="1"/>
  <c r="AC363" i="2"/>
  <c r="U363" i="2"/>
  <c r="I363" i="2"/>
  <c r="AE362" i="2"/>
  <c r="AB362" i="2"/>
  <c r="Y362" i="2"/>
  <c r="V362" i="2"/>
  <c r="S362" i="2"/>
  <c r="P362" i="2"/>
  <c r="O362" i="2"/>
  <c r="O361" i="2" s="1"/>
  <c r="M362" i="2"/>
  <c r="G362" i="2" s="1"/>
  <c r="J362" i="2"/>
  <c r="F362" i="2"/>
  <c r="E362" i="2"/>
  <c r="AD361" i="2"/>
  <c r="AE361" i="2" s="1"/>
  <c r="AC361" i="2"/>
  <c r="AB361" i="2"/>
  <c r="AA361" i="2"/>
  <c r="Z361" i="2"/>
  <c r="X361" i="2"/>
  <c r="Y361" i="2" s="1"/>
  <c r="W361" i="2"/>
  <c r="U361" i="2"/>
  <c r="T361" i="2"/>
  <c r="R361" i="2"/>
  <c r="S361" i="2" s="1"/>
  <c r="Q361" i="2"/>
  <c r="P361" i="2"/>
  <c r="N361" i="2"/>
  <c r="L361" i="2"/>
  <c r="K361" i="2"/>
  <c r="I361" i="2"/>
  <c r="H361" i="2"/>
  <c r="AE360" i="2"/>
  <c r="AB360" i="2"/>
  <c r="Y360" i="2"/>
  <c r="V360" i="2"/>
  <c r="S360" i="2"/>
  <c r="O360" i="2"/>
  <c r="P360" i="2" s="1"/>
  <c r="N360" i="2"/>
  <c r="M360" i="2"/>
  <c r="L360" i="2"/>
  <c r="K360" i="2"/>
  <c r="I360" i="2"/>
  <c r="H360" i="2"/>
  <c r="E360" i="2"/>
  <c r="AE359" i="2"/>
  <c r="AB359" i="2"/>
  <c r="Y359" i="2"/>
  <c r="V359" i="2"/>
  <c r="S359" i="2"/>
  <c r="P359" i="2"/>
  <c r="M359" i="2"/>
  <c r="J359" i="2"/>
  <c r="G359" i="2" s="1"/>
  <c r="F359" i="2"/>
  <c r="E359" i="2"/>
  <c r="AE358" i="2"/>
  <c r="AD358" i="2"/>
  <c r="AC358" i="2"/>
  <c r="AB358" i="2"/>
  <c r="Y358" i="2"/>
  <c r="V358" i="2"/>
  <c r="S358" i="2"/>
  <c r="O358" i="2"/>
  <c r="N358" i="2"/>
  <c r="L358" i="2"/>
  <c r="K358" i="2"/>
  <c r="M358" i="2" s="1"/>
  <c r="J358" i="2"/>
  <c r="E358" i="2"/>
  <c r="AE357" i="2"/>
  <c r="AB357" i="2"/>
  <c r="Y357" i="2"/>
  <c r="V357" i="2"/>
  <c r="S357" i="2"/>
  <c r="O357" i="2"/>
  <c r="N357" i="2"/>
  <c r="M357" i="2"/>
  <c r="J357" i="2"/>
  <c r="F357" i="2"/>
  <c r="AE356" i="2"/>
  <c r="AB356" i="2"/>
  <c r="Y356" i="2"/>
  <c r="V356" i="2"/>
  <c r="S356" i="2"/>
  <c r="O356" i="2"/>
  <c r="M356" i="2"/>
  <c r="J356" i="2"/>
  <c r="E356" i="2"/>
  <c r="AE355" i="2"/>
  <c r="AB355" i="2"/>
  <c r="Y355" i="2"/>
  <c r="V355" i="2"/>
  <c r="S355" i="2"/>
  <c r="P355" i="2"/>
  <c r="M355" i="2"/>
  <c r="G355" i="2" s="1"/>
  <c r="J355" i="2"/>
  <c r="F355" i="2"/>
  <c r="E355" i="2"/>
  <c r="AE354" i="2"/>
  <c r="AB354" i="2"/>
  <c r="Y354" i="2"/>
  <c r="V354" i="2"/>
  <c r="S354" i="2"/>
  <c r="P354" i="2"/>
  <c r="L354" i="2"/>
  <c r="K354" i="2"/>
  <c r="I354" i="2"/>
  <c r="H354" i="2"/>
  <c r="AE353" i="2"/>
  <c r="AB353" i="2"/>
  <c r="Y353" i="2"/>
  <c r="V353" i="2"/>
  <c r="S353" i="2"/>
  <c r="O353" i="2"/>
  <c r="P353" i="2" s="1"/>
  <c r="M353" i="2"/>
  <c r="J353" i="2"/>
  <c r="G353" i="2" s="1"/>
  <c r="I353" i="2"/>
  <c r="H353" i="2"/>
  <c r="E353" i="2" s="1"/>
  <c r="F353" i="2"/>
  <c r="AE352" i="2"/>
  <c r="AB352" i="2"/>
  <c r="Y352" i="2"/>
  <c r="V352" i="2"/>
  <c r="S352" i="2"/>
  <c r="O352" i="2"/>
  <c r="N352" i="2"/>
  <c r="M352" i="2"/>
  <c r="J352" i="2"/>
  <c r="E352" i="2"/>
  <c r="AC351" i="2"/>
  <c r="AB351" i="2"/>
  <c r="Y351" i="2"/>
  <c r="V351" i="2"/>
  <c r="S351" i="2"/>
  <c r="P351" i="2"/>
  <c r="M351" i="2"/>
  <c r="L351" i="2"/>
  <c r="J351" i="2"/>
  <c r="F351" i="2"/>
  <c r="E351" i="2"/>
  <c r="AE350" i="2"/>
  <c r="AB350" i="2"/>
  <c r="Y350" i="2"/>
  <c r="X350" i="2"/>
  <c r="W350" i="2"/>
  <c r="V350" i="2"/>
  <c r="S350" i="2"/>
  <c r="P350" i="2"/>
  <c r="M350" i="2"/>
  <c r="J350" i="2"/>
  <c r="G350" i="2"/>
  <c r="F350" i="2"/>
  <c r="E350" i="2"/>
  <c r="AE349" i="2"/>
  <c r="AB349" i="2"/>
  <c r="Y349" i="2"/>
  <c r="V349" i="2"/>
  <c r="S349" i="2"/>
  <c r="P349" i="2"/>
  <c r="O349" i="2"/>
  <c r="F349" i="2" s="1"/>
  <c r="N349" i="2"/>
  <c r="E349" i="2" s="1"/>
  <c r="M349" i="2"/>
  <c r="J349" i="2"/>
  <c r="G349" i="2" s="1"/>
  <c r="AE348" i="2"/>
  <c r="AB348" i="2"/>
  <c r="Y348" i="2"/>
  <c r="V348" i="2"/>
  <c r="S348" i="2"/>
  <c r="P348" i="2"/>
  <c r="M348" i="2"/>
  <c r="J348" i="2"/>
  <c r="F348" i="2"/>
  <c r="E348" i="2"/>
  <c r="AE347" i="2"/>
  <c r="AB347" i="2"/>
  <c r="Y347" i="2"/>
  <c r="V347" i="2"/>
  <c r="S347" i="2"/>
  <c r="P347" i="2"/>
  <c r="M347" i="2"/>
  <c r="J347" i="2"/>
  <c r="F347" i="2"/>
  <c r="E347" i="2"/>
  <c r="AE346" i="2"/>
  <c r="AB346" i="2"/>
  <c r="Y346" i="2"/>
  <c r="V346" i="2"/>
  <c r="S346" i="2"/>
  <c r="P346" i="2"/>
  <c r="M346" i="2"/>
  <c r="L346" i="2"/>
  <c r="J346" i="2"/>
  <c r="G346" i="2" s="1"/>
  <c r="F346" i="2"/>
  <c r="E346" i="2"/>
  <c r="AE345" i="2"/>
  <c r="AB345" i="2"/>
  <c r="Y345" i="2"/>
  <c r="V345" i="2"/>
  <c r="S345" i="2"/>
  <c r="O345" i="2"/>
  <c r="N345" i="2"/>
  <c r="E345" i="2" s="1"/>
  <c r="M345" i="2"/>
  <c r="J345" i="2"/>
  <c r="AE344" i="2"/>
  <c r="AB344" i="2"/>
  <c r="Y344" i="2"/>
  <c r="V344" i="2"/>
  <c r="S344" i="2"/>
  <c r="P344" i="2"/>
  <c r="M344" i="2"/>
  <c r="J344" i="2"/>
  <c r="F344" i="2"/>
  <c r="E344" i="2"/>
  <c r="AE343" i="2"/>
  <c r="AB343" i="2"/>
  <c r="Y343" i="2"/>
  <c r="V343" i="2"/>
  <c r="S343" i="2"/>
  <c r="P343" i="2"/>
  <c r="M343" i="2"/>
  <c r="J343" i="2"/>
  <c r="G343" i="2" s="1"/>
  <c r="F343" i="2"/>
  <c r="E343" i="2"/>
  <c r="AD342" i="2"/>
  <c r="AA342" i="2"/>
  <c r="Z342" i="2"/>
  <c r="AB342" i="2" s="1"/>
  <c r="X342" i="2"/>
  <c r="Y342" i="2" s="1"/>
  <c r="W342" i="2"/>
  <c r="U342" i="2"/>
  <c r="V342" i="2" s="1"/>
  <c r="T342" i="2"/>
  <c r="R342" i="2"/>
  <c r="Q342" i="2"/>
  <c r="S342" i="2" s="1"/>
  <c r="M342" i="2"/>
  <c r="L342" i="2"/>
  <c r="K342" i="2"/>
  <c r="I342" i="2"/>
  <c r="AE341" i="2"/>
  <c r="AB341" i="2"/>
  <c r="Y341" i="2"/>
  <c r="V341" i="2"/>
  <c r="S341" i="2"/>
  <c r="P341" i="2"/>
  <c r="O341" i="2"/>
  <c r="M341" i="2"/>
  <c r="J341" i="2"/>
  <c r="F341" i="2"/>
  <c r="E341" i="2"/>
  <c r="AE340" i="2"/>
  <c r="AB340" i="2"/>
  <c r="Y340" i="2"/>
  <c r="V340" i="2"/>
  <c r="S340" i="2"/>
  <c r="P340" i="2"/>
  <c r="O340" i="2"/>
  <c r="M340" i="2"/>
  <c r="J340" i="2"/>
  <c r="G340" i="2" s="1"/>
  <c r="F340" i="2"/>
  <c r="E340" i="2"/>
  <c r="AE339" i="2"/>
  <c r="AB339" i="2"/>
  <c r="Y339" i="2"/>
  <c r="V339" i="2"/>
  <c r="S339" i="2"/>
  <c r="P339" i="2"/>
  <c r="M339" i="2"/>
  <c r="J339" i="2"/>
  <c r="G339" i="2" s="1"/>
  <c r="F339" i="2"/>
  <c r="E339" i="2"/>
  <c r="AE338" i="2"/>
  <c r="AB338" i="2"/>
  <c r="Y338" i="2"/>
  <c r="V338" i="2"/>
  <c r="S338" i="2"/>
  <c r="P338" i="2"/>
  <c r="O338" i="2"/>
  <c r="F338" i="2" s="1"/>
  <c r="N338" i="2"/>
  <c r="M338" i="2"/>
  <c r="J338" i="2"/>
  <c r="G338" i="2" s="1"/>
  <c r="E338" i="2"/>
  <c r="AE337" i="2"/>
  <c r="AB337" i="2"/>
  <c r="Y337" i="2"/>
  <c r="V337" i="2"/>
  <c r="S337" i="2"/>
  <c r="O337" i="2"/>
  <c r="N337" i="2"/>
  <c r="M337" i="2"/>
  <c r="J337" i="2"/>
  <c r="F337" i="2"/>
  <c r="AE336" i="2"/>
  <c r="AB336" i="2"/>
  <c r="Y336" i="2"/>
  <c r="V336" i="2"/>
  <c r="S336" i="2"/>
  <c r="P336" i="2"/>
  <c r="M336" i="2"/>
  <c r="J336" i="2"/>
  <c r="F336" i="2"/>
  <c r="E336" i="2"/>
  <c r="AE335" i="2"/>
  <c r="AD335" i="2"/>
  <c r="AC335" i="2"/>
  <c r="AB335" i="2"/>
  <c r="AA335" i="2"/>
  <c r="Z335" i="2"/>
  <c r="X335" i="2"/>
  <c r="Y335" i="2" s="1"/>
  <c r="W335" i="2"/>
  <c r="U335" i="2"/>
  <c r="T335" i="2"/>
  <c r="V335" i="2" s="1"/>
  <c r="S335" i="2"/>
  <c r="R335" i="2"/>
  <c r="Q335" i="2"/>
  <c r="O335" i="2"/>
  <c r="L335" i="2"/>
  <c r="K335" i="2"/>
  <c r="I335" i="2"/>
  <c r="H335" i="2"/>
  <c r="AE334" i="2"/>
  <c r="AB334" i="2"/>
  <c r="Y334" i="2"/>
  <c r="V334" i="2"/>
  <c r="S334" i="2"/>
  <c r="P334" i="2"/>
  <c r="M334" i="2"/>
  <c r="J334" i="2"/>
  <c r="G334" i="2"/>
  <c r="F334" i="2"/>
  <c r="E334" i="2"/>
  <c r="AE333" i="2"/>
  <c r="AB333" i="2"/>
  <c r="Y333" i="2"/>
  <c r="V333" i="2"/>
  <c r="S333" i="2"/>
  <c r="P333" i="2"/>
  <c r="M333" i="2"/>
  <c r="J333" i="2"/>
  <c r="G333" i="2" s="1"/>
  <c r="F333" i="2"/>
  <c r="E333" i="2"/>
  <c r="AE332" i="2"/>
  <c r="AB332" i="2"/>
  <c r="Y332" i="2"/>
  <c r="V332" i="2"/>
  <c r="S332" i="2"/>
  <c r="P332" i="2"/>
  <c r="M332" i="2"/>
  <c r="J332" i="2"/>
  <c r="G332" i="2" s="1"/>
  <c r="F332" i="2"/>
  <c r="E332" i="2"/>
  <c r="AE331" i="2"/>
  <c r="AD331" i="2"/>
  <c r="AC331" i="2"/>
  <c r="AB331" i="2"/>
  <c r="AA331" i="2"/>
  <c r="Z331" i="2"/>
  <c r="X331" i="2"/>
  <c r="W331" i="2"/>
  <c r="W322" i="2" s="1"/>
  <c r="U331" i="2"/>
  <c r="T331" i="2"/>
  <c r="V331" i="2" s="1"/>
  <c r="S331" i="2"/>
  <c r="R331" i="2"/>
  <c r="Q331" i="2"/>
  <c r="P331" i="2"/>
  <c r="O331" i="2"/>
  <c r="N331" i="2"/>
  <c r="L331" i="2"/>
  <c r="K331" i="2"/>
  <c r="K322" i="2" s="1"/>
  <c r="I331" i="2"/>
  <c r="H331" i="2"/>
  <c r="AE330" i="2"/>
  <c r="AB330" i="2"/>
  <c r="Y330" i="2"/>
  <c r="V330" i="2"/>
  <c r="S330" i="2"/>
  <c r="P330" i="2"/>
  <c r="M330" i="2"/>
  <c r="J330" i="2"/>
  <c r="G330" i="2"/>
  <c r="F330" i="2"/>
  <c r="E330" i="2"/>
  <c r="AE329" i="2"/>
  <c r="AB329" i="2"/>
  <c r="Y329" i="2"/>
  <c r="V329" i="2"/>
  <c r="S329" i="2"/>
  <c r="P329" i="2"/>
  <c r="O329" i="2"/>
  <c r="F329" i="2" s="1"/>
  <c r="N329" i="2"/>
  <c r="E329" i="2" s="1"/>
  <c r="M329" i="2"/>
  <c r="J329" i="2"/>
  <c r="G329" i="2" s="1"/>
  <c r="AE328" i="2"/>
  <c r="AB328" i="2"/>
  <c r="Y328" i="2"/>
  <c r="V328" i="2"/>
  <c r="S328" i="2"/>
  <c r="P328" i="2"/>
  <c r="M328" i="2"/>
  <c r="J328" i="2"/>
  <c r="G328" i="2"/>
  <c r="F328" i="2"/>
  <c r="E328" i="2"/>
  <c r="AE327" i="2"/>
  <c r="AB327" i="2"/>
  <c r="Y327" i="2"/>
  <c r="V327" i="2"/>
  <c r="S327" i="2"/>
  <c r="P327" i="2"/>
  <c r="O327" i="2"/>
  <c r="O326" i="2" s="1"/>
  <c r="P326" i="2" s="1"/>
  <c r="M327" i="2"/>
  <c r="J327" i="2"/>
  <c r="G327" i="2"/>
  <c r="F327" i="2"/>
  <c r="E327" i="2"/>
  <c r="AD326" i="2"/>
  <c r="AC326" i="2"/>
  <c r="AA326" i="2"/>
  <c r="Z326" i="2"/>
  <c r="Y326" i="2"/>
  <c r="X326" i="2"/>
  <c r="W326" i="2"/>
  <c r="V326" i="2"/>
  <c r="U326" i="2"/>
  <c r="T326" i="2"/>
  <c r="R326" i="2"/>
  <c r="Q326" i="2"/>
  <c r="N326" i="2"/>
  <c r="M326" i="2"/>
  <c r="L326" i="2"/>
  <c r="K326" i="2"/>
  <c r="I326" i="2"/>
  <c r="H326" i="2"/>
  <c r="AE325" i="2"/>
  <c r="AB325" i="2"/>
  <c r="Y325" i="2"/>
  <c r="V325" i="2"/>
  <c r="S325" i="2"/>
  <c r="P325" i="2"/>
  <c r="M325" i="2"/>
  <c r="J325" i="2"/>
  <c r="F325" i="2"/>
  <c r="E325" i="2"/>
  <c r="AE324" i="2"/>
  <c r="AB324" i="2"/>
  <c r="Y324" i="2"/>
  <c r="V324" i="2"/>
  <c r="S324" i="2"/>
  <c r="O324" i="2"/>
  <c r="N324" i="2"/>
  <c r="M324" i="2"/>
  <c r="J324" i="2"/>
  <c r="F324" i="2"/>
  <c r="E324" i="2"/>
  <c r="AD323" i="2"/>
  <c r="AC323" i="2"/>
  <c r="AB323" i="2"/>
  <c r="AA323" i="2"/>
  <c r="Z323" i="2"/>
  <c r="Y323" i="2"/>
  <c r="X323" i="2"/>
  <c r="W323" i="2"/>
  <c r="U323" i="2"/>
  <c r="T323" i="2"/>
  <c r="R323" i="2"/>
  <c r="Q323" i="2"/>
  <c r="O323" i="2"/>
  <c r="L323" i="2"/>
  <c r="K323" i="2"/>
  <c r="I323" i="2"/>
  <c r="H323" i="2"/>
  <c r="AA322" i="2"/>
  <c r="AE321" i="2"/>
  <c r="AB321" i="2"/>
  <c r="Y321" i="2"/>
  <c r="V321" i="2"/>
  <c r="S321" i="2"/>
  <c r="P321" i="2"/>
  <c r="M321" i="2"/>
  <c r="L321" i="2"/>
  <c r="J321" i="2"/>
  <c r="G321" i="2" s="1"/>
  <c r="F321" i="2"/>
  <c r="E321" i="2"/>
  <c r="AE320" i="2"/>
  <c r="AD320" i="2"/>
  <c r="AC320" i="2"/>
  <c r="AA320" i="2"/>
  <c r="Z320" i="2"/>
  <c r="X320" i="2"/>
  <c r="W320" i="2"/>
  <c r="Y320" i="2" s="1"/>
  <c r="V320" i="2"/>
  <c r="U320" i="2"/>
  <c r="T320" i="2"/>
  <c r="S320" i="2"/>
  <c r="R320" i="2"/>
  <c r="F320" i="2" s="1"/>
  <c r="Q320" i="2"/>
  <c r="O320" i="2"/>
  <c r="N320" i="2"/>
  <c r="L320" i="2"/>
  <c r="K320" i="2"/>
  <c r="J320" i="2"/>
  <c r="I320" i="2"/>
  <c r="H320" i="2"/>
  <c r="AE319" i="2"/>
  <c r="AB319" i="2"/>
  <c r="Y319" i="2"/>
  <c r="V319" i="2"/>
  <c r="Q319" i="2"/>
  <c r="P319" i="2"/>
  <c r="M319" i="2"/>
  <c r="J319" i="2"/>
  <c r="F319" i="2"/>
  <c r="AE318" i="2"/>
  <c r="AB318" i="2"/>
  <c r="Y318" i="2"/>
  <c r="V318" i="2"/>
  <c r="S318" i="2"/>
  <c r="P318" i="2"/>
  <c r="M318" i="2"/>
  <c r="G318" i="2" s="1"/>
  <c r="J318" i="2"/>
  <c r="F318" i="2"/>
  <c r="E318" i="2"/>
  <c r="AE317" i="2"/>
  <c r="AB317" i="2"/>
  <c r="Y317" i="2"/>
  <c r="V317" i="2"/>
  <c r="R317" i="2"/>
  <c r="S317" i="2" s="1"/>
  <c r="Q317" i="2"/>
  <c r="E317" i="2" s="1"/>
  <c r="P317" i="2"/>
  <c r="M317" i="2"/>
  <c r="J317" i="2"/>
  <c r="F317" i="2"/>
  <c r="AD316" i="2"/>
  <c r="AC316" i="2"/>
  <c r="AC293" i="2" s="1"/>
  <c r="AA316" i="2"/>
  <c r="Z316" i="2"/>
  <c r="Y316" i="2"/>
  <c r="X316" i="2"/>
  <c r="W316" i="2"/>
  <c r="V316" i="2"/>
  <c r="U316" i="2"/>
  <c r="T316" i="2"/>
  <c r="R316" i="2"/>
  <c r="O316" i="2"/>
  <c r="N316" i="2"/>
  <c r="N293" i="2" s="1"/>
  <c r="M316" i="2"/>
  <c r="L316" i="2"/>
  <c r="K316" i="2"/>
  <c r="J316" i="2"/>
  <c r="I316" i="2"/>
  <c r="F316" i="2" s="1"/>
  <c r="H316" i="2"/>
  <c r="AE315" i="2"/>
  <c r="AB315" i="2"/>
  <c r="Y315" i="2"/>
  <c r="V315" i="2"/>
  <c r="S315" i="2"/>
  <c r="P315" i="2"/>
  <c r="M315" i="2"/>
  <c r="J315" i="2"/>
  <c r="G315" i="2" s="1"/>
  <c r="F315" i="2"/>
  <c r="E315" i="2"/>
  <c r="AE314" i="2"/>
  <c r="AB314" i="2"/>
  <c r="Y314" i="2"/>
  <c r="V314" i="2"/>
  <c r="S314" i="2"/>
  <c r="Q314" i="2"/>
  <c r="P314" i="2"/>
  <c r="M314" i="2"/>
  <c r="J314" i="2"/>
  <c r="F314" i="2"/>
  <c r="E314" i="2"/>
  <c r="AE313" i="2"/>
  <c r="AB313" i="2"/>
  <c r="Y313" i="2"/>
  <c r="V313" i="2"/>
  <c r="S313" i="2"/>
  <c r="P313" i="2"/>
  <c r="M313" i="2"/>
  <c r="J313" i="2"/>
  <c r="G313" i="2"/>
  <c r="F313" i="2"/>
  <c r="E313" i="2"/>
  <c r="AE312" i="2"/>
  <c r="AB312" i="2"/>
  <c r="Y312" i="2"/>
  <c r="V312" i="2"/>
  <c r="S312" i="2"/>
  <c r="P312" i="2"/>
  <c r="G312" i="2" s="1"/>
  <c r="M312" i="2"/>
  <c r="J312" i="2"/>
  <c r="F312" i="2"/>
  <c r="E312" i="2"/>
  <c r="AD311" i="2"/>
  <c r="AC311" i="2"/>
  <c r="AA311" i="2"/>
  <c r="AB311" i="2" s="1"/>
  <c r="Z311" i="2"/>
  <c r="Y311" i="2"/>
  <c r="X311" i="2"/>
  <c r="W311" i="2"/>
  <c r="U311" i="2"/>
  <c r="T311" i="2"/>
  <c r="R311" i="2"/>
  <c r="S311" i="2" s="1"/>
  <c r="Q311" i="2"/>
  <c r="O311" i="2"/>
  <c r="P311" i="2" s="1"/>
  <c r="N311" i="2"/>
  <c r="M311" i="2"/>
  <c r="L311" i="2"/>
  <c r="K311" i="2"/>
  <c r="I311" i="2"/>
  <c r="J311" i="2" s="1"/>
  <c r="H311" i="2"/>
  <c r="E311" i="2"/>
  <c r="AE310" i="2"/>
  <c r="AB310" i="2"/>
  <c r="Y310" i="2"/>
  <c r="V310" i="2"/>
  <c r="S310" i="2"/>
  <c r="P310" i="2"/>
  <c r="M310" i="2"/>
  <c r="J310" i="2"/>
  <c r="F310" i="2"/>
  <c r="E310" i="2"/>
  <c r="AE309" i="2"/>
  <c r="AB309" i="2"/>
  <c r="Y309" i="2"/>
  <c r="V309" i="2"/>
  <c r="S309" i="2"/>
  <c r="O309" i="2"/>
  <c r="P309" i="2" s="1"/>
  <c r="M309" i="2"/>
  <c r="J309" i="2"/>
  <c r="F309" i="2"/>
  <c r="E309" i="2"/>
  <c r="AE308" i="2"/>
  <c r="AB308" i="2"/>
  <c r="Y308" i="2"/>
  <c r="V308" i="2"/>
  <c r="S308" i="2"/>
  <c r="P308" i="2"/>
  <c r="M308" i="2"/>
  <c r="J308" i="2"/>
  <c r="G308" i="2"/>
  <c r="F308" i="2"/>
  <c r="E308" i="2"/>
  <c r="AE307" i="2"/>
  <c r="AB307" i="2"/>
  <c r="Y307" i="2"/>
  <c r="V307" i="2"/>
  <c r="S307" i="2"/>
  <c r="P307" i="2"/>
  <c r="G307" i="2" s="1"/>
  <c r="M307" i="2"/>
  <c r="J307" i="2"/>
  <c r="F307" i="2"/>
  <c r="E307" i="2"/>
  <c r="AE306" i="2"/>
  <c r="AB306" i="2"/>
  <c r="Y306" i="2"/>
  <c r="V306" i="2"/>
  <c r="S306" i="2"/>
  <c r="P306" i="2"/>
  <c r="M306" i="2"/>
  <c r="J306" i="2"/>
  <c r="F306" i="2"/>
  <c r="E306" i="2"/>
  <c r="AE305" i="2"/>
  <c r="AB305" i="2"/>
  <c r="Y305" i="2"/>
  <c r="V305" i="2"/>
  <c r="S305" i="2"/>
  <c r="P305" i="2"/>
  <c r="M305" i="2"/>
  <c r="J305" i="2"/>
  <c r="F305" i="2"/>
  <c r="E305" i="2"/>
  <c r="AE304" i="2"/>
  <c r="AD304" i="2"/>
  <c r="AC304" i="2"/>
  <c r="AA304" i="2"/>
  <c r="AB304" i="2" s="1"/>
  <c r="Z304" i="2"/>
  <c r="X304" i="2"/>
  <c r="W304" i="2"/>
  <c r="U304" i="2"/>
  <c r="V304" i="2" s="1"/>
  <c r="T304" i="2"/>
  <c r="T293" i="2" s="1"/>
  <c r="S304" i="2"/>
  <c r="R304" i="2"/>
  <c r="Q304" i="2"/>
  <c r="O304" i="2"/>
  <c r="P304" i="2" s="1"/>
  <c r="N304" i="2"/>
  <c r="L304" i="2"/>
  <c r="M304" i="2" s="1"/>
  <c r="K304" i="2"/>
  <c r="I304" i="2"/>
  <c r="J304" i="2" s="1"/>
  <c r="H304" i="2"/>
  <c r="AE303" i="2"/>
  <c r="AB303" i="2"/>
  <c r="Y303" i="2"/>
  <c r="V303" i="2"/>
  <c r="S303" i="2"/>
  <c r="P303" i="2"/>
  <c r="G303" i="2" s="1"/>
  <c r="M303" i="2"/>
  <c r="J303" i="2"/>
  <c r="F303" i="2"/>
  <c r="E303" i="2"/>
  <c r="AD302" i="2"/>
  <c r="AE302" i="2" s="1"/>
  <c r="AC302" i="2"/>
  <c r="AA302" i="2"/>
  <c r="AB302" i="2" s="1"/>
  <c r="Z302" i="2"/>
  <c r="Y302" i="2"/>
  <c r="X302" i="2"/>
  <c r="W302" i="2"/>
  <c r="U302" i="2"/>
  <c r="V302" i="2" s="1"/>
  <c r="T302" i="2"/>
  <c r="R302" i="2"/>
  <c r="S302" i="2" s="1"/>
  <c r="Q302" i="2"/>
  <c r="O302" i="2"/>
  <c r="P302" i="2" s="1"/>
  <c r="N302" i="2"/>
  <c r="M302" i="2"/>
  <c r="L302" i="2"/>
  <c r="K302" i="2"/>
  <c r="I302" i="2"/>
  <c r="J302" i="2" s="1"/>
  <c r="H302" i="2"/>
  <c r="E302" i="2"/>
  <c r="AE301" i="2"/>
  <c r="AB301" i="2"/>
  <c r="Y301" i="2"/>
  <c r="V301" i="2"/>
  <c r="R301" i="2"/>
  <c r="S301" i="2" s="1"/>
  <c r="Q301" i="2"/>
  <c r="P301" i="2"/>
  <c r="G301" i="2" s="1"/>
  <c r="M301" i="2"/>
  <c r="J301" i="2"/>
  <c r="F301" i="2"/>
  <c r="AE300" i="2"/>
  <c r="AB300" i="2"/>
  <c r="Y300" i="2"/>
  <c r="V300" i="2"/>
  <c r="S300" i="2"/>
  <c r="P300" i="2"/>
  <c r="M300" i="2"/>
  <c r="J300" i="2"/>
  <c r="F300" i="2"/>
  <c r="E300" i="2"/>
  <c r="AE299" i="2"/>
  <c r="AB299" i="2"/>
  <c r="Y299" i="2"/>
  <c r="V299" i="2"/>
  <c r="R299" i="2"/>
  <c r="S299" i="2" s="1"/>
  <c r="P299" i="2"/>
  <c r="M299" i="2"/>
  <c r="J299" i="2"/>
  <c r="F299" i="2"/>
  <c r="E299" i="2"/>
  <c r="AE298" i="2"/>
  <c r="AB298" i="2"/>
  <c r="Y298" i="2"/>
  <c r="V298" i="2"/>
  <c r="S298" i="2"/>
  <c r="P298" i="2"/>
  <c r="M298" i="2"/>
  <c r="J298" i="2"/>
  <c r="G298" i="2" s="1"/>
  <c r="F298" i="2"/>
  <c r="E298" i="2"/>
  <c r="AE297" i="2"/>
  <c r="AB297" i="2"/>
  <c r="Y297" i="2"/>
  <c r="V297" i="2"/>
  <c r="S297" i="2"/>
  <c r="P297" i="2"/>
  <c r="M297" i="2"/>
  <c r="J297" i="2"/>
  <c r="G297" i="2" s="1"/>
  <c r="F297" i="2"/>
  <c r="E297" i="2"/>
  <c r="AE296" i="2"/>
  <c r="AB296" i="2"/>
  <c r="Y296" i="2"/>
  <c r="V296" i="2"/>
  <c r="S296" i="2"/>
  <c r="P296" i="2"/>
  <c r="M296" i="2"/>
  <c r="J296" i="2"/>
  <c r="G296" i="2"/>
  <c r="F296" i="2"/>
  <c r="E296" i="2"/>
  <c r="AE295" i="2"/>
  <c r="AB295" i="2"/>
  <c r="Y295" i="2"/>
  <c r="V295" i="2"/>
  <c r="S295" i="2"/>
  <c r="P295" i="2"/>
  <c r="O295" i="2"/>
  <c r="F295" i="2" s="1"/>
  <c r="N295" i="2"/>
  <c r="M295" i="2"/>
  <c r="J295" i="2"/>
  <c r="G295" i="2" s="1"/>
  <c r="E295" i="2"/>
  <c r="AD294" i="2"/>
  <c r="AE294" i="2" s="1"/>
  <c r="AC294" i="2"/>
  <c r="AA294" i="2"/>
  <c r="Z294" i="2"/>
  <c r="X294" i="2"/>
  <c r="Y294" i="2" s="1"/>
  <c r="W294" i="2"/>
  <c r="V294" i="2"/>
  <c r="U294" i="2"/>
  <c r="T294" i="2"/>
  <c r="R294" i="2"/>
  <c r="O294" i="2"/>
  <c r="N294" i="2"/>
  <c r="L294" i="2"/>
  <c r="K294" i="2"/>
  <c r="K293" i="2" s="1"/>
  <c r="J294" i="2"/>
  <c r="I294" i="2"/>
  <c r="H294" i="2"/>
  <c r="Z293" i="2"/>
  <c r="R293" i="2"/>
  <c r="H293" i="2"/>
  <c r="AE292" i="2"/>
  <c r="AB292" i="2"/>
  <c r="Y292" i="2"/>
  <c r="V292" i="2"/>
  <c r="S292" i="2"/>
  <c r="P292" i="2"/>
  <c r="M292" i="2"/>
  <c r="J292" i="2"/>
  <c r="G292" i="2"/>
  <c r="F292" i="2"/>
  <c r="E292" i="2"/>
  <c r="AE291" i="2"/>
  <c r="AB291" i="2"/>
  <c r="Y291" i="2"/>
  <c r="V291" i="2"/>
  <c r="S291" i="2"/>
  <c r="P291" i="2"/>
  <c r="M291" i="2"/>
  <c r="J291" i="2"/>
  <c r="F291" i="2"/>
  <c r="E291" i="2"/>
  <c r="AE290" i="2"/>
  <c r="AB290" i="2"/>
  <c r="Y290" i="2"/>
  <c r="U290" i="2"/>
  <c r="V290" i="2" s="1"/>
  <c r="G290" i="2" s="1"/>
  <c r="T290" i="2"/>
  <c r="S290" i="2"/>
  <c r="P290" i="2"/>
  <c r="M290" i="2"/>
  <c r="J290" i="2"/>
  <c r="E290" i="2"/>
  <c r="AE289" i="2"/>
  <c r="AB289" i="2"/>
  <c r="Y289" i="2"/>
  <c r="V289" i="2"/>
  <c r="S289" i="2"/>
  <c r="P289" i="2"/>
  <c r="M289" i="2"/>
  <c r="J289" i="2"/>
  <c r="F289" i="2"/>
  <c r="E289" i="2"/>
  <c r="AD288" i="2"/>
  <c r="AC288" i="2"/>
  <c r="AE288" i="2" s="1"/>
  <c r="AA288" i="2"/>
  <c r="AB288" i="2" s="1"/>
  <c r="Z288" i="2"/>
  <c r="Y288" i="2"/>
  <c r="X288" i="2"/>
  <c r="W288" i="2"/>
  <c r="U288" i="2"/>
  <c r="V288" i="2" s="1"/>
  <c r="T288" i="2"/>
  <c r="R288" i="2"/>
  <c r="Q288" i="2"/>
  <c r="S288" i="2" s="1"/>
  <c r="O288" i="2"/>
  <c r="P288" i="2" s="1"/>
  <c r="N288" i="2"/>
  <c r="M288" i="2"/>
  <c r="L288" i="2"/>
  <c r="K288" i="2"/>
  <c r="I288" i="2"/>
  <c r="H288" i="2"/>
  <c r="AE287" i="2"/>
  <c r="AB287" i="2"/>
  <c r="Y287" i="2"/>
  <c r="V287" i="2"/>
  <c r="S287" i="2"/>
  <c r="P287" i="2"/>
  <c r="M287" i="2"/>
  <c r="J287" i="2"/>
  <c r="G287" i="2" s="1"/>
  <c r="F287" i="2"/>
  <c r="E287" i="2"/>
  <c r="AE286" i="2"/>
  <c r="AD286" i="2"/>
  <c r="AC286" i="2"/>
  <c r="AA286" i="2"/>
  <c r="AB286" i="2" s="1"/>
  <c r="Z286" i="2"/>
  <c r="X286" i="2"/>
  <c r="W286" i="2"/>
  <c r="Y286" i="2" s="1"/>
  <c r="U286" i="2"/>
  <c r="V286" i="2" s="1"/>
  <c r="T286" i="2"/>
  <c r="S286" i="2"/>
  <c r="R286" i="2"/>
  <c r="Q286" i="2"/>
  <c r="O286" i="2"/>
  <c r="P286" i="2" s="1"/>
  <c r="N286" i="2"/>
  <c r="L286" i="2"/>
  <c r="K286" i="2"/>
  <c r="I286" i="2"/>
  <c r="J286" i="2" s="1"/>
  <c r="H286" i="2"/>
  <c r="AE285" i="2"/>
  <c r="AB285" i="2"/>
  <c r="Y285" i="2"/>
  <c r="V285" i="2"/>
  <c r="S285" i="2"/>
  <c r="P285" i="2"/>
  <c r="M285" i="2"/>
  <c r="J285" i="2"/>
  <c r="G285" i="2" s="1"/>
  <c r="F285" i="2"/>
  <c r="E285" i="2"/>
  <c r="AE284" i="2"/>
  <c r="AB284" i="2"/>
  <c r="Y284" i="2"/>
  <c r="V284" i="2"/>
  <c r="S284" i="2"/>
  <c r="P284" i="2"/>
  <c r="M284" i="2"/>
  <c r="G284" i="2" s="1"/>
  <c r="J284" i="2"/>
  <c r="F284" i="2"/>
  <c r="E284" i="2"/>
  <c r="AE283" i="2"/>
  <c r="AB283" i="2"/>
  <c r="Y283" i="2"/>
  <c r="V283" i="2"/>
  <c r="S283" i="2"/>
  <c r="P283" i="2"/>
  <c r="M283" i="2"/>
  <c r="J283" i="2"/>
  <c r="G283" i="2" s="1"/>
  <c r="F283" i="2"/>
  <c r="E283" i="2"/>
  <c r="AE282" i="2"/>
  <c r="AB282" i="2"/>
  <c r="Y282" i="2"/>
  <c r="V282" i="2"/>
  <c r="S282" i="2"/>
  <c r="P282" i="2"/>
  <c r="M282" i="2"/>
  <c r="J282" i="2"/>
  <c r="G282" i="2"/>
  <c r="F282" i="2"/>
  <c r="E282" i="2"/>
  <c r="AE281" i="2"/>
  <c r="AB281" i="2"/>
  <c r="Y281" i="2"/>
  <c r="U281" i="2"/>
  <c r="T281" i="2"/>
  <c r="S281" i="2"/>
  <c r="P281" i="2"/>
  <c r="M281" i="2"/>
  <c r="J281" i="2"/>
  <c r="F281" i="2"/>
  <c r="AE280" i="2"/>
  <c r="AD280" i="2"/>
  <c r="AC280" i="2"/>
  <c r="AA280" i="2"/>
  <c r="Z280" i="2"/>
  <c r="X280" i="2"/>
  <c r="W280" i="2"/>
  <c r="U280" i="2"/>
  <c r="S280" i="2"/>
  <c r="R280" i="2"/>
  <c r="Q280" i="2"/>
  <c r="O280" i="2"/>
  <c r="N280" i="2"/>
  <c r="L280" i="2"/>
  <c r="K280" i="2"/>
  <c r="I280" i="2"/>
  <c r="J280" i="2" s="1"/>
  <c r="H280" i="2"/>
  <c r="AE279" i="2"/>
  <c r="AB279" i="2"/>
  <c r="Y279" i="2"/>
  <c r="U279" i="2"/>
  <c r="T279" i="2"/>
  <c r="S279" i="2"/>
  <c r="P279" i="2"/>
  <c r="M279" i="2"/>
  <c r="J279" i="2"/>
  <c r="F279" i="2"/>
  <c r="AE278" i="2"/>
  <c r="AB278" i="2"/>
  <c r="Y278" i="2"/>
  <c r="V278" i="2"/>
  <c r="S278" i="2"/>
  <c r="P278" i="2"/>
  <c r="M278" i="2"/>
  <c r="J278" i="2"/>
  <c r="G278" i="2"/>
  <c r="F278" i="2"/>
  <c r="E278" i="2"/>
  <c r="AE277" i="2"/>
  <c r="AB277" i="2"/>
  <c r="Y277" i="2"/>
  <c r="U277" i="2"/>
  <c r="T277" i="2"/>
  <c r="S277" i="2"/>
  <c r="P277" i="2"/>
  <c r="M277" i="2"/>
  <c r="J277" i="2"/>
  <c r="F277" i="2"/>
  <c r="AE276" i="2"/>
  <c r="AB276" i="2"/>
  <c r="Y276" i="2"/>
  <c r="V276" i="2"/>
  <c r="S276" i="2"/>
  <c r="P276" i="2"/>
  <c r="M276" i="2"/>
  <c r="J276" i="2"/>
  <c r="G276" i="2"/>
  <c r="F276" i="2"/>
  <c r="E276" i="2"/>
  <c r="AD275" i="2"/>
  <c r="AC275" i="2"/>
  <c r="AA275" i="2"/>
  <c r="Z275" i="2"/>
  <c r="X275" i="2"/>
  <c r="Y275" i="2" s="1"/>
  <c r="W275" i="2"/>
  <c r="U275" i="2"/>
  <c r="R275" i="2"/>
  <c r="F275" i="2" s="1"/>
  <c r="Q275" i="2"/>
  <c r="O275" i="2"/>
  <c r="N275" i="2"/>
  <c r="L275" i="2"/>
  <c r="M275" i="2" s="1"/>
  <c r="K275" i="2"/>
  <c r="J275" i="2"/>
  <c r="I275" i="2"/>
  <c r="H275" i="2"/>
  <c r="AC274" i="2"/>
  <c r="U274" i="2"/>
  <c r="I274" i="2"/>
  <c r="AE273" i="2"/>
  <c r="AB273" i="2"/>
  <c r="Y273" i="2"/>
  <c r="V273" i="2"/>
  <c r="U273" i="2"/>
  <c r="T273" i="2"/>
  <c r="E273" i="2" s="1"/>
  <c r="S273" i="2"/>
  <c r="P273" i="2"/>
  <c r="M273" i="2"/>
  <c r="J273" i="2"/>
  <c r="F273" i="2"/>
  <c r="AE272" i="2"/>
  <c r="AB272" i="2"/>
  <c r="Y272" i="2"/>
  <c r="V272" i="2"/>
  <c r="S272" i="2"/>
  <c r="P272" i="2"/>
  <c r="M272" i="2"/>
  <c r="G272" i="2" s="1"/>
  <c r="J272" i="2"/>
  <c r="F272" i="2"/>
  <c r="E272" i="2"/>
  <c r="AE271" i="2"/>
  <c r="AB271" i="2"/>
  <c r="Y271" i="2"/>
  <c r="V271" i="2"/>
  <c r="S271" i="2"/>
  <c r="P271" i="2"/>
  <c r="M271" i="2"/>
  <c r="J271" i="2"/>
  <c r="G271" i="2" s="1"/>
  <c r="F271" i="2"/>
  <c r="E271" i="2"/>
  <c r="AE270" i="2"/>
  <c r="AB270" i="2"/>
  <c r="Y270" i="2"/>
  <c r="V270" i="2"/>
  <c r="S270" i="2"/>
  <c r="P270" i="2"/>
  <c r="M270" i="2"/>
  <c r="J270" i="2"/>
  <c r="G270" i="2"/>
  <c r="F270" i="2"/>
  <c r="E270" i="2"/>
  <c r="AE269" i="2"/>
  <c r="AB269" i="2"/>
  <c r="Y269" i="2"/>
  <c r="V269" i="2"/>
  <c r="S269" i="2"/>
  <c r="P269" i="2"/>
  <c r="M269" i="2"/>
  <c r="J269" i="2"/>
  <c r="F269" i="2"/>
  <c r="E269" i="2"/>
  <c r="AE268" i="2"/>
  <c r="AB268" i="2"/>
  <c r="Y268" i="2"/>
  <c r="V268" i="2"/>
  <c r="S268" i="2"/>
  <c r="P268" i="2"/>
  <c r="M268" i="2"/>
  <c r="G268" i="2" s="1"/>
  <c r="J268" i="2"/>
  <c r="F268" i="2"/>
  <c r="E268" i="2"/>
  <c r="AE267" i="2"/>
  <c r="AB267" i="2"/>
  <c r="Y267" i="2"/>
  <c r="V267" i="2"/>
  <c r="S267" i="2"/>
  <c r="P267" i="2"/>
  <c r="M267" i="2"/>
  <c r="J267" i="2"/>
  <c r="G267" i="2" s="1"/>
  <c r="F267" i="2"/>
  <c r="E267" i="2"/>
  <c r="AE266" i="2"/>
  <c r="AB266" i="2"/>
  <c r="Y266" i="2"/>
  <c r="V266" i="2"/>
  <c r="S266" i="2"/>
  <c r="P266" i="2"/>
  <c r="M266" i="2"/>
  <c r="J266" i="2"/>
  <c r="G266" i="2"/>
  <c r="F266" i="2"/>
  <c r="E266" i="2"/>
  <c r="AE265" i="2"/>
  <c r="AB265" i="2"/>
  <c r="Y265" i="2"/>
  <c r="V265" i="2"/>
  <c r="S265" i="2"/>
  <c r="P265" i="2"/>
  <c r="M265" i="2"/>
  <c r="J265" i="2"/>
  <c r="G265" i="2" s="1"/>
  <c r="F265" i="2"/>
  <c r="E265" i="2"/>
  <c r="AE264" i="2"/>
  <c r="AB264" i="2"/>
  <c r="Y264" i="2"/>
  <c r="V264" i="2"/>
  <c r="S264" i="2"/>
  <c r="P264" i="2"/>
  <c r="M264" i="2"/>
  <c r="G264" i="2" s="1"/>
  <c r="J264" i="2"/>
  <c r="F264" i="2"/>
  <c r="E264" i="2"/>
  <c r="AE263" i="2"/>
  <c r="AB263" i="2"/>
  <c r="Y263" i="2"/>
  <c r="V263" i="2"/>
  <c r="S263" i="2"/>
  <c r="P263" i="2"/>
  <c r="M263" i="2"/>
  <c r="J263" i="2"/>
  <c r="G263" i="2" s="1"/>
  <c r="F263" i="2"/>
  <c r="E263" i="2"/>
  <c r="AE262" i="2"/>
  <c r="AB262" i="2"/>
  <c r="Y262" i="2"/>
  <c r="V262" i="2"/>
  <c r="S262" i="2"/>
  <c r="O262" i="2"/>
  <c r="P262" i="2" s="1"/>
  <c r="M262" i="2"/>
  <c r="J262" i="2"/>
  <c r="F262" i="2"/>
  <c r="E262" i="2"/>
  <c r="AE261" i="2"/>
  <c r="AB261" i="2"/>
  <c r="Y261" i="2"/>
  <c r="V261" i="2"/>
  <c r="S261" i="2"/>
  <c r="O261" i="2"/>
  <c r="P261" i="2" s="1"/>
  <c r="M261" i="2"/>
  <c r="J261" i="2"/>
  <c r="F261" i="2"/>
  <c r="E261" i="2"/>
  <c r="AE260" i="2"/>
  <c r="AB260" i="2"/>
  <c r="Y260" i="2"/>
  <c r="V260" i="2"/>
  <c r="S260" i="2"/>
  <c r="O260" i="2"/>
  <c r="P260" i="2" s="1"/>
  <c r="M260" i="2"/>
  <c r="J260" i="2"/>
  <c r="F260" i="2"/>
  <c r="E260" i="2"/>
  <c r="AE259" i="2"/>
  <c r="AB259" i="2"/>
  <c r="Y259" i="2"/>
  <c r="V259" i="2"/>
  <c r="S259" i="2"/>
  <c r="O259" i="2"/>
  <c r="P259" i="2" s="1"/>
  <c r="M259" i="2"/>
  <c r="J259" i="2"/>
  <c r="F259" i="2"/>
  <c r="E259" i="2"/>
  <c r="AE258" i="2"/>
  <c r="AB258" i="2"/>
  <c r="Y258" i="2"/>
  <c r="V258" i="2"/>
  <c r="S258" i="2"/>
  <c r="O258" i="2"/>
  <c r="P258" i="2" s="1"/>
  <c r="M258" i="2"/>
  <c r="J258" i="2"/>
  <c r="F258" i="2"/>
  <c r="E258" i="2"/>
  <c r="AE257" i="2"/>
  <c r="AD257" i="2"/>
  <c r="AC257" i="2"/>
  <c r="AA257" i="2"/>
  <c r="AB257" i="2" s="1"/>
  <c r="Z257" i="2"/>
  <c r="X257" i="2"/>
  <c r="W257" i="2"/>
  <c r="Y257" i="2" s="1"/>
  <c r="U257" i="2"/>
  <c r="S257" i="2"/>
  <c r="R257" i="2"/>
  <c r="Q257" i="2"/>
  <c r="O257" i="2"/>
  <c r="P257" i="2" s="1"/>
  <c r="N257" i="2"/>
  <c r="L257" i="2"/>
  <c r="K257" i="2"/>
  <c r="I257" i="2"/>
  <c r="J257" i="2" s="1"/>
  <c r="H257" i="2"/>
  <c r="AE256" i="2"/>
  <c r="AB256" i="2"/>
  <c r="Y256" i="2"/>
  <c r="V256" i="2"/>
  <c r="S256" i="2"/>
  <c r="P256" i="2"/>
  <c r="O256" i="2"/>
  <c r="M256" i="2"/>
  <c r="J256" i="2"/>
  <c r="G256" i="2"/>
  <c r="F256" i="2"/>
  <c r="E256" i="2"/>
  <c r="AE255" i="2"/>
  <c r="AB255" i="2"/>
  <c r="Y255" i="2"/>
  <c r="V255" i="2"/>
  <c r="S255" i="2"/>
  <c r="P255" i="2"/>
  <c r="M255" i="2"/>
  <c r="J255" i="2"/>
  <c r="F255" i="2"/>
  <c r="E255" i="2"/>
  <c r="AE254" i="2"/>
  <c r="AB254" i="2"/>
  <c r="Y254" i="2"/>
  <c r="V254" i="2"/>
  <c r="S254" i="2"/>
  <c r="P254" i="2"/>
  <c r="M254" i="2"/>
  <c r="G254" i="2" s="1"/>
  <c r="J254" i="2"/>
  <c r="F254" i="2"/>
  <c r="E254" i="2"/>
  <c r="AE253" i="2"/>
  <c r="AB253" i="2"/>
  <c r="Y253" i="2"/>
  <c r="V253" i="2"/>
  <c r="S253" i="2"/>
  <c r="P253" i="2"/>
  <c r="M253" i="2"/>
  <c r="J253" i="2"/>
  <c r="G253" i="2" s="1"/>
  <c r="F253" i="2"/>
  <c r="E253" i="2"/>
  <c r="AE252" i="2"/>
  <c r="AB252" i="2"/>
  <c r="Y252" i="2"/>
  <c r="V252" i="2"/>
  <c r="S252" i="2"/>
  <c r="P252" i="2"/>
  <c r="M252" i="2"/>
  <c r="J252" i="2"/>
  <c r="G252" i="2"/>
  <c r="F252" i="2"/>
  <c r="E252" i="2"/>
  <c r="AE251" i="2"/>
  <c r="AB251" i="2"/>
  <c r="Y251" i="2"/>
  <c r="V251" i="2"/>
  <c r="S251" i="2"/>
  <c r="P251" i="2"/>
  <c r="M251" i="2"/>
  <c r="J251" i="2"/>
  <c r="F251" i="2"/>
  <c r="E251" i="2"/>
  <c r="AE250" i="2"/>
  <c r="AB250" i="2"/>
  <c r="Y250" i="2"/>
  <c r="V250" i="2"/>
  <c r="S250" i="2"/>
  <c r="P250" i="2"/>
  <c r="M250" i="2"/>
  <c r="G250" i="2" s="1"/>
  <c r="J250" i="2"/>
  <c r="F250" i="2"/>
  <c r="E250" i="2"/>
  <c r="AE249" i="2"/>
  <c r="AB249" i="2"/>
  <c r="Y249" i="2"/>
  <c r="V249" i="2"/>
  <c r="S249" i="2"/>
  <c r="P249" i="2"/>
  <c r="M249" i="2"/>
  <c r="J249" i="2"/>
  <c r="G249" i="2" s="1"/>
  <c r="F249" i="2"/>
  <c r="E249" i="2"/>
  <c r="AE248" i="2"/>
  <c r="AA248" i="2"/>
  <c r="AB248" i="2" s="1"/>
  <c r="Z248" i="2"/>
  <c r="Y248" i="2"/>
  <c r="V248" i="2"/>
  <c r="S248" i="2"/>
  <c r="P248" i="2"/>
  <c r="M248" i="2"/>
  <c r="G248" i="2" s="1"/>
  <c r="J248" i="2"/>
  <c r="E248" i="2"/>
  <c r="AE247" i="2"/>
  <c r="AB247" i="2"/>
  <c r="Y247" i="2"/>
  <c r="V247" i="2"/>
  <c r="S247" i="2"/>
  <c r="O247" i="2"/>
  <c r="N247" i="2"/>
  <c r="M247" i="2"/>
  <c r="J247" i="2"/>
  <c r="F247" i="2"/>
  <c r="AE246" i="2"/>
  <c r="AB246" i="2"/>
  <c r="Y246" i="2"/>
  <c r="V246" i="2"/>
  <c r="S246" i="2"/>
  <c r="P246" i="2"/>
  <c r="M246" i="2"/>
  <c r="G246" i="2" s="1"/>
  <c r="J246" i="2"/>
  <c r="F246" i="2"/>
  <c r="E246" i="2"/>
  <c r="AE245" i="2"/>
  <c r="AB245" i="2"/>
  <c r="Y245" i="2"/>
  <c r="V245" i="2"/>
  <c r="S245" i="2"/>
  <c r="O245" i="2"/>
  <c r="N245" i="2"/>
  <c r="M245" i="2"/>
  <c r="J245" i="2"/>
  <c r="F245" i="2"/>
  <c r="AE244" i="2"/>
  <c r="AB244" i="2"/>
  <c r="Y244" i="2"/>
  <c r="V244" i="2"/>
  <c r="S244" i="2"/>
  <c r="P244" i="2"/>
  <c r="M244" i="2"/>
  <c r="G244" i="2" s="1"/>
  <c r="J244" i="2"/>
  <c r="F244" i="2"/>
  <c r="E244" i="2"/>
  <c r="AE243" i="2"/>
  <c r="AB243" i="2"/>
  <c r="Y243" i="2"/>
  <c r="V243" i="2"/>
  <c r="U243" i="2"/>
  <c r="T243" i="2"/>
  <c r="E243" i="2" s="1"/>
  <c r="S243" i="2"/>
  <c r="P243" i="2"/>
  <c r="M243" i="2"/>
  <c r="J243" i="2"/>
  <c r="G243" i="2" s="1"/>
  <c r="F243" i="2"/>
  <c r="AE242" i="2"/>
  <c r="AB242" i="2"/>
  <c r="Y242" i="2"/>
  <c r="V242" i="2"/>
  <c r="S242" i="2"/>
  <c r="P242" i="2"/>
  <c r="M242" i="2"/>
  <c r="G242" i="2" s="1"/>
  <c r="J242" i="2"/>
  <c r="F242" i="2"/>
  <c r="E242" i="2"/>
  <c r="AE241" i="2"/>
  <c r="AB241" i="2"/>
  <c r="Y241" i="2"/>
  <c r="V241" i="2"/>
  <c r="S241" i="2"/>
  <c r="P241" i="2"/>
  <c r="M241" i="2"/>
  <c r="J241" i="2"/>
  <c r="G241" i="2" s="1"/>
  <c r="F241" i="2"/>
  <c r="E241" i="2"/>
  <c r="AE240" i="2"/>
  <c r="AB240" i="2"/>
  <c r="Y240" i="2"/>
  <c r="U240" i="2"/>
  <c r="T240" i="2"/>
  <c r="S240" i="2"/>
  <c r="P240" i="2"/>
  <c r="M240" i="2"/>
  <c r="J240" i="2"/>
  <c r="E240" i="2"/>
  <c r="AD239" i="2"/>
  <c r="AE239" i="2" s="1"/>
  <c r="AC239" i="2"/>
  <c r="Z239" i="2"/>
  <c r="X239" i="2"/>
  <c r="Y239" i="2" s="1"/>
  <c r="W239" i="2"/>
  <c r="T239" i="2"/>
  <c r="R239" i="2"/>
  <c r="S239" i="2" s="1"/>
  <c r="Q239" i="2"/>
  <c r="O239" i="2"/>
  <c r="L239" i="2"/>
  <c r="K239" i="2"/>
  <c r="I239" i="2"/>
  <c r="H239" i="2"/>
  <c r="AE238" i="2"/>
  <c r="AB238" i="2"/>
  <c r="Y238" i="2"/>
  <c r="V238" i="2"/>
  <c r="S238" i="2"/>
  <c r="P238" i="2"/>
  <c r="M238" i="2"/>
  <c r="J238" i="2"/>
  <c r="G238" i="2"/>
  <c r="F238" i="2"/>
  <c r="E238" i="2"/>
  <c r="AE237" i="2"/>
  <c r="AB237" i="2"/>
  <c r="Y237" i="2"/>
  <c r="V237" i="2"/>
  <c r="S237" i="2"/>
  <c r="P237" i="2"/>
  <c r="M237" i="2"/>
  <c r="J237" i="2"/>
  <c r="F237" i="2"/>
  <c r="E237" i="2"/>
  <c r="AD236" i="2"/>
  <c r="AC236" i="2"/>
  <c r="AB236" i="2"/>
  <c r="Y236" i="2"/>
  <c r="V236" i="2"/>
  <c r="S236" i="2"/>
  <c r="O236" i="2"/>
  <c r="P236" i="2" s="1"/>
  <c r="N236" i="2"/>
  <c r="M236" i="2"/>
  <c r="I236" i="2"/>
  <c r="J236" i="2" s="1"/>
  <c r="H236" i="2"/>
  <c r="AD235" i="2"/>
  <c r="AA235" i="2"/>
  <c r="Z235" i="2"/>
  <c r="AB235" i="2" s="1"/>
  <c r="X235" i="2"/>
  <c r="Y235" i="2" s="1"/>
  <c r="W235" i="2"/>
  <c r="V235" i="2"/>
  <c r="U235" i="2"/>
  <c r="T235" i="2"/>
  <c r="R235" i="2"/>
  <c r="S235" i="2" s="1"/>
  <c r="Q235" i="2"/>
  <c r="N235" i="2"/>
  <c r="L235" i="2"/>
  <c r="M235" i="2" s="1"/>
  <c r="K235" i="2"/>
  <c r="H235" i="2"/>
  <c r="AE234" i="2"/>
  <c r="AB234" i="2"/>
  <c r="Y234" i="2"/>
  <c r="U234" i="2"/>
  <c r="V234" i="2" s="1"/>
  <c r="G234" i="2" s="1"/>
  <c r="T234" i="2"/>
  <c r="S234" i="2"/>
  <c r="P234" i="2"/>
  <c r="M234" i="2"/>
  <c r="J234" i="2"/>
  <c r="E234" i="2"/>
  <c r="AE233" i="2"/>
  <c r="AB233" i="2"/>
  <c r="Y233" i="2"/>
  <c r="V233" i="2"/>
  <c r="S233" i="2"/>
  <c r="P233" i="2"/>
  <c r="O233" i="2"/>
  <c r="N233" i="2"/>
  <c r="E233" i="2" s="1"/>
  <c r="M233" i="2"/>
  <c r="J233" i="2"/>
  <c r="G233" i="2" s="1"/>
  <c r="F233" i="2"/>
  <c r="AE232" i="2"/>
  <c r="AB232" i="2"/>
  <c r="Y232" i="2"/>
  <c r="U232" i="2"/>
  <c r="T232" i="2"/>
  <c r="S232" i="2"/>
  <c r="P232" i="2"/>
  <c r="M232" i="2"/>
  <c r="J232" i="2"/>
  <c r="E232" i="2"/>
  <c r="AE231" i="2"/>
  <c r="AB231" i="2"/>
  <c r="Y231" i="2"/>
  <c r="V231" i="2"/>
  <c r="U231" i="2"/>
  <c r="T231" i="2"/>
  <c r="E231" i="2" s="1"/>
  <c r="S231" i="2"/>
  <c r="P231" i="2"/>
  <c r="M231" i="2"/>
  <c r="J231" i="2"/>
  <c r="F231" i="2"/>
  <c r="AE230" i="2"/>
  <c r="AB230" i="2"/>
  <c r="Y230" i="2"/>
  <c r="U230" i="2"/>
  <c r="V230" i="2" s="1"/>
  <c r="S230" i="2"/>
  <c r="P230" i="2"/>
  <c r="M230" i="2"/>
  <c r="J230" i="2"/>
  <c r="F230" i="2"/>
  <c r="E230" i="2"/>
  <c r="AE229" i="2"/>
  <c r="AB229" i="2"/>
  <c r="Y229" i="2"/>
  <c r="V229" i="2"/>
  <c r="S229" i="2"/>
  <c r="P229" i="2"/>
  <c r="M229" i="2"/>
  <c r="G229" i="2" s="1"/>
  <c r="J229" i="2"/>
  <c r="F229" i="2"/>
  <c r="E229" i="2"/>
  <c r="AE228" i="2"/>
  <c r="AB228" i="2"/>
  <c r="Y228" i="2"/>
  <c r="V228" i="2"/>
  <c r="S228" i="2"/>
  <c r="P228" i="2"/>
  <c r="M228" i="2"/>
  <c r="J228" i="2"/>
  <c r="G228" i="2" s="1"/>
  <c r="F228" i="2"/>
  <c r="E228" i="2"/>
  <c r="AE227" i="2"/>
  <c r="AB227" i="2"/>
  <c r="Y227" i="2"/>
  <c r="V227" i="2"/>
  <c r="S227" i="2"/>
  <c r="O227" i="2"/>
  <c r="P227" i="2" s="1"/>
  <c r="N227" i="2"/>
  <c r="M227" i="2"/>
  <c r="G227" i="2" s="1"/>
  <c r="J227" i="2"/>
  <c r="E227" i="2"/>
  <c r="AE226" i="2"/>
  <c r="AB226" i="2"/>
  <c r="Y226" i="2"/>
  <c r="V226" i="2"/>
  <c r="S226" i="2"/>
  <c r="P226" i="2"/>
  <c r="M226" i="2"/>
  <c r="J226" i="2"/>
  <c r="G226" i="2" s="1"/>
  <c r="F226" i="2"/>
  <c r="E226" i="2"/>
  <c r="AE225" i="2"/>
  <c r="AB225" i="2"/>
  <c r="Y225" i="2"/>
  <c r="V225" i="2"/>
  <c r="S225" i="2"/>
  <c r="P225" i="2"/>
  <c r="M225" i="2"/>
  <c r="J225" i="2"/>
  <c r="G225" i="2"/>
  <c r="F225" i="2"/>
  <c r="E225" i="2"/>
  <c r="AE224" i="2"/>
  <c r="AB224" i="2"/>
  <c r="Y224" i="2"/>
  <c r="V224" i="2"/>
  <c r="S224" i="2"/>
  <c r="P224" i="2"/>
  <c r="M224" i="2"/>
  <c r="J224" i="2"/>
  <c r="G224" i="2" s="1"/>
  <c r="F224" i="2"/>
  <c r="E224" i="2"/>
  <c r="AE223" i="2"/>
  <c r="AB223" i="2"/>
  <c r="Y223" i="2"/>
  <c r="V223" i="2"/>
  <c r="S223" i="2"/>
  <c r="P223" i="2"/>
  <c r="M223" i="2"/>
  <c r="G223" i="2" s="1"/>
  <c r="J223" i="2"/>
  <c r="F223" i="2"/>
  <c r="E223" i="2"/>
  <c r="AE222" i="2"/>
  <c r="AB222" i="2"/>
  <c r="Y222" i="2"/>
  <c r="V222" i="2"/>
  <c r="S222" i="2"/>
  <c r="O222" i="2"/>
  <c r="N222" i="2"/>
  <c r="M222" i="2"/>
  <c r="J222" i="2"/>
  <c r="F222" i="2"/>
  <c r="AE221" i="2"/>
  <c r="AB221" i="2"/>
  <c r="Y221" i="2"/>
  <c r="V221" i="2"/>
  <c r="S221" i="2"/>
  <c r="P221" i="2"/>
  <c r="M221" i="2"/>
  <c r="G221" i="2" s="1"/>
  <c r="J221" i="2"/>
  <c r="F221" i="2"/>
  <c r="E221" i="2"/>
  <c r="AE220" i="2"/>
  <c r="AB220" i="2"/>
  <c r="Y220" i="2"/>
  <c r="V220" i="2"/>
  <c r="S220" i="2"/>
  <c r="P220" i="2"/>
  <c r="M220" i="2"/>
  <c r="J220" i="2"/>
  <c r="G220" i="2" s="1"/>
  <c r="F220" i="2"/>
  <c r="E220" i="2"/>
  <c r="AE219" i="2"/>
  <c r="AB219" i="2"/>
  <c r="Y219" i="2"/>
  <c r="V219" i="2"/>
  <c r="S219" i="2"/>
  <c r="P219" i="2"/>
  <c r="M219" i="2"/>
  <c r="J219" i="2"/>
  <c r="G219" i="2"/>
  <c r="F219" i="2"/>
  <c r="E219" i="2"/>
  <c r="AE218" i="2"/>
  <c r="AB218" i="2"/>
  <c r="Y218" i="2"/>
  <c r="V218" i="2"/>
  <c r="S218" i="2"/>
  <c r="P218" i="2"/>
  <c r="M218" i="2"/>
  <c r="J218" i="2"/>
  <c r="G218" i="2" s="1"/>
  <c r="F218" i="2"/>
  <c r="E218" i="2"/>
  <c r="AE217" i="2"/>
  <c r="AB217" i="2"/>
  <c r="Y217" i="2"/>
  <c r="V217" i="2"/>
  <c r="S217" i="2"/>
  <c r="P217" i="2"/>
  <c r="M217" i="2"/>
  <c r="G217" i="2" s="1"/>
  <c r="J217" i="2"/>
  <c r="F217" i="2"/>
  <c r="E217" i="2"/>
  <c r="AE216" i="2"/>
  <c r="AB216" i="2"/>
  <c r="Y216" i="2"/>
  <c r="V216" i="2"/>
  <c r="U216" i="2"/>
  <c r="T216" i="2"/>
  <c r="T211" i="2" s="1"/>
  <c r="S216" i="2"/>
  <c r="P216" i="2"/>
  <c r="O216" i="2"/>
  <c r="N216" i="2"/>
  <c r="N211" i="2" s="1"/>
  <c r="M216" i="2"/>
  <c r="J216" i="2"/>
  <c r="G216" i="2" s="1"/>
  <c r="F216" i="2"/>
  <c r="AE215" i="2"/>
  <c r="AB215" i="2"/>
  <c r="Y215" i="2"/>
  <c r="V215" i="2"/>
  <c r="S215" i="2"/>
  <c r="P215" i="2"/>
  <c r="M215" i="2"/>
  <c r="J215" i="2"/>
  <c r="G215" i="2"/>
  <c r="F215" i="2"/>
  <c r="E215" i="2"/>
  <c r="AE214" i="2"/>
  <c r="AB214" i="2"/>
  <c r="Y214" i="2"/>
  <c r="V214" i="2"/>
  <c r="S214" i="2"/>
  <c r="P214" i="2"/>
  <c r="M214" i="2"/>
  <c r="J214" i="2"/>
  <c r="G214" i="2" s="1"/>
  <c r="F214" i="2"/>
  <c r="E214" i="2"/>
  <c r="AE213" i="2"/>
  <c r="AB213" i="2"/>
  <c r="Y213" i="2"/>
  <c r="V213" i="2"/>
  <c r="S213" i="2"/>
  <c r="O213" i="2"/>
  <c r="O211" i="2" s="1"/>
  <c r="N213" i="2"/>
  <c r="M213" i="2"/>
  <c r="J213" i="2"/>
  <c r="E213" i="2"/>
  <c r="AE212" i="2"/>
  <c r="AB212" i="2"/>
  <c r="X212" i="2"/>
  <c r="Y212" i="2" s="1"/>
  <c r="W212" i="2"/>
  <c r="V212" i="2"/>
  <c r="S212" i="2"/>
  <c r="P212" i="2"/>
  <c r="M212" i="2"/>
  <c r="J212" i="2"/>
  <c r="F212" i="2"/>
  <c r="E212" i="2"/>
  <c r="AE211" i="2"/>
  <c r="AD211" i="2"/>
  <c r="AC211" i="2"/>
  <c r="AA211" i="2"/>
  <c r="Z211" i="2"/>
  <c r="W211" i="2"/>
  <c r="W210" i="2" s="1"/>
  <c r="S211" i="2"/>
  <c r="R211" i="2"/>
  <c r="Q211" i="2"/>
  <c r="Q210" i="2" s="1"/>
  <c r="L211" i="2"/>
  <c r="K211" i="2"/>
  <c r="I211" i="2"/>
  <c r="J211" i="2" s="1"/>
  <c r="H211" i="2"/>
  <c r="AD210" i="2"/>
  <c r="AE209" i="2"/>
  <c r="AB209" i="2"/>
  <c r="Y209" i="2"/>
  <c r="V209" i="2"/>
  <c r="S209" i="2"/>
  <c r="P209" i="2"/>
  <c r="M209" i="2"/>
  <c r="G209" i="2" s="1"/>
  <c r="J209" i="2"/>
  <c r="F209" i="2"/>
  <c r="E209" i="2"/>
  <c r="AE208" i="2"/>
  <c r="AB208" i="2"/>
  <c r="Y208" i="2"/>
  <c r="V208" i="2"/>
  <c r="S208" i="2"/>
  <c r="P208" i="2"/>
  <c r="M208" i="2"/>
  <c r="J208" i="2"/>
  <c r="G208" i="2" s="1"/>
  <c r="F208" i="2"/>
  <c r="E208" i="2"/>
  <c r="AE207" i="2"/>
  <c r="AB207" i="2"/>
  <c r="Y207" i="2"/>
  <c r="V207" i="2"/>
  <c r="S207" i="2"/>
  <c r="O207" i="2"/>
  <c r="P207" i="2" s="1"/>
  <c r="M207" i="2"/>
  <c r="J207" i="2"/>
  <c r="I207" i="2"/>
  <c r="H207" i="2"/>
  <c r="E207" i="2" s="1"/>
  <c r="F207" i="2"/>
  <c r="AE206" i="2"/>
  <c r="AB206" i="2"/>
  <c r="Y206" i="2"/>
  <c r="V206" i="2"/>
  <c r="S206" i="2"/>
  <c r="O206" i="2"/>
  <c r="P206" i="2" s="1"/>
  <c r="M206" i="2"/>
  <c r="J206" i="2"/>
  <c r="F206" i="2"/>
  <c r="E206" i="2"/>
  <c r="AE205" i="2"/>
  <c r="AB205" i="2"/>
  <c r="Y205" i="2"/>
  <c r="V205" i="2"/>
  <c r="S205" i="2"/>
  <c r="O205" i="2"/>
  <c r="N205" i="2"/>
  <c r="M205" i="2"/>
  <c r="J205" i="2"/>
  <c r="E205" i="2"/>
  <c r="AD204" i="2"/>
  <c r="AC204" i="2"/>
  <c r="AA204" i="2"/>
  <c r="Z204" i="2"/>
  <c r="X204" i="2"/>
  <c r="Y204" i="2" s="1"/>
  <c r="W204" i="2"/>
  <c r="V204" i="2"/>
  <c r="U204" i="2"/>
  <c r="T204" i="2"/>
  <c r="R204" i="2"/>
  <c r="Q204" i="2"/>
  <c r="N204" i="2"/>
  <c r="N198" i="2" s="1"/>
  <c r="L204" i="2"/>
  <c r="M204" i="2" s="1"/>
  <c r="K204" i="2"/>
  <c r="J204" i="2"/>
  <c r="I204" i="2"/>
  <c r="H204" i="2"/>
  <c r="AE203" i="2"/>
  <c r="AB203" i="2"/>
  <c r="Y203" i="2"/>
  <c r="U203" i="2"/>
  <c r="V203" i="2" s="1"/>
  <c r="G203" i="2" s="1"/>
  <c r="T203" i="2"/>
  <c r="S203" i="2"/>
  <c r="P203" i="2"/>
  <c r="M203" i="2"/>
  <c r="J203" i="2"/>
  <c r="E203" i="2"/>
  <c r="AE202" i="2"/>
  <c r="AB202" i="2"/>
  <c r="Y202" i="2"/>
  <c r="V202" i="2"/>
  <c r="S202" i="2"/>
  <c r="P202" i="2"/>
  <c r="L202" i="2"/>
  <c r="M202" i="2" s="1"/>
  <c r="J202" i="2"/>
  <c r="G202" i="2"/>
  <c r="E202" i="2"/>
  <c r="AE201" i="2"/>
  <c r="AB201" i="2"/>
  <c r="Y201" i="2"/>
  <c r="V201" i="2"/>
  <c r="S201" i="2"/>
  <c r="P201" i="2"/>
  <c r="L201" i="2"/>
  <c r="M201" i="2" s="1"/>
  <c r="G201" i="2" s="1"/>
  <c r="J201" i="2"/>
  <c r="E201" i="2"/>
  <c r="AE200" i="2"/>
  <c r="AB200" i="2"/>
  <c r="Y200" i="2"/>
  <c r="V200" i="2"/>
  <c r="S200" i="2"/>
  <c r="P200" i="2"/>
  <c r="M200" i="2"/>
  <c r="J200" i="2"/>
  <c r="G200" i="2" s="1"/>
  <c r="F200" i="2"/>
  <c r="E200" i="2"/>
  <c r="AD199" i="2"/>
  <c r="AC199" i="2"/>
  <c r="AA199" i="2"/>
  <c r="AB199" i="2" s="1"/>
  <c r="Z199" i="2"/>
  <c r="Y199" i="2"/>
  <c r="X199" i="2"/>
  <c r="W199" i="2"/>
  <c r="W198" i="2" s="1"/>
  <c r="U199" i="2"/>
  <c r="T199" i="2"/>
  <c r="R199" i="2"/>
  <c r="Q199" i="2"/>
  <c r="E199" i="2" s="1"/>
  <c r="O199" i="2"/>
  <c r="P199" i="2" s="1"/>
  <c r="N199" i="2"/>
  <c r="K199" i="2"/>
  <c r="K198" i="2" s="1"/>
  <c r="I199" i="2"/>
  <c r="H199" i="2"/>
  <c r="X198" i="2"/>
  <c r="T198" i="2"/>
  <c r="H198" i="2"/>
  <c r="AE197" i="2"/>
  <c r="AB197" i="2"/>
  <c r="Y197" i="2"/>
  <c r="V197" i="2"/>
  <c r="S197" i="2"/>
  <c r="P197" i="2"/>
  <c r="M197" i="2"/>
  <c r="J197" i="2"/>
  <c r="G197" i="2"/>
  <c r="F197" i="2"/>
  <c r="E197" i="2"/>
  <c r="AE196" i="2"/>
  <c r="AB196" i="2"/>
  <c r="Y196" i="2"/>
  <c r="V196" i="2"/>
  <c r="S196" i="2"/>
  <c r="P196" i="2"/>
  <c r="M196" i="2"/>
  <c r="J196" i="2"/>
  <c r="G196" i="2" s="1"/>
  <c r="F196" i="2"/>
  <c r="E196" i="2"/>
  <c r="AD195" i="2"/>
  <c r="AC195" i="2"/>
  <c r="AE195" i="2" s="1"/>
  <c r="AA195" i="2"/>
  <c r="AB195" i="2" s="1"/>
  <c r="Z195" i="2"/>
  <c r="Y195" i="2"/>
  <c r="X195" i="2"/>
  <c r="W195" i="2"/>
  <c r="U195" i="2"/>
  <c r="V195" i="2" s="1"/>
  <c r="T195" i="2"/>
  <c r="R195" i="2"/>
  <c r="Q195" i="2"/>
  <c r="S195" i="2" s="1"/>
  <c r="O195" i="2"/>
  <c r="P195" i="2" s="1"/>
  <c r="N195" i="2"/>
  <c r="M195" i="2"/>
  <c r="L195" i="2"/>
  <c r="K195" i="2"/>
  <c r="I195" i="2"/>
  <c r="H195" i="2"/>
  <c r="AE194" i="2"/>
  <c r="AB194" i="2"/>
  <c r="Y194" i="2"/>
  <c r="V194" i="2"/>
  <c r="S194" i="2"/>
  <c r="P194" i="2"/>
  <c r="M194" i="2"/>
  <c r="J194" i="2"/>
  <c r="G194" i="2" s="1"/>
  <c r="F194" i="2"/>
  <c r="E194" i="2"/>
  <c r="AE193" i="2"/>
  <c r="AD193" i="2"/>
  <c r="AC193" i="2"/>
  <c r="AA193" i="2"/>
  <c r="AB193" i="2" s="1"/>
  <c r="Z193" i="2"/>
  <c r="X193" i="2"/>
  <c r="W193" i="2"/>
  <c r="Y193" i="2" s="1"/>
  <c r="U193" i="2"/>
  <c r="V193" i="2" s="1"/>
  <c r="T193" i="2"/>
  <c r="S193" i="2"/>
  <c r="R193" i="2"/>
  <c r="Q193" i="2"/>
  <c r="O193" i="2"/>
  <c r="P193" i="2" s="1"/>
  <c r="N193" i="2"/>
  <c r="L193" i="2"/>
  <c r="K193" i="2"/>
  <c r="I193" i="2"/>
  <c r="J193" i="2" s="1"/>
  <c r="H193" i="2"/>
  <c r="AE192" i="2"/>
  <c r="AB192" i="2"/>
  <c r="Y192" i="2"/>
  <c r="V192" i="2"/>
  <c r="S192" i="2"/>
  <c r="P192" i="2"/>
  <c r="O192" i="2"/>
  <c r="N192" i="2"/>
  <c r="E192" i="2" s="1"/>
  <c r="M192" i="2"/>
  <c r="J192" i="2"/>
  <c r="G192" i="2" s="1"/>
  <c r="F192" i="2"/>
  <c r="AE191" i="2"/>
  <c r="AB191" i="2"/>
  <c r="Y191" i="2"/>
  <c r="V191" i="2"/>
  <c r="S191" i="2"/>
  <c r="P191" i="2"/>
  <c r="M191" i="2"/>
  <c r="J191" i="2"/>
  <c r="G191" i="2"/>
  <c r="F191" i="2"/>
  <c r="E191" i="2"/>
  <c r="AE190" i="2"/>
  <c r="AB190" i="2"/>
  <c r="Y190" i="2"/>
  <c r="V190" i="2"/>
  <c r="S190" i="2"/>
  <c r="P190" i="2"/>
  <c r="O190" i="2"/>
  <c r="M190" i="2"/>
  <c r="J190" i="2"/>
  <c r="G190" i="2"/>
  <c r="F190" i="2"/>
  <c r="E190" i="2"/>
  <c r="AD189" i="2"/>
  <c r="AE189" i="2" s="1"/>
  <c r="AC189" i="2"/>
  <c r="AA189" i="2"/>
  <c r="Z189" i="2"/>
  <c r="AB189" i="2" s="1"/>
  <c r="X189" i="2"/>
  <c r="Y189" i="2" s="1"/>
  <c r="W189" i="2"/>
  <c r="V189" i="2"/>
  <c r="U189" i="2"/>
  <c r="T189" i="2"/>
  <c r="R189" i="2"/>
  <c r="S189" i="2" s="1"/>
  <c r="Q189" i="2"/>
  <c r="O189" i="2"/>
  <c r="N189" i="2"/>
  <c r="P189" i="2" s="1"/>
  <c r="L189" i="2"/>
  <c r="M189" i="2" s="1"/>
  <c r="K189" i="2"/>
  <c r="J189" i="2"/>
  <c r="G189" i="2" s="1"/>
  <c r="I189" i="2"/>
  <c r="H189" i="2"/>
  <c r="AE188" i="2"/>
  <c r="AB188" i="2"/>
  <c r="Y188" i="2"/>
  <c r="V188" i="2"/>
  <c r="S188" i="2"/>
  <c r="P188" i="2"/>
  <c r="M188" i="2"/>
  <c r="G188" i="2" s="1"/>
  <c r="J188" i="2"/>
  <c r="F188" i="2"/>
  <c r="E188" i="2"/>
  <c r="AD187" i="2"/>
  <c r="AE187" i="2" s="1"/>
  <c r="AC187" i="2"/>
  <c r="AB187" i="2"/>
  <c r="AA187" i="2"/>
  <c r="Z187" i="2"/>
  <c r="X187" i="2"/>
  <c r="Y187" i="2" s="1"/>
  <c r="W187" i="2"/>
  <c r="U187" i="2"/>
  <c r="T187" i="2"/>
  <c r="V187" i="2" s="1"/>
  <c r="R187" i="2"/>
  <c r="S187" i="2" s="1"/>
  <c r="Q187" i="2"/>
  <c r="P187" i="2"/>
  <c r="O187" i="2"/>
  <c r="N187" i="2"/>
  <c r="L187" i="2"/>
  <c r="L179" i="2" s="1"/>
  <c r="K187" i="2"/>
  <c r="I187" i="2"/>
  <c r="H187" i="2"/>
  <c r="AE186" i="2"/>
  <c r="AB186" i="2"/>
  <c r="Y186" i="2"/>
  <c r="V186" i="2"/>
  <c r="S186" i="2"/>
  <c r="O186" i="2"/>
  <c r="P186" i="2" s="1"/>
  <c r="N186" i="2"/>
  <c r="M186" i="2"/>
  <c r="J186" i="2"/>
  <c r="E186" i="2"/>
  <c r="AE185" i="2"/>
  <c r="AB185" i="2"/>
  <c r="Y185" i="2"/>
  <c r="V185" i="2"/>
  <c r="S185" i="2"/>
  <c r="P185" i="2"/>
  <c r="M185" i="2"/>
  <c r="J185" i="2"/>
  <c r="G185" i="2" s="1"/>
  <c r="F185" i="2"/>
  <c r="E185" i="2"/>
  <c r="AE184" i="2"/>
  <c r="AB184" i="2"/>
  <c r="Y184" i="2"/>
  <c r="V184" i="2"/>
  <c r="S184" i="2"/>
  <c r="O184" i="2"/>
  <c r="P184" i="2" s="1"/>
  <c r="M184" i="2"/>
  <c r="J184" i="2"/>
  <c r="F184" i="2"/>
  <c r="E184" i="2"/>
  <c r="AE183" i="2"/>
  <c r="AB183" i="2"/>
  <c r="Y183" i="2"/>
  <c r="V183" i="2"/>
  <c r="S183" i="2"/>
  <c r="P183" i="2"/>
  <c r="M183" i="2"/>
  <c r="G183" i="2" s="1"/>
  <c r="J183" i="2"/>
  <c r="F183" i="2"/>
  <c r="E183" i="2"/>
  <c r="AE182" i="2"/>
  <c r="AB182" i="2"/>
  <c r="Y182" i="2"/>
  <c r="V182" i="2"/>
  <c r="S182" i="2"/>
  <c r="P182" i="2"/>
  <c r="O182" i="2"/>
  <c r="M182" i="2"/>
  <c r="G182" i="2" s="1"/>
  <c r="J182" i="2"/>
  <c r="F182" i="2"/>
  <c r="E182" i="2"/>
  <c r="AE181" i="2"/>
  <c r="AB181" i="2"/>
  <c r="Y181" i="2"/>
  <c r="V181" i="2"/>
  <c r="S181" i="2"/>
  <c r="O181" i="2"/>
  <c r="N181" i="2"/>
  <c r="P181" i="2" s="1"/>
  <c r="M181" i="2"/>
  <c r="J181" i="2"/>
  <c r="F181" i="2"/>
  <c r="AE180" i="2"/>
  <c r="AD180" i="2"/>
  <c r="AC180" i="2"/>
  <c r="AA180" i="2"/>
  <c r="Z180" i="2"/>
  <c r="X180" i="2"/>
  <c r="W180" i="2"/>
  <c r="U180" i="2"/>
  <c r="T180" i="2"/>
  <c r="R180" i="2"/>
  <c r="Q180" i="2"/>
  <c r="Q179" i="2" s="1"/>
  <c r="O180" i="2"/>
  <c r="L180" i="2"/>
  <c r="K180" i="2"/>
  <c r="K179" i="2" s="1"/>
  <c r="I180" i="2"/>
  <c r="H180" i="2"/>
  <c r="AD179" i="2"/>
  <c r="X179" i="2"/>
  <c r="T179" i="2"/>
  <c r="H179" i="2"/>
  <c r="AE177" i="2"/>
  <c r="AB177" i="2"/>
  <c r="Y177" i="2"/>
  <c r="V177" i="2"/>
  <c r="S177" i="2"/>
  <c r="P177" i="2"/>
  <c r="M177" i="2"/>
  <c r="J177" i="2"/>
  <c r="G177" i="2" s="1"/>
  <c r="F177" i="2"/>
  <c r="E177" i="2"/>
  <c r="AE176" i="2"/>
  <c r="AB176" i="2"/>
  <c r="Y176" i="2"/>
  <c r="X176" i="2"/>
  <c r="V176" i="2"/>
  <c r="S176" i="2"/>
  <c r="P176" i="2"/>
  <c r="M176" i="2"/>
  <c r="J176" i="2"/>
  <c r="G176" i="2" s="1"/>
  <c r="F176" i="2"/>
  <c r="E176" i="2"/>
  <c r="AE175" i="2"/>
  <c r="AB175" i="2"/>
  <c r="Y175" i="2"/>
  <c r="V175" i="2"/>
  <c r="S175" i="2"/>
  <c r="P175" i="2"/>
  <c r="M175" i="2"/>
  <c r="L175" i="2"/>
  <c r="J175" i="2"/>
  <c r="G175" i="2" s="1"/>
  <c r="F175" i="2"/>
  <c r="E175" i="2"/>
  <c r="AE174" i="2"/>
  <c r="AB174" i="2"/>
  <c r="Y174" i="2"/>
  <c r="V174" i="2"/>
  <c r="S174" i="2"/>
  <c r="O174" i="2"/>
  <c r="O172" i="2" s="1"/>
  <c r="M174" i="2"/>
  <c r="J174" i="2"/>
  <c r="F174" i="2"/>
  <c r="E174" i="2"/>
  <c r="AE173" i="2"/>
  <c r="AB173" i="2"/>
  <c r="Y173" i="2"/>
  <c r="V173" i="2"/>
  <c r="S173" i="2"/>
  <c r="Q173" i="2"/>
  <c r="E173" i="2" s="1"/>
  <c r="P173" i="2"/>
  <c r="M173" i="2"/>
  <c r="J173" i="2"/>
  <c r="G173" i="2" s="1"/>
  <c r="F173" i="2"/>
  <c r="AD172" i="2"/>
  <c r="AC172" i="2"/>
  <c r="AE172" i="2" s="1"/>
  <c r="AA172" i="2"/>
  <c r="AB172" i="2" s="1"/>
  <c r="Z172" i="2"/>
  <c r="Y172" i="2"/>
  <c r="X172" i="2"/>
  <c r="W172" i="2"/>
  <c r="W171" i="2" s="1"/>
  <c r="U172" i="2"/>
  <c r="V172" i="2" s="1"/>
  <c r="T172" i="2"/>
  <c r="R172" i="2"/>
  <c r="Q172" i="2"/>
  <c r="S172" i="2" s="1"/>
  <c r="N172" i="2"/>
  <c r="M172" i="2"/>
  <c r="L172" i="2"/>
  <c r="K172" i="2"/>
  <c r="K171" i="2" s="1"/>
  <c r="I172" i="2"/>
  <c r="J172" i="2" s="1"/>
  <c r="H172" i="2"/>
  <c r="E172" i="2"/>
  <c r="AD171" i="2"/>
  <c r="Z171" i="2"/>
  <c r="X171" i="2"/>
  <c r="Y171" i="2" s="1"/>
  <c r="T171" i="2"/>
  <c r="R171" i="2"/>
  <c r="N171" i="2"/>
  <c r="L171" i="2"/>
  <c r="M171" i="2" s="1"/>
  <c r="H171" i="2"/>
  <c r="AE170" i="2"/>
  <c r="AB170" i="2"/>
  <c r="Y170" i="2"/>
  <c r="V170" i="2"/>
  <c r="S170" i="2"/>
  <c r="P170" i="2"/>
  <c r="M170" i="2"/>
  <c r="J170" i="2"/>
  <c r="G170" i="2"/>
  <c r="F170" i="2"/>
  <c r="E170" i="2"/>
  <c r="AE169" i="2"/>
  <c r="AB169" i="2"/>
  <c r="Y169" i="2"/>
  <c r="V169" i="2"/>
  <c r="S169" i="2"/>
  <c r="P169" i="2"/>
  <c r="O169" i="2"/>
  <c r="M169" i="2"/>
  <c r="J169" i="2"/>
  <c r="G169" i="2"/>
  <c r="F169" i="2"/>
  <c r="E169" i="2"/>
  <c r="AE168" i="2"/>
  <c r="AB168" i="2"/>
  <c r="Y168" i="2"/>
  <c r="V168" i="2"/>
  <c r="R168" i="2"/>
  <c r="Q168" i="2"/>
  <c r="P168" i="2"/>
  <c r="M168" i="2"/>
  <c r="J168" i="2"/>
  <c r="E168" i="2"/>
  <c r="AE167" i="2"/>
  <c r="AB167" i="2"/>
  <c r="Y167" i="2"/>
  <c r="V167" i="2"/>
  <c r="S167" i="2"/>
  <c r="R167" i="2"/>
  <c r="Q167" i="2"/>
  <c r="P167" i="2"/>
  <c r="M167" i="2"/>
  <c r="G167" i="2" s="1"/>
  <c r="J167" i="2"/>
  <c r="F167" i="2"/>
  <c r="E167" i="2"/>
  <c r="AE166" i="2"/>
  <c r="AB166" i="2"/>
  <c r="Y166" i="2"/>
  <c r="V166" i="2"/>
  <c r="S166" i="2"/>
  <c r="P166" i="2"/>
  <c r="M166" i="2"/>
  <c r="J166" i="2"/>
  <c r="G166" i="2" s="1"/>
  <c r="F166" i="2"/>
  <c r="E166" i="2"/>
  <c r="AE165" i="2"/>
  <c r="AB165" i="2"/>
  <c r="Y165" i="2"/>
  <c r="V165" i="2"/>
  <c r="S165" i="2"/>
  <c r="P165" i="2"/>
  <c r="M165" i="2"/>
  <c r="J165" i="2"/>
  <c r="G165" i="2"/>
  <c r="F165" i="2"/>
  <c r="E165" i="2"/>
  <c r="AE164" i="2"/>
  <c r="AB164" i="2"/>
  <c r="Y164" i="2"/>
  <c r="V164" i="2"/>
  <c r="S164" i="2"/>
  <c r="P164" i="2"/>
  <c r="O164" i="2"/>
  <c r="M164" i="2"/>
  <c r="J164" i="2"/>
  <c r="G164" i="2"/>
  <c r="F164" i="2"/>
  <c r="E164" i="2"/>
  <c r="AE163" i="2"/>
  <c r="AB163" i="2"/>
  <c r="Y163" i="2"/>
  <c r="V163" i="2"/>
  <c r="S163" i="2"/>
  <c r="P163" i="2"/>
  <c r="O163" i="2"/>
  <c r="M163" i="2"/>
  <c r="J163" i="2"/>
  <c r="G163" i="2"/>
  <c r="F163" i="2"/>
  <c r="E163" i="2"/>
  <c r="AE162" i="2"/>
  <c r="AB162" i="2"/>
  <c r="Y162" i="2"/>
  <c r="V162" i="2"/>
  <c r="S162" i="2"/>
  <c r="P162" i="2"/>
  <c r="L162" i="2"/>
  <c r="M162" i="2" s="1"/>
  <c r="I162" i="2"/>
  <c r="H162" i="2"/>
  <c r="E162" i="2"/>
  <c r="AE161" i="2"/>
  <c r="AB161" i="2"/>
  <c r="Y161" i="2"/>
  <c r="V161" i="2"/>
  <c r="S161" i="2"/>
  <c r="O161" i="2"/>
  <c r="N161" i="2"/>
  <c r="M161" i="2"/>
  <c r="J161" i="2"/>
  <c r="F161" i="2"/>
  <c r="AE160" i="2"/>
  <c r="AB160" i="2"/>
  <c r="Y160" i="2"/>
  <c r="V160" i="2"/>
  <c r="S160" i="2"/>
  <c r="P160" i="2"/>
  <c r="M160" i="2"/>
  <c r="G160" i="2" s="1"/>
  <c r="J160" i="2"/>
  <c r="F160" i="2"/>
  <c r="E160" i="2"/>
  <c r="AE159" i="2"/>
  <c r="AB159" i="2"/>
  <c r="Y159" i="2"/>
  <c r="V159" i="2"/>
  <c r="S159" i="2"/>
  <c r="P159" i="2"/>
  <c r="M159" i="2"/>
  <c r="J159" i="2"/>
  <c r="G159" i="2" s="1"/>
  <c r="F159" i="2"/>
  <c r="E159" i="2"/>
  <c r="AE158" i="2"/>
  <c r="AB158" i="2"/>
  <c r="Y158" i="2"/>
  <c r="V158" i="2"/>
  <c r="S158" i="2"/>
  <c r="O158" i="2"/>
  <c r="P158" i="2" s="1"/>
  <c r="M158" i="2"/>
  <c r="J158" i="2"/>
  <c r="F158" i="2"/>
  <c r="E158" i="2"/>
  <c r="AE157" i="2"/>
  <c r="AB157" i="2"/>
  <c r="Y157" i="2"/>
  <c r="V157" i="2"/>
  <c r="S157" i="2"/>
  <c r="P157" i="2"/>
  <c r="M157" i="2"/>
  <c r="J157" i="2"/>
  <c r="G157" i="2"/>
  <c r="F157" i="2"/>
  <c r="E157" i="2"/>
  <c r="AE156" i="2"/>
  <c r="AB156" i="2"/>
  <c r="Y156" i="2"/>
  <c r="V156" i="2"/>
  <c r="S156" i="2"/>
  <c r="P156" i="2"/>
  <c r="M156" i="2"/>
  <c r="J156" i="2"/>
  <c r="G156" i="2" s="1"/>
  <c r="F156" i="2"/>
  <c r="E156" i="2"/>
  <c r="AE155" i="2"/>
  <c r="AB155" i="2"/>
  <c r="Y155" i="2"/>
  <c r="V155" i="2"/>
  <c r="S155" i="2"/>
  <c r="P155" i="2"/>
  <c r="M155" i="2"/>
  <c r="G155" i="2" s="1"/>
  <c r="J155" i="2"/>
  <c r="F155" i="2"/>
  <c r="E155" i="2"/>
  <c r="AE154" i="2"/>
  <c r="AB154" i="2"/>
  <c r="Y154" i="2"/>
  <c r="V154" i="2"/>
  <c r="S154" i="2"/>
  <c r="P154" i="2"/>
  <c r="L154" i="2"/>
  <c r="K154" i="2"/>
  <c r="J154" i="2"/>
  <c r="F154" i="2"/>
  <c r="E154" i="2"/>
  <c r="AE153" i="2"/>
  <c r="AB153" i="2"/>
  <c r="Y153" i="2"/>
  <c r="V153" i="2"/>
  <c r="S153" i="2"/>
  <c r="P153" i="2"/>
  <c r="M153" i="2"/>
  <c r="G153" i="2" s="1"/>
  <c r="I153" i="2"/>
  <c r="J153" i="2" s="1"/>
  <c r="H153" i="2"/>
  <c r="E153" i="2"/>
  <c r="AE152" i="2"/>
  <c r="AB152" i="2"/>
  <c r="Y152" i="2"/>
  <c r="V152" i="2"/>
  <c r="S152" i="2"/>
  <c r="P152" i="2"/>
  <c r="M152" i="2"/>
  <c r="J152" i="2"/>
  <c r="F152" i="2"/>
  <c r="E152" i="2"/>
  <c r="AE151" i="2"/>
  <c r="AB151" i="2"/>
  <c r="Y151" i="2"/>
  <c r="V151" i="2"/>
  <c r="S151" i="2"/>
  <c r="P151" i="2"/>
  <c r="M151" i="2"/>
  <c r="L151" i="2"/>
  <c r="I151" i="2"/>
  <c r="H151" i="2"/>
  <c r="F151" i="2"/>
  <c r="AE150" i="2"/>
  <c r="AD150" i="2"/>
  <c r="AC150" i="2"/>
  <c r="AC149" i="2" s="1"/>
  <c r="AA150" i="2"/>
  <c r="Z150" i="2"/>
  <c r="Y150" i="2"/>
  <c r="X150" i="2"/>
  <c r="W150" i="2"/>
  <c r="W149" i="2" s="1"/>
  <c r="U150" i="2"/>
  <c r="T150" i="2"/>
  <c r="Q150" i="2"/>
  <c r="Q149" i="2" s="1"/>
  <c r="O150" i="2"/>
  <c r="K150" i="2"/>
  <c r="K149" i="2" s="1"/>
  <c r="I150" i="2"/>
  <c r="AD149" i="2"/>
  <c r="AE149" i="2" s="1"/>
  <c r="Z149" i="2"/>
  <c r="X149" i="2"/>
  <c r="Y149" i="2" s="1"/>
  <c r="T149" i="2"/>
  <c r="AE148" i="2"/>
  <c r="AB148" i="2"/>
  <c r="Y148" i="2"/>
  <c r="V148" i="2"/>
  <c r="S148" i="2"/>
  <c r="P148" i="2"/>
  <c r="M148" i="2"/>
  <c r="G148" i="2" s="1"/>
  <c r="J148" i="2"/>
  <c r="F148" i="2"/>
  <c r="E148" i="2"/>
  <c r="AE147" i="2"/>
  <c r="AB147" i="2"/>
  <c r="Y147" i="2"/>
  <c r="V147" i="2"/>
  <c r="S147" i="2"/>
  <c r="P147" i="2"/>
  <c r="O147" i="2"/>
  <c r="M147" i="2"/>
  <c r="G147" i="2" s="1"/>
  <c r="J147" i="2"/>
  <c r="F147" i="2"/>
  <c r="E147" i="2"/>
  <c r="AE146" i="2"/>
  <c r="AB146" i="2"/>
  <c r="Y146" i="2"/>
  <c r="V146" i="2"/>
  <c r="S146" i="2"/>
  <c r="O146" i="2"/>
  <c r="N146" i="2"/>
  <c r="E146" i="2" s="1"/>
  <c r="M146" i="2"/>
  <c r="J146" i="2"/>
  <c r="F146" i="2"/>
  <c r="AE145" i="2"/>
  <c r="AB145" i="2"/>
  <c r="Y145" i="2"/>
  <c r="V145" i="2"/>
  <c r="S145" i="2"/>
  <c r="P145" i="2"/>
  <c r="M145" i="2"/>
  <c r="J145" i="2"/>
  <c r="G145" i="2"/>
  <c r="F145" i="2"/>
  <c r="E145" i="2"/>
  <c r="AE144" i="2"/>
  <c r="AB144" i="2"/>
  <c r="Y144" i="2"/>
  <c r="V144" i="2"/>
  <c r="S144" i="2"/>
  <c r="P144" i="2"/>
  <c r="O144" i="2"/>
  <c r="M144" i="2"/>
  <c r="J144" i="2"/>
  <c r="G144" i="2"/>
  <c r="F144" i="2"/>
  <c r="E144" i="2"/>
  <c r="AE143" i="2"/>
  <c r="AB143" i="2"/>
  <c r="Y143" i="2"/>
  <c r="V143" i="2"/>
  <c r="S143" i="2"/>
  <c r="P143" i="2"/>
  <c r="M143" i="2"/>
  <c r="J143" i="2"/>
  <c r="F143" i="2"/>
  <c r="E143" i="2"/>
  <c r="AE142" i="2"/>
  <c r="AB142" i="2"/>
  <c r="Y142" i="2"/>
  <c r="V142" i="2"/>
  <c r="S142" i="2"/>
  <c r="P142" i="2"/>
  <c r="M142" i="2"/>
  <c r="G142" i="2" s="1"/>
  <c r="J142" i="2"/>
  <c r="F142" i="2"/>
  <c r="E142" i="2"/>
  <c r="AE141" i="2"/>
  <c r="AB141" i="2"/>
  <c r="Y141" i="2"/>
  <c r="V141" i="2"/>
  <c r="S141" i="2"/>
  <c r="P141" i="2"/>
  <c r="O141" i="2"/>
  <c r="M141" i="2"/>
  <c r="G141" i="2" s="1"/>
  <c r="J141" i="2"/>
  <c r="F141" i="2"/>
  <c r="E141" i="2"/>
  <c r="AE140" i="2"/>
  <c r="AB140" i="2"/>
  <c r="Y140" i="2"/>
  <c r="V140" i="2"/>
  <c r="S140" i="2"/>
  <c r="P140" i="2"/>
  <c r="M140" i="2"/>
  <c r="J140" i="2"/>
  <c r="G140" i="2" s="1"/>
  <c r="F140" i="2"/>
  <c r="E140" i="2"/>
  <c r="AE139" i="2"/>
  <c r="AB139" i="2"/>
  <c r="Y139" i="2"/>
  <c r="V139" i="2"/>
  <c r="S139" i="2"/>
  <c r="P139" i="2"/>
  <c r="M139" i="2"/>
  <c r="G139" i="2" s="1"/>
  <c r="J139" i="2"/>
  <c r="F139" i="2"/>
  <c r="E139" i="2"/>
  <c r="AE138" i="2"/>
  <c r="AB138" i="2"/>
  <c r="Y138" i="2"/>
  <c r="V138" i="2"/>
  <c r="S138" i="2"/>
  <c r="P138" i="2"/>
  <c r="M138" i="2"/>
  <c r="J138" i="2"/>
  <c r="G138" i="2" s="1"/>
  <c r="F138" i="2"/>
  <c r="E138" i="2"/>
  <c r="AE137" i="2"/>
  <c r="AB137" i="2"/>
  <c r="Y137" i="2"/>
  <c r="V137" i="2"/>
  <c r="S137" i="2"/>
  <c r="P137" i="2"/>
  <c r="M137" i="2"/>
  <c r="J137" i="2"/>
  <c r="G137" i="2"/>
  <c r="F137" i="2"/>
  <c r="E137" i="2"/>
  <c r="AE136" i="2"/>
  <c r="AB136" i="2"/>
  <c r="Y136" i="2"/>
  <c r="V136" i="2"/>
  <c r="S136" i="2"/>
  <c r="P136" i="2"/>
  <c r="O136" i="2"/>
  <c r="M136" i="2"/>
  <c r="J136" i="2"/>
  <c r="G136" i="2"/>
  <c r="F136" i="2"/>
  <c r="E136" i="2"/>
  <c r="AE135" i="2"/>
  <c r="AB135" i="2"/>
  <c r="Y135" i="2"/>
  <c r="V135" i="2"/>
  <c r="S135" i="2"/>
  <c r="P135" i="2"/>
  <c r="O135" i="2"/>
  <c r="M135" i="2"/>
  <c r="J135" i="2"/>
  <c r="G135" i="2"/>
  <c r="F135" i="2"/>
  <c r="E135" i="2"/>
  <c r="AE134" i="2"/>
  <c r="AB134" i="2"/>
  <c r="Y134" i="2"/>
  <c r="V134" i="2"/>
  <c r="S134" i="2"/>
  <c r="P134" i="2"/>
  <c r="O134" i="2"/>
  <c r="M134" i="2"/>
  <c r="J134" i="2"/>
  <c r="G134" i="2"/>
  <c r="F134" i="2"/>
  <c r="E134" i="2"/>
  <c r="AE133" i="2"/>
  <c r="AB133" i="2"/>
  <c r="Y133" i="2"/>
  <c r="V133" i="2"/>
  <c r="S133" i="2"/>
  <c r="P133" i="2"/>
  <c r="O133" i="2"/>
  <c r="M133" i="2"/>
  <c r="J133" i="2"/>
  <c r="G133" i="2"/>
  <c r="F133" i="2"/>
  <c r="E133" i="2"/>
  <c r="AE132" i="2"/>
  <c r="AB132" i="2"/>
  <c r="Y132" i="2"/>
  <c r="V132" i="2"/>
  <c r="S132" i="2"/>
  <c r="P132" i="2"/>
  <c r="M132" i="2"/>
  <c r="J132" i="2"/>
  <c r="F132" i="2"/>
  <c r="E132" i="2"/>
  <c r="AE131" i="2"/>
  <c r="AB131" i="2"/>
  <c r="Y131" i="2"/>
  <c r="V131" i="2"/>
  <c r="S131" i="2"/>
  <c r="P131" i="2"/>
  <c r="O131" i="2"/>
  <c r="M131" i="2"/>
  <c r="J131" i="2"/>
  <c r="G131" i="2"/>
  <c r="F131" i="2"/>
  <c r="E131" i="2"/>
  <c r="AE130" i="2"/>
  <c r="AB130" i="2"/>
  <c r="Y130" i="2"/>
  <c r="V130" i="2"/>
  <c r="S130" i="2"/>
  <c r="P130" i="2"/>
  <c r="G130" i="2" s="1"/>
  <c r="M130" i="2"/>
  <c r="J130" i="2"/>
  <c r="F130" i="2"/>
  <c r="E130" i="2"/>
  <c r="AE129" i="2"/>
  <c r="AB129" i="2"/>
  <c r="Y129" i="2"/>
  <c r="V129" i="2"/>
  <c r="S129" i="2"/>
  <c r="P129" i="2"/>
  <c r="M129" i="2"/>
  <c r="J129" i="2"/>
  <c r="F129" i="2"/>
  <c r="E129" i="2"/>
  <c r="AE128" i="2"/>
  <c r="AB128" i="2"/>
  <c r="Y128" i="2"/>
  <c r="V128" i="2"/>
  <c r="S128" i="2"/>
  <c r="O128" i="2"/>
  <c r="P128" i="2" s="1"/>
  <c r="M128" i="2"/>
  <c r="J128" i="2"/>
  <c r="F128" i="2"/>
  <c r="E128" i="2"/>
  <c r="AE127" i="2"/>
  <c r="AB127" i="2"/>
  <c r="Y127" i="2"/>
  <c r="V127" i="2"/>
  <c r="S127" i="2"/>
  <c r="P127" i="2"/>
  <c r="M127" i="2"/>
  <c r="J127" i="2"/>
  <c r="G127" i="2"/>
  <c r="F127" i="2"/>
  <c r="E127" i="2"/>
  <c r="AE126" i="2"/>
  <c r="AB126" i="2"/>
  <c r="Y126" i="2"/>
  <c r="V126" i="2"/>
  <c r="S126" i="2"/>
  <c r="P126" i="2"/>
  <c r="O126" i="2"/>
  <c r="M126" i="2"/>
  <c r="J126" i="2"/>
  <c r="G126" i="2"/>
  <c r="F126" i="2"/>
  <c r="E126" i="2"/>
  <c r="AE125" i="2"/>
  <c r="AB125" i="2"/>
  <c r="Y125" i="2"/>
  <c r="V125" i="2"/>
  <c r="S125" i="2"/>
  <c r="P125" i="2"/>
  <c r="O125" i="2"/>
  <c r="M125" i="2"/>
  <c r="J125" i="2"/>
  <c r="G125" i="2"/>
  <c r="F125" i="2"/>
  <c r="E125" i="2"/>
  <c r="AE124" i="2"/>
  <c r="AB124" i="2"/>
  <c r="Y124" i="2"/>
  <c r="V124" i="2"/>
  <c r="S124" i="2"/>
  <c r="P124" i="2"/>
  <c r="M124" i="2"/>
  <c r="J124" i="2"/>
  <c r="G124" i="2" s="1"/>
  <c r="F124" i="2"/>
  <c r="E124" i="2"/>
  <c r="AE123" i="2"/>
  <c r="AB123" i="2"/>
  <c r="Y123" i="2"/>
  <c r="V123" i="2"/>
  <c r="S123" i="2"/>
  <c r="P123" i="2"/>
  <c r="M123" i="2"/>
  <c r="G123" i="2" s="1"/>
  <c r="J123" i="2"/>
  <c r="F123" i="2"/>
  <c r="E123" i="2"/>
  <c r="AE122" i="2"/>
  <c r="AB122" i="2"/>
  <c r="Y122" i="2"/>
  <c r="V122" i="2"/>
  <c r="S122" i="2"/>
  <c r="P122" i="2"/>
  <c r="M122" i="2"/>
  <c r="J122" i="2"/>
  <c r="G122" i="2" s="1"/>
  <c r="F122" i="2"/>
  <c r="E122" i="2"/>
  <c r="AE121" i="2"/>
  <c r="AB121" i="2"/>
  <c r="Y121" i="2"/>
  <c r="V121" i="2"/>
  <c r="S121" i="2"/>
  <c r="O121" i="2"/>
  <c r="P121" i="2" s="1"/>
  <c r="M121" i="2"/>
  <c r="J121" i="2"/>
  <c r="F121" i="2"/>
  <c r="E121" i="2"/>
  <c r="AE120" i="2"/>
  <c r="AB120" i="2"/>
  <c r="Y120" i="2"/>
  <c r="V120" i="2"/>
  <c r="S120" i="2"/>
  <c r="P120" i="2"/>
  <c r="M120" i="2"/>
  <c r="J120" i="2"/>
  <c r="G120" i="2"/>
  <c r="F120" i="2"/>
  <c r="E120" i="2"/>
  <c r="AE119" i="2"/>
  <c r="AB119" i="2"/>
  <c r="Y119" i="2"/>
  <c r="V119" i="2"/>
  <c r="S119" i="2"/>
  <c r="P119" i="2"/>
  <c r="M119" i="2"/>
  <c r="J119" i="2"/>
  <c r="G119" i="2" s="1"/>
  <c r="F119" i="2"/>
  <c r="E119" i="2"/>
  <c r="AE118" i="2"/>
  <c r="AB118" i="2"/>
  <c r="Y118" i="2"/>
  <c r="V118" i="2"/>
  <c r="S118" i="2"/>
  <c r="O118" i="2"/>
  <c r="O117" i="2" s="1"/>
  <c r="P117" i="2" s="1"/>
  <c r="M118" i="2"/>
  <c r="J118" i="2"/>
  <c r="F118" i="2"/>
  <c r="E118" i="2"/>
  <c r="AD117" i="2"/>
  <c r="AC117" i="2"/>
  <c r="AE117" i="2" s="1"/>
  <c r="AA117" i="2"/>
  <c r="AB117" i="2" s="1"/>
  <c r="Z117" i="2"/>
  <c r="Y117" i="2"/>
  <c r="X117" i="2"/>
  <c r="W117" i="2"/>
  <c r="U117" i="2"/>
  <c r="V117" i="2" s="1"/>
  <c r="T117" i="2"/>
  <c r="R117" i="2"/>
  <c r="Q117" i="2"/>
  <c r="S117" i="2" s="1"/>
  <c r="N117" i="2"/>
  <c r="M117" i="2"/>
  <c r="L117" i="2"/>
  <c r="K117" i="2"/>
  <c r="I117" i="2"/>
  <c r="J117" i="2" s="1"/>
  <c r="G117" i="2" s="1"/>
  <c r="H117" i="2"/>
  <c r="E117" i="2"/>
  <c r="AE116" i="2"/>
  <c r="AB116" i="2"/>
  <c r="Y116" i="2"/>
  <c r="V116" i="2"/>
  <c r="S116" i="2"/>
  <c r="P116" i="2"/>
  <c r="O116" i="2"/>
  <c r="M116" i="2"/>
  <c r="L116" i="2"/>
  <c r="J116" i="2"/>
  <c r="G116" i="2" s="1"/>
  <c r="F116" i="2"/>
  <c r="E116" i="2"/>
  <c r="AE115" i="2"/>
  <c r="AB115" i="2"/>
  <c r="Y115" i="2"/>
  <c r="V115" i="2"/>
  <c r="S115" i="2"/>
  <c r="O115" i="2"/>
  <c r="P115" i="2" s="1"/>
  <c r="N115" i="2"/>
  <c r="L115" i="2"/>
  <c r="K115" i="2"/>
  <c r="M115" i="2" s="1"/>
  <c r="J115" i="2"/>
  <c r="E115" i="2"/>
  <c r="AE114" i="2"/>
  <c r="AB114" i="2"/>
  <c r="Y114" i="2"/>
  <c r="V114" i="2"/>
  <c r="S114" i="2"/>
  <c r="P114" i="2"/>
  <c r="O114" i="2"/>
  <c r="M114" i="2"/>
  <c r="G114" i="2" s="1"/>
  <c r="J114" i="2"/>
  <c r="F114" i="2"/>
  <c r="E114" i="2"/>
  <c r="AE113" i="2"/>
  <c r="AB113" i="2"/>
  <c r="Y113" i="2"/>
  <c r="V113" i="2"/>
  <c r="S113" i="2"/>
  <c r="P113" i="2"/>
  <c r="O113" i="2"/>
  <c r="M113" i="2"/>
  <c r="G113" i="2" s="1"/>
  <c r="J113" i="2"/>
  <c r="F113" i="2"/>
  <c r="E113" i="2"/>
  <c r="AE112" i="2"/>
  <c r="AB112" i="2"/>
  <c r="Y112" i="2"/>
  <c r="V112" i="2"/>
  <c r="S112" i="2"/>
  <c r="P112" i="2"/>
  <c r="O112" i="2"/>
  <c r="M112" i="2"/>
  <c r="G112" i="2" s="1"/>
  <c r="J112" i="2"/>
  <c r="F112" i="2"/>
  <c r="E112" i="2"/>
  <c r="AE111" i="2"/>
  <c r="AB111" i="2"/>
  <c r="Y111" i="2"/>
  <c r="V111" i="2"/>
  <c r="S111" i="2"/>
  <c r="P111" i="2"/>
  <c r="M111" i="2"/>
  <c r="J111" i="2"/>
  <c r="G111" i="2" s="1"/>
  <c r="F111" i="2"/>
  <c r="E111" i="2"/>
  <c r="AE110" i="2"/>
  <c r="AB110" i="2"/>
  <c r="Y110" i="2"/>
  <c r="V110" i="2"/>
  <c r="S110" i="2"/>
  <c r="P110" i="2"/>
  <c r="M110" i="2"/>
  <c r="J110" i="2"/>
  <c r="G110" i="2"/>
  <c r="F110" i="2"/>
  <c r="E110" i="2"/>
  <c r="AE109" i="2"/>
  <c r="AB109" i="2"/>
  <c r="Y109" i="2"/>
  <c r="V109" i="2"/>
  <c r="S109" i="2"/>
  <c r="P109" i="2"/>
  <c r="O109" i="2"/>
  <c r="N109" i="2"/>
  <c r="E109" i="2" s="1"/>
  <c r="M109" i="2"/>
  <c r="J109" i="2"/>
  <c r="G109" i="2" s="1"/>
  <c r="F109" i="2"/>
  <c r="AE108" i="2"/>
  <c r="AB108" i="2"/>
  <c r="Y108" i="2"/>
  <c r="V108" i="2"/>
  <c r="S108" i="2"/>
  <c r="O108" i="2"/>
  <c r="P108" i="2" s="1"/>
  <c r="M108" i="2"/>
  <c r="J108" i="2"/>
  <c r="F108" i="2"/>
  <c r="E108" i="2"/>
  <c r="AE107" i="2"/>
  <c r="AB107" i="2"/>
  <c r="Y107" i="2"/>
  <c r="V107" i="2"/>
  <c r="S107" i="2"/>
  <c r="O107" i="2"/>
  <c r="P107" i="2" s="1"/>
  <c r="M107" i="2"/>
  <c r="J107" i="2"/>
  <c r="G107" i="2" s="1"/>
  <c r="F107" i="2"/>
  <c r="E107" i="2"/>
  <c r="AE106" i="2"/>
  <c r="AB106" i="2"/>
  <c r="Y106" i="2"/>
  <c r="V106" i="2"/>
  <c r="S106" i="2"/>
  <c r="O106" i="2"/>
  <c r="F106" i="2" s="1"/>
  <c r="N106" i="2"/>
  <c r="M106" i="2"/>
  <c r="J106" i="2"/>
  <c r="E106" i="2"/>
  <c r="AE105" i="2"/>
  <c r="AB105" i="2"/>
  <c r="Y105" i="2"/>
  <c r="V105" i="2"/>
  <c r="S105" i="2"/>
  <c r="P105" i="2"/>
  <c r="O105" i="2"/>
  <c r="M105" i="2"/>
  <c r="G105" i="2" s="1"/>
  <c r="J105" i="2"/>
  <c r="F105" i="2"/>
  <c r="E105" i="2"/>
  <c r="AE104" i="2"/>
  <c r="AB104" i="2"/>
  <c r="Y104" i="2"/>
  <c r="V104" i="2"/>
  <c r="S104" i="2"/>
  <c r="P104" i="2"/>
  <c r="M104" i="2"/>
  <c r="J104" i="2"/>
  <c r="G104" i="2" s="1"/>
  <c r="F104" i="2"/>
  <c r="E104" i="2"/>
  <c r="AE103" i="2"/>
  <c r="AB103" i="2"/>
  <c r="Y103" i="2"/>
  <c r="V103" i="2"/>
  <c r="S103" i="2"/>
  <c r="O103" i="2"/>
  <c r="F103" i="2" s="1"/>
  <c r="N103" i="2"/>
  <c r="M103" i="2"/>
  <c r="J103" i="2"/>
  <c r="E103" i="2"/>
  <c r="AE102" i="2"/>
  <c r="AB102" i="2"/>
  <c r="Y102" i="2"/>
  <c r="V102" i="2"/>
  <c r="S102" i="2"/>
  <c r="O102" i="2"/>
  <c r="N102" i="2"/>
  <c r="P102" i="2" s="1"/>
  <c r="M102" i="2"/>
  <c r="J102" i="2"/>
  <c r="G102" i="2" s="1"/>
  <c r="F102" i="2"/>
  <c r="AE101" i="2"/>
  <c r="AB101" i="2"/>
  <c r="Y101" i="2"/>
  <c r="V101" i="2"/>
  <c r="S101" i="2"/>
  <c r="O101" i="2"/>
  <c r="P101" i="2" s="1"/>
  <c r="M101" i="2"/>
  <c r="J101" i="2"/>
  <c r="F101" i="2"/>
  <c r="E101" i="2"/>
  <c r="AE100" i="2"/>
  <c r="AB100" i="2"/>
  <c r="Y100" i="2"/>
  <c r="V100" i="2"/>
  <c r="S100" i="2"/>
  <c r="O100" i="2"/>
  <c r="P100" i="2" s="1"/>
  <c r="M100" i="2"/>
  <c r="J100" i="2"/>
  <c r="G100" i="2" s="1"/>
  <c r="F100" i="2"/>
  <c r="E100" i="2"/>
  <c r="AE99" i="2"/>
  <c r="AB99" i="2"/>
  <c r="Y99" i="2"/>
  <c r="V99" i="2"/>
  <c r="S99" i="2"/>
  <c r="O99" i="2"/>
  <c r="P99" i="2" s="1"/>
  <c r="G99" i="2" s="1"/>
  <c r="N99" i="2"/>
  <c r="M99" i="2"/>
  <c r="J99" i="2"/>
  <c r="E99" i="2"/>
  <c r="AE98" i="2"/>
  <c r="AB98" i="2"/>
  <c r="Y98" i="2"/>
  <c r="V98" i="2"/>
  <c r="S98" i="2"/>
  <c r="P98" i="2"/>
  <c r="O98" i="2"/>
  <c r="N98" i="2"/>
  <c r="L98" i="2"/>
  <c r="M98" i="2" s="1"/>
  <c r="G98" i="2" s="1"/>
  <c r="J98" i="2"/>
  <c r="E98" i="2"/>
  <c r="AE97" i="2"/>
  <c r="AB97" i="2"/>
  <c r="Y97" i="2"/>
  <c r="V97" i="2"/>
  <c r="S97" i="2"/>
  <c r="P97" i="2"/>
  <c r="O97" i="2"/>
  <c r="M97" i="2"/>
  <c r="G97" i="2" s="1"/>
  <c r="J97" i="2"/>
  <c r="F97" i="2"/>
  <c r="E97" i="2"/>
  <c r="AE96" i="2"/>
  <c r="AB96" i="2"/>
  <c r="Y96" i="2"/>
  <c r="V96" i="2"/>
  <c r="S96" i="2"/>
  <c r="P96" i="2"/>
  <c r="L96" i="2"/>
  <c r="M96" i="2" s="1"/>
  <c r="K96" i="2"/>
  <c r="J96" i="2"/>
  <c r="F96" i="2"/>
  <c r="E96" i="2"/>
  <c r="AE95" i="2"/>
  <c r="AB95" i="2"/>
  <c r="Y95" i="2"/>
  <c r="V95" i="2"/>
  <c r="S95" i="2"/>
  <c r="P95" i="2"/>
  <c r="M95" i="2"/>
  <c r="G95" i="2" s="1"/>
  <c r="J95" i="2"/>
  <c r="F95" i="2"/>
  <c r="E95" i="2"/>
  <c r="AE94" i="2"/>
  <c r="AB94" i="2"/>
  <c r="Y94" i="2"/>
  <c r="V94" i="2"/>
  <c r="S94" i="2"/>
  <c r="P94" i="2"/>
  <c r="M94" i="2"/>
  <c r="J94" i="2"/>
  <c r="G94" i="2" s="1"/>
  <c r="F94" i="2"/>
  <c r="E94" i="2"/>
  <c r="AE93" i="2"/>
  <c r="AB93" i="2"/>
  <c r="Y93" i="2"/>
  <c r="V93" i="2"/>
  <c r="S93" i="2"/>
  <c r="O93" i="2"/>
  <c r="P93" i="2" s="1"/>
  <c r="L93" i="2"/>
  <c r="M93" i="2" s="1"/>
  <c r="J93" i="2"/>
  <c r="E93" i="2"/>
  <c r="AE92" i="2"/>
  <c r="AB92" i="2"/>
  <c r="Y92" i="2"/>
  <c r="V92" i="2"/>
  <c r="S92" i="2"/>
  <c r="O92" i="2"/>
  <c r="N92" i="2"/>
  <c r="P92" i="2" s="1"/>
  <c r="M92" i="2"/>
  <c r="J92" i="2"/>
  <c r="F92" i="2"/>
  <c r="AE91" i="2"/>
  <c r="AB91" i="2"/>
  <c r="Y91" i="2"/>
  <c r="V91" i="2"/>
  <c r="S91" i="2"/>
  <c r="O91" i="2"/>
  <c r="P91" i="2" s="1"/>
  <c r="M91" i="2"/>
  <c r="J91" i="2"/>
  <c r="G91" i="2" s="1"/>
  <c r="F91" i="2"/>
  <c r="E91" i="2"/>
  <c r="AE90" i="2"/>
  <c r="AB90" i="2"/>
  <c r="Y90" i="2"/>
  <c r="V90" i="2"/>
  <c r="S90" i="2"/>
  <c r="O90" i="2"/>
  <c r="F90" i="2" s="1"/>
  <c r="L90" i="2"/>
  <c r="M90" i="2" s="1"/>
  <c r="K90" i="2"/>
  <c r="J90" i="2"/>
  <c r="E90" i="2"/>
  <c r="AE89" i="2"/>
  <c r="AB89" i="2"/>
  <c r="Y89" i="2"/>
  <c r="V89" i="2"/>
  <c r="S89" i="2"/>
  <c r="P89" i="2"/>
  <c r="M89" i="2"/>
  <c r="J89" i="2"/>
  <c r="G89" i="2"/>
  <c r="F89" i="2"/>
  <c r="E89" i="2"/>
  <c r="AE88" i="2"/>
  <c r="AB88" i="2"/>
  <c r="Y88" i="2"/>
  <c r="V88" i="2"/>
  <c r="S88" i="2"/>
  <c r="P88" i="2"/>
  <c r="O88" i="2"/>
  <c r="M88" i="2"/>
  <c r="J88" i="2"/>
  <c r="G88" i="2"/>
  <c r="F88" i="2"/>
  <c r="E88" i="2"/>
  <c r="AE87" i="2"/>
  <c r="AB87" i="2"/>
  <c r="Y87" i="2"/>
  <c r="V87" i="2"/>
  <c r="S87" i="2"/>
  <c r="P87" i="2"/>
  <c r="O87" i="2"/>
  <c r="M87" i="2"/>
  <c r="J87" i="2"/>
  <c r="G87" i="2"/>
  <c r="F87" i="2"/>
  <c r="E87" i="2"/>
  <c r="AE86" i="2"/>
  <c r="AB86" i="2"/>
  <c r="Y86" i="2"/>
  <c r="V86" i="2"/>
  <c r="S86" i="2"/>
  <c r="P86" i="2"/>
  <c r="M86" i="2"/>
  <c r="J86" i="2"/>
  <c r="G86" i="2" s="1"/>
  <c r="F86" i="2"/>
  <c r="E86" i="2"/>
  <c r="AE85" i="2"/>
  <c r="AB85" i="2"/>
  <c r="Y85" i="2"/>
  <c r="V85" i="2"/>
  <c r="S85" i="2"/>
  <c r="O85" i="2"/>
  <c r="O80" i="2" s="1"/>
  <c r="M85" i="2"/>
  <c r="J85" i="2"/>
  <c r="F85" i="2"/>
  <c r="E85" i="2"/>
  <c r="AE84" i="2"/>
  <c r="AB84" i="2"/>
  <c r="Y84" i="2"/>
  <c r="V84" i="2"/>
  <c r="S84" i="2"/>
  <c r="P84" i="2"/>
  <c r="M84" i="2"/>
  <c r="G84" i="2" s="1"/>
  <c r="J84" i="2"/>
  <c r="F84" i="2"/>
  <c r="E84" i="2"/>
  <c r="AE83" i="2"/>
  <c r="AB83" i="2"/>
  <c r="Y83" i="2"/>
  <c r="V83" i="2"/>
  <c r="S83" i="2"/>
  <c r="O83" i="2"/>
  <c r="N83" i="2"/>
  <c r="P83" i="2" s="1"/>
  <c r="L83" i="2"/>
  <c r="M83" i="2" s="1"/>
  <c r="K83" i="2"/>
  <c r="J83" i="2"/>
  <c r="F83" i="2"/>
  <c r="AE82" i="2"/>
  <c r="AB82" i="2"/>
  <c r="Y82" i="2"/>
  <c r="V82" i="2"/>
  <c r="S82" i="2"/>
  <c r="P82" i="2"/>
  <c r="M82" i="2"/>
  <c r="J82" i="2"/>
  <c r="G82" i="2"/>
  <c r="F82" i="2"/>
  <c r="E82" i="2"/>
  <c r="AE81" i="2"/>
  <c r="AB81" i="2"/>
  <c r="Y81" i="2"/>
  <c r="V81" i="2"/>
  <c r="S81" i="2"/>
  <c r="P81" i="2"/>
  <c r="O81" i="2"/>
  <c r="N81" i="2"/>
  <c r="N80" i="2" s="1"/>
  <c r="E80" i="2" s="1"/>
  <c r="L81" i="2"/>
  <c r="M81" i="2" s="1"/>
  <c r="K81" i="2"/>
  <c r="J81" i="2"/>
  <c r="F81" i="2"/>
  <c r="AD80" i="2"/>
  <c r="AC80" i="2"/>
  <c r="AE80" i="2" s="1"/>
  <c r="AA80" i="2"/>
  <c r="AB80" i="2" s="1"/>
  <c r="Z80" i="2"/>
  <c r="Y80" i="2"/>
  <c r="X80" i="2"/>
  <c r="W80" i="2"/>
  <c r="U80" i="2"/>
  <c r="U66" i="2" s="1"/>
  <c r="T80" i="2"/>
  <c r="R80" i="2"/>
  <c r="Q80" i="2"/>
  <c r="S80" i="2" s="1"/>
  <c r="K80" i="2"/>
  <c r="I80" i="2"/>
  <c r="J80" i="2" s="1"/>
  <c r="H80" i="2"/>
  <c r="AE79" i="2"/>
  <c r="AB79" i="2"/>
  <c r="Y79" i="2"/>
  <c r="V79" i="2"/>
  <c r="S79" i="2"/>
  <c r="P79" i="2"/>
  <c r="M79" i="2"/>
  <c r="J79" i="2"/>
  <c r="G79" i="2" s="1"/>
  <c r="F79" i="2"/>
  <c r="E79" i="2"/>
  <c r="AE78" i="2"/>
  <c r="AB78" i="2"/>
  <c r="X78" i="2"/>
  <c r="W78" i="2"/>
  <c r="Y78" i="2" s="1"/>
  <c r="V78" i="2"/>
  <c r="S78" i="2"/>
  <c r="P78" i="2"/>
  <c r="M78" i="2"/>
  <c r="G78" i="2" s="1"/>
  <c r="J78" i="2"/>
  <c r="F78" i="2"/>
  <c r="E78" i="2"/>
  <c r="AE77" i="2"/>
  <c r="AB77" i="2"/>
  <c r="Y77" i="2"/>
  <c r="V77" i="2"/>
  <c r="S77" i="2"/>
  <c r="P77" i="2"/>
  <c r="O77" i="2"/>
  <c r="M77" i="2"/>
  <c r="G77" i="2" s="1"/>
  <c r="J77" i="2"/>
  <c r="F77" i="2"/>
  <c r="E77" i="2"/>
  <c r="AE76" i="2"/>
  <c r="AA76" i="2"/>
  <c r="Z76" i="2"/>
  <c r="AB76" i="2" s="1"/>
  <c r="X76" i="2"/>
  <c r="Y76" i="2" s="1"/>
  <c r="W76" i="2"/>
  <c r="V76" i="2"/>
  <c r="S76" i="2"/>
  <c r="O76" i="2"/>
  <c r="N76" i="2"/>
  <c r="P76" i="2" s="1"/>
  <c r="M76" i="2"/>
  <c r="J76" i="2"/>
  <c r="F76" i="2"/>
  <c r="AE75" i="2"/>
  <c r="AB75" i="2"/>
  <c r="Y75" i="2"/>
  <c r="V75" i="2"/>
  <c r="S75" i="2"/>
  <c r="P75" i="2"/>
  <c r="M75" i="2"/>
  <c r="G75" i="2" s="1"/>
  <c r="J75" i="2"/>
  <c r="F75" i="2"/>
  <c r="E75" i="2"/>
  <c r="AE74" i="2"/>
  <c r="AB74" i="2"/>
  <c r="X74" i="2"/>
  <c r="Y74" i="2" s="1"/>
  <c r="W74" i="2"/>
  <c r="V74" i="2"/>
  <c r="S74" i="2"/>
  <c r="P74" i="2"/>
  <c r="M74" i="2"/>
  <c r="J74" i="2"/>
  <c r="G74" i="2" s="1"/>
  <c r="F74" i="2"/>
  <c r="E74" i="2"/>
  <c r="AE73" i="2"/>
  <c r="AB73" i="2"/>
  <c r="Y73" i="2"/>
  <c r="V73" i="2"/>
  <c r="S73" i="2"/>
  <c r="P73" i="2"/>
  <c r="M73" i="2"/>
  <c r="I73" i="2"/>
  <c r="J73" i="2" s="1"/>
  <c r="G73" i="2" s="1"/>
  <c r="H73" i="2"/>
  <c r="E73" i="2"/>
  <c r="AE72" i="2"/>
  <c r="AB72" i="2"/>
  <c r="Y72" i="2"/>
  <c r="V72" i="2"/>
  <c r="S72" i="2"/>
  <c r="P72" i="2"/>
  <c r="M72" i="2"/>
  <c r="J72" i="2"/>
  <c r="G72" i="2" s="1"/>
  <c r="F72" i="2"/>
  <c r="E72" i="2"/>
  <c r="AE71" i="2"/>
  <c r="AB71" i="2"/>
  <c r="Y71" i="2"/>
  <c r="V71" i="2"/>
  <c r="S71" i="2"/>
  <c r="O71" i="2"/>
  <c r="P71" i="2" s="1"/>
  <c r="M71" i="2"/>
  <c r="J71" i="2"/>
  <c r="F71" i="2"/>
  <c r="E71" i="2"/>
  <c r="AE70" i="2"/>
  <c r="AB70" i="2"/>
  <c r="Y70" i="2"/>
  <c r="V70" i="2"/>
  <c r="S70" i="2"/>
  <c r="O70" i="2"/>
  <c r="P70" i="2" s="1"/>
  <c r="M70" i="2"/>
  <c r="J70" i="2"/>
  <c r="G70" i="2" s="1"/>
  <c r="F70" i="2"/>
  <c r="E70" i="2"/>
  <c r="AE69" i="2"/>
  <c r="AB69" i="2"/>
  <c r="Y69" i="2"/>
  <c r="V69" i="2"/>
  <c r="S69" i="2"/>
  <c r="O69" i="2"/>
  <c r="P69" i="2" s="1"/>
  <c r="N69" i="2"/>
  <c r="M69" i="2"/>
  <c r="I69" i="2"/>
  <c r="I66" i="2" s="1"/>
  <c r="H69" i="2"/>
  <c r="E69" i="2"/>
  <c r="AE68" i="2"/>
  <c r="AB68" i="2"/>
  <c r="Y68" i="2"/>
  <c r="V68" i="2"/>
  <c r="S68" i="2"/>
  <c r="P68" i="2"/>
  <c r="M68" i="2"/>
  <c r="J68" i="2"/>
  <c r="G68" i="2" s="1"/>
  <c r="F68" i="2"/>
  <c r="E68" i="2"/>
  <c r="AE67" i="2"/>
  <c r="AB67" i="2"/>
  <c r="Y67" i="2"/>
  <c r="V67" i="2"/>
  <c r="S67" i="2"/>
  <c r="O67" i="2"/>
  <c r="P67" i="2" s="1"/>
  <c r="M67" i="2"/>
  <c r="J67" i="2"/>
  <c r="F67" i="2"/>
  <c r="E67" i="2"/>
  <c r="AD66" i="2"/>
  <c r="AA66" i="2"/>
  <c r="W66" i="2"/>
  <c r="W65" i="2" s="1"/>
  <c r="T66" i="2"/>
  <c r="R66" i="2"/>
  <c r="K66" i="2"/>
  <c r="H66" i="2"/>
  <c r="AD65" i="2"/>
  <c r="T65" i="2"/>
  <c r="R65" i="2"/>
  <c r="H65" i="2"/>
  <c r="AE64" i="2"/>
  <c r="AB64" i="2"/>
  <c r="Y64" i="2"/>
  <c r="V64" i="2"/>
  <c r="S64" i="2"/>
  <c r="Q64" i="2"/>
  <c r="P64" i="2"/>
  <c r="M64" i="2"/>
  <c r="J64" i="2"/>
  <c r="G64" i="2" s="1"/>
  <c r="F64" i="2"/>
  <c r="E64" i="2"/>
  <c r="AE63" i="2"/>
  <c r="AB63" i="2"/>
  <c r="Y63" i="2"/>
  <c r="V63" i="2"/>
  <c r="S63" i="2"/>
  <c r="P63" i="2"/>
  <c r="M63" i="2"/>
  <c r="G63" i="2" s="1"/>
  <c r="J63" i="2"/>
  <c r="F63" i="2"/>
  <c r="E63" i="2"/>
  <c r="AE62" i="2"/>
  <c r="AB62" i="2"/>
  <c r="Y62" i="2"/>
  <c r="V62" i="2"/>
  <c r="S62" i="2"/>
  <c r="O62" i="2"/>
  <c r="N62" i="2"/>
  <c r="P62" i="2" s="1"/>
  <c r="M62" i="2"/>
  <c r="J62" i="2"/>
  <c r="F62" i="2"/>
  <c r="AE61" i="2"/>
  <c r="AB61" i="2"/>
  <c r="Y61" i="2"/>
  <c r="V61" i="2"/>
  <c r="S61" i="2"/>
  <c r="O61" i="2"/>
  <c r="P61" i="2" s="1"/>
  <c r="M61" i="2"/>
  <c r="J61" i="2"/>
  <c r="F61" i="2"/>
  <c r="E61" i="2"/>
  <c r="AE60" i="2"/>
  <c r="AB60" i="2"/>
  <c r="Y60" i="2"/>
  <c r="V60" i="2"/>
  <c r="S60" i="2"/>
  <c r="O60" i="2"/>
  <c r="P60" i="2" s="1"/>
  <c r="M60" i="2"/>
  <c r="J60" i="2"/>
  <c r="G60" i="2" s="1"/>
  <c r="F60" i="2"/>
  <c r="E60" i="2"/>
  <c r="AE59" i="2"/>
  <c r="AB59" i="2"/>
  <c r="Y59" i="2"/>
  <c r="V59" i="2"/>
  <c r="S59" i="2"/>
  <c r="P59" i="2"/>
  <c r="M59" i="2"/>
  <c r="J59" i="2"/>
  <c r="G59" i="2" s="1"/>
  <c r="F59" i="2"/>
  <c r="E59" i="2"/>
  <c r="AE58" i="2"/>
  <c r="AB58" i="2"/>
  <c r="Y58" i="2"/>
  <c r="V58" i="2"/>
  <c r="S58" i="2"/>
  <c r="P58" i="2"/>
  <c r="L58" i="2"/>
  <c r="M58" i="2" s="1"/>
  <c r="K58" i="2"/>
  <c r="J58" i="2"/>
  <c r="F58" i="2"/>
  <c r="E58" i="2"/>
  <c r="S57" i="2"/>
  <c r="O57" i="2"/>
  <c r="P57" i="2" s="1"/>
  <c r="M57" i="2"/>
  <c r="J57" i="2"/>
  <c r="G57" i="2" s="1"/>
  <c r="F57" i="2"/>
  <c r="E57" i="2"/>
  <c r="AE56" i="2"/>
  <c r="AB56" i="2"/>
  <c r="Y56" i="2"/>
  <c r="V56" i="2"/>
  <c r="S56" i="2"/>
  <c r="P56" i="2"/>
  <c r="M56" i="2"/>
  <c r="J56" i="2"/>
  <c r="G56" i="2" s="1"/>
  <c r="F56" i="2"/>
  <c r="E56" i="2"/>
  <c r="AE55" i="2"/>
  <c r="AB55" i="2"/>
  <c r="Y55" i="2"/>
  <c r="V55" i="2"/>
  <c r="S55" i="2"/>
  <c r="Q55" i="2"/>
  <c r="P55" i="2"/>
  <c r="M55" i="2"/>
  <c r="J55" i="2"/>
  <c r="G55" i="2" s="1"/>
  <c r="F55" i="2"/>
  <c r="E55" i="2"/>
  <c r="AD54" i="2"/>
  <c r="AC54" i="2"/>
  <c r="AE54" i="2" s="1"/>
  <c r="AB54" i="2"/>
  <c r="AA54" i="2"/>
  <c r="Z54" i="2"/>
  <c r="X54" i="2"/>
  <c r="Y54" i="2" s="1"/>
  <c r="W54" i="2"/>
  <c r="U54" i="2"/>
  <c r="V54" i="2" s="1"/>
  <c r="T54" i="2"/>
  <c r="T53" i="2" s="1"/>
  <c r="V53" i="2" s="1"/>
  <c r="R54" i="2"/>
  <c r="Q54" i="2"/>
  <c r="S54" i="2" s="1"/>
  <c r="L54" i="2"/>
  <c r="K54" i="2"/>
  <c r="I54" i="2"/>
  <c r="J54" i="2" s="1"/>
  <c r="H54" i="2"/>
  <c r="AE53" i="2"/>
  <c r="AD53" i="2"/>
  <c r="AC53" i="2"/>
  <c r="AA53" i="2"/>
  <c r="AB53" i="2" s="1"/>
  <c r="Z53" i="2"/>
  <c r="W53" i="2"/>
  <c r="U53" i="2"/>
  <c r="S53" i="2"/>
  <c r="R53" i="2"/>
  <c r="Q53" i="2"/>
  <c r="K53" i="2"/>
  <c r="I53" i="2"/>
  <c r="AE52" i="2"/>
  <c r="AB52" i="2"/>
  <c r="Y52" i="2"/>
  <c r="V52" i="2"/>
  <c r="S52" i="2"/>
  <c r="P52" i="2"/>
  <c r="M52" i="2"/>
  <c r="J52" i="2"/>
  <c r="G52" i="2" s="1"/>
  <c r="F52" i="2"/>
  <c r="E52" i="2"/>
  <c r="AE51" i="2"/>
  <c r="AB51" i="2"/>
  <c r="Y51" i="2"/>
  <c r="V51" i="2"/>
  <c r="U51" i="2"/>
  <c r="T51" i="2"/>
  <c r="S51" i="2"/>
  <c r="P51" i="2"/>
  <c r="M51" i="2"/>
  <c r="J51" i="2"/>
  <c r="G51" i="2"/>
  <c r="F51" i="2"/>
  <c r="E51" i="2"/>
  <c r="AE50" i="2"/>
  <c r="AB50" i="2"/>
  <c r="Y50" i="2"/>
  <c r="V50" i="2"/>
  <c r="S50" i="2"/>
  <c r="P50" i="2"/>
  <c r="M50" i="2"/>
  <c r="J50" i="2"/>
  <c r="G50" i="2" s="1"/>
  <c r="F50" i="2"/>
  <c r="E50" i="2"/>
  <c r="AD49" i="2"/>
  <c r="AC49" i="2"/>
  <c r="AE49" i="2" s="1"/>
  <c r="AB49" i="2"/>
  <c r="AA49" i="2"/>
  <c r="Z49" i="2"/>
  <c r="Y49" i="2"/>
  <c r="X49" i="2"/>
  <c r="W49" i="2"/>
  <c r="U49" i="2"/>
  <c r="V49" i="2" s="1"/>
  <c r="T49" i="2"/>
  <c r="R49" i="2"/>
  <c r="Q49" i="2"/>
  <c r="S49" i="2" s="1"/>
  <c r="P49" i="2"/>
  <c r="O49" i="2"/>
  <c r="N49" i="2"/>
  <c r="M49" i="2"/>
  <c r="L49" i="2"/>
  <c r="K49" i="2"/>
  <c r="I49" i="2"/>
  <c r="J49" i="2" s="1"/>
  <c r="H49" i="2"/>
  <c r="E49" i="2"/>
  <c r="AD48" i="2"/>
  <c r="AB48" i="2"/>
  <c r="AA48" i="2"/>
  <c r="Z48" i="2"/>
  <c r="X48" i="2"/>
  <c r="Y48" i="2" s="1"/>
  <c r="W48" i="2"/>
  <c r="T48" i="2"/>
  <c r="R48" i="2"/>
  <c r="P48" i="2"/>
  <c r="O48" i="2"/>
  <c r="N48" i="2"/>
  <c r="L48" i="2"/>
  <c r="M48" i="2" s="1"/>
  <c r="K48" i="2"/>
  <c r="H48" i="2"/>
  <c r="AE47" i="2"/>
  <c r="AB47" i="2"/>
  <c r="Y47" i="2"/>
  <c r="V47" i="2"/>
  <c r="S47" i="2"/>
  <c r="P47" i="2"/>
  <c r="M47" i="2"/>
  <c r="I47" i="2"/>
  <c r="J47" i="2" s="1"/>
  <c r="G47" i="2" s="1"/>
  <c r="H47" i="2"/>
  <c r="E47" i="2"/>
  <c r="AE46" i="2"/>
  <c r="AB46" i="2"/>
  <c r="Y46" i="2"/>
  <c r="V46" i="2"/>
  <c r="S46" i="2"/>
  <c r="P46" i="2"/>
  <c r="M46" i="2"/>
  <c r="J46" i="2"/>
  <c r="G46" i="2" s="1"/>
  <c r="I46" i="2"/>
  <c r="H46" i="2"/>
  <c r="F46" i="2"/>
  <c r="E46" i="2"/>
  <c r="AE45" i="2"/>
  <c r="AB45" i="2"/>
  <c r="Y45" i="2"/>
  <c r="V45" i="2"/>
  <c r="S45" i="2"/>
  <c r="O45" i="2"/>
  <c r="F45" i="2" s="1"/>
  <c r="M45" i="2"/>
  <c r="I45" i="2"/>
  <c r="H45" i="2"/>
  <c r="J45" i="2" s="1"/>
  <c r="AE44" i="2"/>
  <c r="AB44" i="2"/>
  <c r="Y44" i="2"/>
  <c r="V44" i="2"/>
  <c r="S44" i="2"/>
  <c r="P44" i="2"/>
  <c r="O44" i="2"/>
  <c r="F44" i="2" s="1"/>
  <c r="N44" i="2"/>
  <c r="M44" i="2"/>
  <c r="J44" i="2"/>
  <c r="G44" i="2" s="1"/>
  <c r="E44" i="2"/>
  <c r="AE43" i="2"/>
  <c r="AB43" i="2"/>
  <c r="Y43" i="2"/>
  <c r="V43" i="2"/>
  <c r="U43" i="2"/>
  <c r="F43" i="2" s="1"/>
  <c r="S43" i="2"/>
  <c r="P43" i="2"/>
  <c r="M43" i="2"/>
  <c r="J43" i="2"/>
  <c r="G43" i="2" s="1"/>
  <c r="E43" i="2"/>
  <c r="AE42" i="2"/>
  <c r="AB42" i="2"/>
  <c r="X42" i="2"/>
  <c r="Y42" i="2" s="1"/>
  <c r="V42" i="2"/>
  <c r="S42" i="2"/>
  <c r="O42" i="2"/>
  <c r="P42" i="2" s="1"/>
  <c r="M42" i="2"/>
  <c r="J42" i="2"/>
  <c r="F42" i="2"/>
  <c r="E42" i="2"/>
  <c r="AE41" i="2"/>
  <c r="AB41" i="2"/>
  <c r="Y41" i="2"/>
  <c r="V41" i="2"/>
  <c r="S41" i="2"/>
  <c r="O41" i="2"/>
  <c r="P41" i="2" s="1"/>
  <c r="N41" i="2"/>
  <c r="M41" i="2"/>
  <c r="I41" i="2"/>
  <c r="I37" i="2" s="1"/>
  <c r="H41" i="2"/>
  <c r="E41" i="2"/>
  <c r="AE40" i="2"/>
  <c r="AB40" i="2"/>
  <c r="Y40" i="2"/>
  <c r="V40" i="2"/>
  <c r="S40" i="2"/>
  <c r="O40" i="2"/>
  <c r="N40" i="2"/>
  <c r="P40" i="2" s="1"/>
  <c r="M40" i="2"/>
  <c r="J40" i="2"/>
  <c r="G40" i="2" s="1"/>
  <c r="F40" i="2"/>
  <c r="AE39" i="2"/>
  <c r="AB39" i="2"/>
  <c r="Y39" i="2"/>
  <c r="V39" i="2"/>
  <c r="S39" i="2"/>
  <c r="P39" i="2"/>
  <c r="M39" i="2"/>
  <c r="J39" i="2"/>
  <c r="G39" i="2" s="1"/>
  <c r="F39" i="2"/>
  <c r="E39" i="2"/>
  <c r="AE38" i="2"/>
  <c r="AB38" i="2"/>
  <c r="Y38" i="2"/>
  <c r="V38" i="2"/>
  <c r="S38" i="2"/>
  <c r="P38" i="2"/>
  <c r="M38" i="2"/>
  <c r="J38" i="2"/>
  <c r="G38" i="2" s="1"/>
  <c r="F38" i="2"/>
  <c r="E38" i="2"/>
  <c r="AE37" i="2"/>
  <c r="AD37" i="2"/>
  <c r="AC37" i="2"/>
  <c r="AA37" i="2"/>
  <c r="AB37" i="2" s="1"/>
  <c r="Z37" i="2"/>
  <c r="W37" i="2"/>
  <c r="W36" i="2" s="1"/>
  <c r="U37" i="2"/>
  <c r="V37" i="2" s="1"/>
  <c r="T37" i="2"/>
  <c r="S37" i="2"/>
  <c r="R37" i="2"/>
  <c r="Q37" i="2"/>
  <c r="O37" i="2"/>
  <c r="L37" i="2"/>
  <c r="M37" i="2" s="1"/>
  <c r="K37" i="2"/>
  <c r="K36" i="2" s="1"/>
  <c r="M36" i="2" s="1"/>
  <c r="AD36" i="2"/>
  <c r="AE36" i="2" s="1"/>
  <c r="AC36" i="2"/>
  <c r="Z36" i="2"/>
  <c r="V36" i="2"/>
  <c r="U36" i="2"/>
  <c r="T36" i="2"/>
  <c r="R36" i="2"/>
  <c r="S36" i="2" s="1"/>
  <c r="Q36" i="2"/>
  <c r="L36" i="2"/>
  <c r="AD35" i="2"/>
  <c r="AE35" i="2" s="1"/>
  <c r="G35" i="2" s="1"/>
  <c r="AC35" i="2"/>
  <c r="E35" i="2" s="1"/>
  <c r="AB35" i="2"/>
  <c r="Y35" i="2"/>
  <c r="V35" i="2"/>
  <c r="S35" i="2"/>
  <c r="P35" i="2"/>
  <c r="M35" i="2"/>
  <c r="J35" i="2"/>
  <c r="F35" i="2"/>
  <c r="AE34" i="2"/>
  <c r="AB34" i="2"/>
  <c r="Y34" i="2"/>
  <c r="V34" i="2"/>
  <c r="S34" i="2"/>
  <c r="P34" i="2"/>
  <c r="O34" i="2"/>
  <c r="M34" i="2"/>
  <c r="J34" i="2"/>
  <c r="G34" i="2"/>
  <c r="F34" i="2"/>
  <c r="E34" i="2"/>
  <c r="AE33" i="2"/>
  <c r="AB33" i="2"/>
  <c r="Y33" i="2"/>
  <c r="X33" i="2"/>
  <c r="W33" i="2"/>
  <c r="V33" i="2"/>
  <c r="S33" i="2"/>
  <c r="P33" i="2"/>
  <c r="M33" i="2"/>
  <c r="J33" i="2"/>
  <c r="G33" i="2" s="1"/>
  <c r="F33" i="2"/>
  <c r="E33" i="2"/>
  <c r="AE32" i="2"/>
  <c r="AB32" i="2"/>
  <c r="Y32" i="2"/>
  <c r="V32" i="2"/>
  <c r="S32" i="2"/>
  <c r="P32" i="2"/>
  <c r="M32" i="2"/>
  <c r="I32" i="2"/>
  <c r="J32" i="2" s="1"/>
  <c r="G32" i="2" s="1"/>
  <c r="H32" i="2"/>
  <c r="E32" i="2"/>
  <c r="AE31" i="2"/>
  <c r="AB31" i="2"/>
  <c r="X31" i="2"/>
  <c r="F31" i="2" s="1"/>
  <c r="W31" i="2"/>
  <c r="V31" i="2"/>
  <c r="S31" i="2"/>
  <c r="P31" i="2"/>
  <c r="M31" i="2"/>
  <c r="J31" i="2"/>
  <c r="E31" i="2"/>
  <c r="AE30" i="2"/>
  <c r="AB30" i="2"/>
  <c r="Y30" i="2"/>
  <c r="V30" i="2"/>
  <c r="S30" i="2"/>
  <c r="P30" i="2"/>
  <c r="M30" i="2"/>
  <c r="J30" i="2"/>
  <c r="G30" i="2" s="1"/>
  <c r="F30" i="2"/>
  <c r="E30" i="2"/>
  <c r="AE29" i="2"/>
  <c r="AB29" i="2"/>
  <c r="Y29" i="2"/>
  <c r="V29" i="2"/>
  <c r="S29" i="2"/>
  <c r="P29" i="2"/>
  <c r="M29" i="2"/>
  <c r="J29" i="2"/>
  <c r="G29" i="2" s="1"/>
  <c r="F29" i="2"/>
  <c r="E29" i="2"/>
  <c r="AE28" i="2"/>
  <c r="AB28" i="2"/>
  <c r="Y28" i="2"/>
  <c r="V28" i="2"/>
  <c r="S28" i="2"/>
  <c r="P28" i="2"/>
  <c r="M28" i="2"/>
  <c r="J28" i="2"/>
  <c r="G28" i="2"/>
  <c r="F28" i="2"/>
  <c r="E28" i="2"/>
  <c r="AE27" i="2"/>
  <c r="AB27" i="2"/>
  <c r="Y27" i="2"/>
  <c r="V27" i="2"/>
  <c r="S27" i="2"/>
  <c r="P27" i="2"/>
  <c r="M27" i="2"/>
  <c r="J27" i="2"/>
  <c r="F27" i="2"/>
  <c r="E27" i="2"/>
  <c r="AE26" i="2"/>
  <c r="AB26" i="2"/>
  <c r="Y26" i="2"/>
  <c r="V26" i="2"/>
  <c r="S26" i="2"/>
  <c r="O26" i="2"/>
  <c r="N26" i="2"/>
  <c r="E26" i="2" s="1"/>
  <c r="M26" i="2"/>
  <c r="J26" i="2"/>
  <c r="AE25" i="2"/>
  <c r="AB25" i="2"/>
  <c r="Y25" i="2"/>
  <c r="V25" i="2"/>
  <c r="S25" i="2"/>
  <c r="P25" i="2"/>
  <c r="M25" i="2"/>
  <c r="J25" i="2"/>
  <c r="F25" i="2"/>
  <c r="E25" i="2"/>
  <c r="AE24" i="2"/>
  <c r="AB24" i="2"/>
  <c r="Y24" i="2"/>
  <c r="V24" i="2"/>
  <c r="S24" i="2"/>
  <c r="O24" i="2"/>
  <c r="M24" i="2"/>
  <c r="J24" i="2"/>
  <c r="F24" i="2"/>
  <c r="E24" i="2"/>
  <c r="AE23" i="2"/>
  <c r="AB23" i="2"/>
  <c r="Y23" i="2"/>
  <c r="V23" i="2"/>
  <c r="S23" i="2"/>
  <c r="P23" i="2"/>
  <c r="M23" i="2"/>
  <c r="J23" i="2"/>
  <c r="F23" i="2"/>
  <c r="E23" i="2"/>
  <c r="AE22" i="2"/>
  <c r="AB22" i="2"/>
  <c r="Y22" i="2"/>
  <c r="V22" i="2"/>
  <c r="S22" i="2"/>
  <c r="O22" i="2"/>
  <c r="P22" i="2" s="1"/>
  <c r="M22" i="2"/>
  <c r="J22" i="2"/>
  <c r="I22" i="2"/>
  <c r="H22" i="2"/>
  <c r="G22" i="2"/>
  <c r="F22" i="2"/>
  <c r="E22" i="2"/>
  <c r="AD21" i="2"/>
  <c r="AA21" i="2"/>
  <c r="Z21" i="2"/>
  <c r="W21" i="2"/>
  <c r="V21" i="2"/>
  <c r="U21" i="2"/>
  <c r="T21" i="2"/>
  <c r="R21" i="2"/>
  <c r="Q21" i="2"/>
  <c r="N21" i="2"/>
  <c r="M21" i="2"/>
  <c r="L21" i="2"/>
  <c r="K21" i="2"/>
  <c r="H21" i="2"/>
  <c r="AA20" i="2"/>
  <c r="W20" i="2"/>
  <c r="U20" i="2"/>
  <c r="V20" i="2" s="1"/>
  <c r="T20" i="2"/>
  <c r="Q20" i="2"/>
  <c r="M20" i="2"/>
  <c r="L20" i="2"/>
  <c r="K20" i="2"/>
  <c r="H20" i="2"/>
  <c r="AE19" i="2"/>
  <c r="AB19" i="2"/>
  <c r="Y19" i="2"/>
  <c r="V19" i="2"/>
  <c r="S19" i="2"/>
  <c r="P19" i="2"/>
  <c r="O19" i="2"/>
  <c r="M19" i="2"/>
  <c r="J19" i="2"/>
  <c r="G19" i="2" s="1"/>
  <c r="F19" i="2"/>
  <c r="E19" i="2"/>
  <c r="AE18" i="2"/>
  <c r="AB18" i="2"/>
  <c r="Y18" i="2"/>
  <c r="V18" i="2"/>
  <c r="S18" i="2"/>
  <c r="P18" i="2"/>
  <c r="L18" i="2"/>
  <c r="M18" i="2" s="1"/>
  <c r="K18" i="2"/>
  <c r="J18" i="2"/>
  <c r="F18" i="2"/>
  <c r="E18" i="2"/>
  <c r="AE17" i="2"/>
  <c r="AB17" i="2"/>
  <c r="Y17" i="2"/>
  <c r="V17" i="2"/>
  <c r="S17" i="2"/>
  <c r="P17" i="2"/>
  <c r="M17" i="2"/>
  <c r="J17" i="2"/>
  <c r="F17" i="2"/>
  <c r="E17" i="2"/>
  <c r="AE16" i="2"/>
  <c r="AB16" i="2"/>
  <c r="Y16" i="2"/>
  <c r="V16" i="2"/>
  <c r="S16" i="2"/>
  <c r="P16" i="2"/>
  <c r="M16" i="2"/>
  <c r="J16" i="2"/>
  <c r="G16" i="2" s="1"/>
  <c r="F16" i="2"/>
  <c r="E16" i="2"/>
  <c r="AE15" i="2"/>
  <c r="AB15" i="2"/>
  <c r="Y15" i="2"/>
  <c r="V15" i="2"/>
  <c r="S15" i="2"/>
  <c r="P15" i="2"/>
  <c r="M15" i="2"/>
  <c r="J15" i="2"/>
  <c r="G15" i="2"/>
  <c r="F15" i="2"/>
  <c r="E15" i="2"/>
  <c r="AE14" i="2"/>
  <c r="AB14" i="2"/>
  <c r="Y14" i="2"/>
  <c r="V14" i="2"/>
  <c r="S14" i="2"/>
  <c r="P14" i="2"/>
  <c r="M14" i="2"/>
  <c r="J14" i="2"/>
  <c r="F14" i="2"/>
  <c r="E14" i="2"/>
  <c r="AE13" i="2"/>
  <c r="AB13" i="2"/>
  <c r="Y13" i="2"/>
  <c r="V13" i="2"/>
  <c r="S13" i="2"/>
  <c r="P13" i="2"/>
  <c r="M13" i="2"/>
  <c r="J13" i="2"/>
  <c r="G13" i="2" s="1"/>
  <c r="F13" i="2"/>
  <c r="E13" i="2"/>
  <c r="AE12" i="2"/>
  <c r="AB12" i="2"/>
  <c r="Y12" i="2"/>
  <c r="V12" i="2"/>
  <c r="S12" i="2"/>
  <c r="P12" i="2"/>
  <c r="O12" i="2"/>
  <c r="M12" i="2"/>
  <c r="J12" i="2"/>
  <c r="F12" i="2"/>
  <c r="E12" i="2"/>
  <c r="AE11" i="2"/>
  <c r="AD11" i="2"/>
  <c r="AC11" i="2"/>
  <c r="AB11" i="2"/>
  <c r="AA11" i="2"/>
  <c r="Z11" i="2"/>
  <c r="X11" i="2"/>
  <c r="W11" i="2"/>
  <c r="U11" i="2"/>
  <c r="V11" i="2" s="1"/>
  <c r="T11" i="2"/>
  <c r="T10" i="2" s="1"/>
  <c r="S11" i="2"/>
  <c r="R11" i="2"/>
  <c r="Q11" i="2"/>
  <c r="P11" i="2"/>
  <c r="O11" i="2"/>
  <c r="N11" i="2"/>
  <c r="L11" i="2"/>
  <c r="K11" i="2"/>
  <c r="I11" i="2"/>
  <c r="H11" i="2"/>
  <c r="AE10" i="2"/>
  <c r="AD10" i="2"/>
  <c r="AC10" i="2"/>
  <c r="AA10" i="2"/>
  <c r="Z10" i="2"/>
  <c r="W10" i="2"/>
  <c r="W9" i="2" s="1"/>
  <c r="U10" i="2"/>
  <c r="S10" i="2"/>
  <c r="R10" i="2"/>
  <c r="Q10" i="2"/>
  <c r="O10" i="2"/>
  <c r="N10" i="2"/>
  <c r="K10" i="2"/>
  <c r="I10" i="2"/>
  <c r="F422" i="1"/>
  <c r="E422" i="1"/>
  <c r="F420" i="1"/>
  <c r="F423" i="1" s="1"/>
  <c r="E420" i="1"/>
  <c r="E423" i="1" s="1"/>
  <c r="G398" i="1"/>
  <c r="F390" i="1"/>
  <c r="F385" i="1"/>
  <c r="G380" i="1" s="1"/>
  <c r="F381" i="1"/>
  <c r="F373" i="1"/>
  <c r="F363" i="1"/>
  <c r="G358" i="1" s="1"/>
  <c r="F360" i="1"/>
  <c r="F348" i="1"/>
  <c r="F338" i="1"/>
  <c r="G335" i="1" s="1"/>
  <c r="F330" i="1"/>
  <c r="G327" i="1" s="1"/>
  <c r="G323" i="1"/>
  <c r="G318" i="1"/>
  <c r="F312" i="1"/>
  <c r="G309" i="1" s="1"/>
  <c r="F301" i="1"/>
  <c r="G300" i="1" s="1"/>
  <c r="F288" i="1"/>
  <c r="G287" i="1"/>
  <c r="F283" i="1"/>
  <c r="G281" i="1"/>
  <c r="G278" i="1"/>
  <c r="G274" i="1"/>
  <c r="F268" i="1"/>
  <c r="F264" i="1"/>
  <c r="G263" i="1" s="1"/>
  <c r="F255" i="1"/>
  <c r="G254" i="1" s="1"/>
  <c r="G294" i="1" s="1"/>
  <c r="F247" i="1"/>
  <c r="F244" i="1"/>
  <c r="G243" i="1" s="1"/>
  <c r="F239" i="1"/>
  <c r="G237" i="1" s="1"/>
  <c r="G231" i="1"/>
  <c r="F227" i="1"/>
  <c r="F217" i="1"/>
  <c r="G216" i="1" s="1"/>
  <c r="F209" i="1"/>
  <c r="G208" i="1" s="1"/>
  <c r="F198" i="1"/>
  <c r="G197" i="1"/>
  <c r="F197" i="1"/>
  <c r="F196" i="1"/>
  <c r="F195" i="1"/>
  <c r="F194" i="1"/>
  <c r="G193" i="1"/>
  <c r="G199" i="1" s="1"/>
  <c r="F199" i="1" s="1"/>
  <c r="F192" i="1"/>
  <c r="G191" i="1"/>
  <c r="F191" i="1"/>
  <c r="F190" i="1"/>
  <c r="F189" i="1"/>
  <c r="F188" i="1"/>
  <c r="F187" i="1"/>
  <c r="G186" i="1"/>
  <c r="F186" i="1"/>
  <c r="F185" i="1"/>
  <c r="G184" i="1"/>
  <c r="F184" i="1" s="1"/>
  <c r="G181" i="1"/>
  <c r="F181" i="1" s="1"/>
  <c r="F180" i="1"/>
  <c r="G179" i="1"/>
  <c r="F179" i="1"/>
  <c r="F177" i="1"/>
  <c r="F176" i="1"/>
  <c r="G175" i="1"/>
  <c r="F175" i="1"/>
  <c r="F171" i="1"/>
  <c r="F170" i="1"/>
  <c r="G169" i="1"/>
  <c r="F169" i="1"/>
  <c r="G168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G151" i="1"/>
  <c r="F151" i="1"/>
  <c r="F150" i="1"/>
  <c r="F149" i="1"/>
  <c r="G148" i="1"/>
  <c r="F148" i="1"/>
  <c r="F147" i="1"/>
  <c r="G146" i="1"/>
  <c r="G145" i="1" s="1"/>
  <c r="G143" i="1"/>
  <c r="F143" i="1" s="1"/>
  <c r="F142" i="1"/>
  <c r="G141" i="1"/>
  <c r="F141" i="1"/>
  <c r="F136" i="1"/>
  <c r="F135" i="1"/>
  <c r="F134" i="1"/>
  <c r="G133" i="1"/>
  <c r="F133" i="1" s="1"/>
  <c r="F132" i="1"/>
  <c r="F131" i="1"/>
  <c r="G130" i="1"/>
  <c r="F130" i="1" s="1"/>
  <c r="F129" i="1"/>
  <c r="F128" i="1"/>
  <c r="G127" i="1"/>
  <c r="G126" i="1" s="1"/>
  <c r="F126" i="1" s="1"/>
  <c r="F125" i="1"/>
  <c r="F124" i="1"/>
  <c r="G123" i="1"/>
  <c r="F123" i="1" s="1"/>
  <c r="F122" i="1"/>
  <c r="F121" i="1"/>
  <c r="G120" i="1"/>
  <c r="F120" i="1" s="1"/>
  <c r="F118" i="1"/>
  <c r="G117" i="1"/>
  <c r="F117" i="1"/>
  <c r="F115" i="1"/>
  <c r="F114" i="1"/>
  <c r="G113" i="1"/>
  <c r="F113" i="1"/>
  <c r="F112" i="1"/>
  <c r="F111" i="1"/>
  <c r="F110" i="1"/>
  <c r="F109" i="1"/>
  <c r="F108" i="1"/>
  <c r="F107" i="1"/>
  <c r="F106" i="1"/>
  <c r="F105" i="1"/>
  <c r="F104" i="1"/>
  <c r="F103" i="1"/>
  <c r="G102" i="1"/>
  <c r="F102" i="1"/>
  <c r="F101" i="1"/>
  <c r="F100" i="1"/>
  <c r="F99" i="1"/>
  <c r="G98" i="1"/>
  <c r="F98" i="1" s="1"/>
  <c r="F97" i="1"/>
  <c r="F96" i="1"/>
  <c r="F95" i="1"/>
  <c r="F94" i="1"/>
  <c r="F93" i="1"/>
  <c r="F92" i="1"/>
  <c r="G91" i="1"/>
  <c r="G90" i="1" s="1"/>
  <c r="G86" i="1"/>
  <c r="F85" i="1"/>
  <c r="F84" i="1"/>
  <c r="F83" i="1"/>
  <c r="F82" i="1"/>
  <c r="G81" i="1"/>
  <c r="F81" i="1" s="1"/>
  <c r="F80" i="1"/>
  <c r="G79" i="1"/>
  <c r="F79" i="1"/>
  <c r="F71" i="1"/>
  <c r="G70" i="1"/>
  <c r="G69" i="1" s="1"/>
  <c r="F69" i="1" s="1"/>
  <c r="F68" i="1"/>
  <c r="F67" i="1"/>
  <c r="F66" i="1"/>
  <c r="F65" i="1"/>
  <c r="F64" i="1"/>
  <c r="F63" i="1"/>
  <c r="F62" i="1"/>
  <c r="G61" i="1"/>
  <c r="F61" i="1"/>
  <c r="F59" i="1"/>
  <c r="G58" i="1"/>
  <c r="F58" i="1" s="1"/>
  <c r="F57" i="1"/>
  <c r="F56" i="1"/>
  <c r="F55" i="1"/>
  <c r="G54" i="1"/>
  <c r="F54" i="1"/>
  <c r="F47" i="1"/>
  <c r="G46" i="1"/>
  <c r="F46" i="1" s="1"/>
  <c r="F44" i="1"/>
  <c r="G43" i="1"/>
  <c r="G42" i="1" s="1"/>
  <c r="F42" i="1" s="1"/>
  <c r="F43" i="1"/>
  <c r="F41" i="1"/>
  <c r="G39" i="1"/>
  <c r="F39" i="1" s="1"/>
  <c r="G38" i="1"/>
  <c r="F38" i="1" s="1"/>
  <c r="F37" i="1"/>
  <c r="G36" i="1"/>
  <c r="F36" i="1"/>
  <c r="G35" i="1"/>
  <c r="F35" i="1"/>
  <c r="F34" i="1"/>
  <c r="G33" i="1"/>
  <c r="F33" i="1" s="1"/>
  <c r="F32" i="1"/>
  <c r="G31" i="1"/>
  <c r="F31" i="1"/>
  <c r="F30" i="1"/>
  <c r="G29" i="1"/>
  <c r="F29" i="1" s="1"/>
  <c r="G28" i="1"/>
  <c r="G48" i="1" l="1"/>
  <c r="F48" i="1" s="1"/>
  <c r="F145" i="1"/>
  <c r="G172" i="1"/>
  <c r="F172" i="1" s="1"/>
  <c r="G250" i="1"/>
  <c r="G401" i="1"/>
  <c r="G404" i="1" s="1"/>
  <c r="G406" i="1" s="1"/>
  <c r="G50" i="1"/>
  <c r="F90" i="1"/>
  <c r="G45" i="1"/>
  <c r="F45" i="1" s="1"/>
  <c r="F28" i="1"/>
  <c r="G53" i="1"/>
  <c r="F70" i="1"/>
  <c r="F86" i="1"/>
  <c r="F91" i="1"/>
  <c r="F127" i="1"/>
  <c r="F146" i="1"/>
  <c r="AB10" i="2"/>
  <c r="J11" i="2"/>
  <c r="E11" i="2"/>
  <c r="H10" i="2"/>
  <c r="G18" i="2"/>
  <c r="AD20" i="2"/>
  <c r="G23" i="2"/>
  <c r="P24" i="2"/>
  <c r="O21" i="2"/>
  <c r="G25" i="2"/>
  <c r="P26" i="2"/>
  <c r="G26" i="2" s="1"/>
  <c r="F26" i="2"/>
  <c r="G27" i="2"/>
  <c r="G42" i="2"/>
  <c r="G49" i="2"/>
  <c r="E54" i="2"/>
  <c r="G58" i="2"/>
  <c r="G62" i="2"/>
  <c r="G71" i="2"/>
  <c r="G81" i="2"/>
  <c r="G101" i="2"/>
  <c r="G103" i="2"/>
  <c r="P10" i="2"/>
  <c r="Y11" i="2"/>
  <c r="X10" i="2"/>
  <c r="S21" i="2"/>
  <c r="R20" i="2"/>
  <c r="F37" i="2"/>
  <c r="I36" i="2"/>
  <c r="G116" i="1"/>
  <c r="F116" i="1" s="1"/>
  <c r="F193" i="1"/>
  <c r="T9" i="2"/>
  <c r="V10" i="2"/>
  <c r="G12" i="2"/>
  <c r="G17" i="2"/>
  <c r="AB21" i="2"/>
  <c r="Z20" i="2"/>
  <c r="G24" i="2"/>
  <c r="G76" i="2"/>
  <c r="G93" i="2"/>
  <c r="G115" i="2"/>
  <c r="G121" i="2"/>
  <c r="F11" i="2"/>
  <c r="M11" i="2"/>
  <c r="L10" i="2"/>
  <c r="G14" i="2"/>
  <c r="N20" i="2"/>
  <c r="X21" i="2"/>
  <c r="Y31" i="2"/>
  <c r="G31" i="2" s="1"/>
  <c r="G61" i="2"/>
  <c r="AB66" i="2"/>
  <c r="G67" i="2"/>
  <c r="J66" i="2"/>
  <c r="I65" i="2"/>
  <c r="V66" i="2"/>
  <c r="U65" i="2"/>
  <c r="V65" i="2" s="1"/>
  <c r="G83" i="2"/>
  <c r="O66" i="2"/>
  <c r="P80" i="2"/>
  <c r="G90" i="2"/>
  <c r="G92" i="2"/>
  <c r="G96" i="2"/>
  <c r="G108" i="2"/>
  <c r="I21" i="2"/>
  <c r="AC21" i="2"/>
  <c r="AC20" i="2" s="1"/>
  <c r="N37" i="2"/>
  <c r="N36" i="2" s="1"/>
  <c r="E40" i="2"/>
  <c r="O54" i="2"/>
  <c r="E62" i="2"/>
  <c r="N66" i="2"/>
  <c r="N65" i="2" s="1"/>
  <c r="Z66" i="2"/>
  <c r="Z65" i="2" s="1"/>
  <c r="F73" i="2"/>
  <c r="E76" i="2"/>
  <c r="L80" i="2"/>
  <c r="F80" i="2" s="1"/>
  <c r="E81" i="2"/>
  <c r="E92" i="2"/>
  <c r="F99" i="2"/>
  <c r="E102" i="2"/>
  <c r="P103" i="2"/>
  <c r="P106" i="2"/>
  <c r="G106" i="2" s="1"/>
  <c r="G128" i="2"/>
  <c r="G154" i="2"/>
  <c r="R150" i="2"/>
  <c r="F168" i="2"/>
  <c r="S168" i="2"/>
  <c r="G168" i="2" s="1"/>
  <c r="P172" i="2"/>
  <c r="O171" i="2"/>
  <c r="P171" i="2" s="1"/>
  <c r="P150" i="2"/>
  <c r="O149" i="2"/>
  <c r="V150" i="2"/>
  <c r="U149" i="2"/>
  <c r="E161" i="2"/>
  <c r="N150" i="2"/>
  <c r="N149" i="2" s="1"/>
  <c r="P161" i="2"/>
  <c r="G161" i="2" s="1"/>
  <c r="P211" i="2"/>
  <c r="O210" i="2"/>
  <c r="F32" i="2"/>
  <c r="O36" i="2"/>
  <c r="AA36" i="2"/>
  <c r="AB36" i="2" s="1"/>
  <c r="H37" i="2"/>
  <c r="J37" i="2" s="1"/>
  <c r="X37" i="2"/>
  <c r="F41" i="2"/>
  <c r="J41" i="2"/>
  <c r="G41" i="2" s="1"/>
  <c r="E45" i="2"/>
  <c r="P45" i="2"/>
  <c r="G45" i="2" s="1"/>
  <c r="F47" i="2"/>
  <c r="I48" i="2"/>
  <c r="Q48" i="2"/>
  <c r="S48" i="2" s="1"/>
  <c r="U48" i="2"/>
  <c r="V48" i="2" s="1"/>
  <c r="AC48" i="2"/>
  <c r="AE48" i="2" s="1"/>
  <c r="F49" i="2"/>
  <c r="H53" i="2"/>
  <c r="J53" i="2" s="1"/>
  <c r="L53" i="2"/>
  <c r="X53" i="2"/>
  <c r="Y53" i="2" s="1"/>
  <c r="M54" i="2"/>
  <c r="K65" i="2"/>
  <c r="K9" i="2" s="1"/>
  <c r="K8" i="2" s="1"/>
  <c r="AA65" i="2"/>
  <c r="AB65" i="2" s="1"/>
  <c r="X66" i="2"/>
  <c r="F69" i="2"/>
  <c r="J69" i="2"/>
  <c r="G69" i="2" s="1"/>
  <c r="V80" i="2"/>
  <c r="E83" i="2"/>
  <c r="P85" i="2"/>
  <c r="G85" i="2" s="1"/>
  <c r="P90" i="2"/>
  <c r="F93" i="2"/>
  <c r="F98" i="2"/>
  <c r="F115" i="2"/>
  <c r="F117" i="2"/>
  <c r="P118" i="2"/>
  <c r="G118" i="2" s="1"/>
  <c r="G129" i="2"/>
  <c r="G143" i="2"/>
  <c r="G146" i="2"/>
  <c r="P146" i="2"/>
  <c r="J150" i="2"/>
  <c r="I149" i="2"/>
  <c r="AB150" i="2"/>
  <c r="AA149" i="2"/>
  <c r="AB149" i="2" s="1"/>
  <c r="M154" i="2"/>
  <c r="L150" i="2"/>
  <c r="G158" i="2"/>
  <c r="J162" i="2"/>
  <c r="G162" i="2" s="1"/>
  <c r="F162" i="2"/>
  <c r="G172" i="2"/>
  <c r="M179" i="2"/>
  <c r="N54" i="2"/>
  <c r="N53" i="2" s="1"/>
  <c r="Q66" i="2"/>
  <c r="AC66" i="2"/>
  <c r="G132" i="2"/>
  <c r="J151" i="2"/>
  <c r="G151" i="2" s="1"/>
  <c r="E151" i="2"/>
  <c r="H150" i="2"/>
  <c r="G152" i="2"/>
  <c r="S171" i="2"/>
  <c r="I171" i="2"/>
  <c r="Q171" i="2"/>
  <c r="U171" i="2"/>
  <c r="V171" i="2" s="1"/>
  <c r="AC171" i="2"/>
  <c r="AE171" i="2" s="1"/>
  <c r="F172" i="2"/>
  <c r="P174" i="2"/>
  <c r="G174" i="2" s="1"/>
  <c r="R179" i="2"/>
  <c r="Z179" i="2"/>
  <c r="W179" i="2"/>
  <c r="AB180" i="2"/>
  <c r="AA179" i="2"/>
  <c r="G184" i="2"/>
  <c r="G186" i="2"/>
  <c r="J187" i="2"/>
  <c r="E187" i="2"/>
  <c r="F189" i="2"/>
  <c r="M193" i="2"/>
  <c r="G193" i="2" s="1"/>
  <c r="E193" i="2"/>
  <c r="J195" i="2"/>
  <c r="G195" i="2" s="1"/>
  <c r="F195" i="2"/>
  <c r="AE199" i="2"/>
  <c r="AC198" i="2"/>
  <c r="E204" i="2"/>
  <c r="AD198" i="2"/>
  <c r="AE204" i="2"/>
  <c r="R210" i="2"/>
  <c r="S210" i="2" s="1"/>
  <c r="L210" i="2"/>
  <c r="M239" i="2"/>
  <c r="G247" i="2"/>
  <c r="G259" i="2"/>
  <c r="G261" i="2"/>
  <c r="P275" i="2"/>
  <c r="N274" i="2"/>
  <c r="AB275" i="2"/>
  <c r="Z274" i="2"/>
  <c r="G277" i="2"/>
  <c r="V277" i="2"/>
  <c r="T275" i="2"/>
  <c r="E277" i="2"/>
  <c r="O274" i="2"/>
  <c r="P274" i="2" s="1"/>
  <c r="P280" i="2"/>
  <c r="AA274" i="2"/>
  <c r="AB274" i="2" s="1"/>
  <c r="AB280" i="2"/>
  <c r="E288" i="2"/>
  <c r="AB294" i="2"/>
  <c r="AA293" i="2"/>
  <c r="AB293" i="2" s="1"/>
  <c r="F302" i="2"/>
  <c r="AE311" i="2"/>
  <c r="AD293" i="2"/>
  <c r="AE293" i="2" s="1"/>
  <c r="E319" i="2"/>
  <c r="S319" i="2"/>
  <c r="G319" i="2" s="1"/>
  <c r="Q316" i="2"/>
  <c r="E316" i="2" s="1"/>
  <c r="L322" i="2"/>
  <c r="M322" i="2" s="1"/>
  <c r="M323" i="2"/>
  <c r="F326" i="2"/>
  <c r="J326" i="2"/>
  <c r="J335" i="2"/>
  <c r="M180" i="2"/>
  <c r="S180" i="2"/>
  <c r="AC179" i="2"/>
  <c r="AE179" i="2" s="1"/>
  <c r="G181" i="2"/>
  <c r="E189" i="2"/>
  <c r="AB204" i="2"/>
  <c r="Z198" i="2"/>
  <c r="G207" i="2"/>
  <c r="G212" i="2"/>
  <c r="E222" i="2"/>
  <c r="P222" i="2"/>
  <c r="G230" i="2"/>
  <c r="J239" i="2"/>
  <c r="H210" i="2"/>
  <c r="E239" i="2"/>
  <c r="G251" i="2"/>
  <c r="M257" i="2"/>
  <c r="G269" i="2"/>
  <c r="G273" i="2"/>
  <c r="V279" i="2"/>
  <c r="G279" i="2" s="1"/>
  <c r="E279" i="2"/>
  <c r="M280" i="2"/>
  <c r="G280" i="2" s="1"/>
  <c r="K274" i="2"/>
  <c r="Y280" i="2"/>
  <c r="W274" i="2"/>
  <c r="V281" i="2"/>
  <c r="G281" i="2" s="1"/>
  <c r="E281" i="2"/>
  <c r="T280" i="2"/>
  <c r="V280" i="2" s="1"/>
  <c r="G289" i="2"/>
  <c r="E293" i="2"/>
  <c r="F294" i="2"/>
  <c r="V311" i="2"/>
  <c r="G311" i="2" s="1"/>
  <c r="U293" i="2"/>
  <c r="V293" i="2" s="1"/>
  <c r="E326" i="2"/>
  <c r="J331" i="2"/>
  <c r="E331" i="2"/>
  <c r="P356" i="2"/>
  <c r="G356" i="2" s="1"/>
  <c r="F356" i="2"/>
  <c r="J361" i="2"/>
  <c r="E361" i="2"/>
  <c r="V361" i="2"/>
  <c r="T322" i="2"/>
  <c r="AE364" i="2"/>
  <c r="AD363" i="2"/>
  <c r="AE363" i="2" s="1"/>
  <c r="O410" i="2"/>
  <c r="P411" i="2"/>
  <c r="G411" i="2" s="1"/>
  <c r="F411" i="2"/>
  <c r="E413" i="2"/>
  <c r="H409" i="2"/>
  <c r="F153" i="2"/>
  <c r="AA171" i="2"/>
  <c r="AB171" i="2" s="1"/>
  <c r="J180" i="2"/>
  <c r="F180" i="2"/>
  <c r="I179" i="2"/>
  <c r="O179" i="2"/>
  <c r="Y180" i="2"/>
  <c r="E195" i="2"/>
  <c r="Y198" i="2"/>
  <c r="J199" i="2"/>
  <c r="I198" i="2"/>
  <c r="V199" i="2"/>
  <c r="U198" i="2"/>
  <c r="V198" i="2" s="1"/>
  <c r="F205" i="2"/>
  <c r="P205" i="2"/>
  <c r="G205" i="2" s="1"/>
  <c r="O204" i="2"/>
  <c r="G206" i="2"/>
  <c r="Z210" i="2"/>
  <c r="G231" i="2"/>
  <c r="U211" i="2"/>
  <c r="V232" i="2"/>
  <c r="G232" i="2" s="1"/>
  <c r="F232" i="2"/>
  <c r="AC235" i="2"/>
  <c r="AC210" i="2" s="1"/>
  <c r="AE210" i="2" s="1"/>
  <c r="AE236" i="2"/>
  <c r="G236" i="2" s="1"/>
  <c r="E236" i="2"/>
  <c r="G237" i="2"/>
  <c r="V240" i="2"/>
  <c r="G240" i="2" s="1"/>
  <c r="F240" i="2"/>
  <c r="U239" i="2"/>
  <c r="V239" i="2" s="1"/>
  <c r="E245" i="2"/>
  <c r="P245" i="2"/>
  <c r="G245" i="2" s="1"/>
  <c r="N239" i="2"/>
  <c r="E247" i="2"/>
  <c r="P247" i="2"/>
  <c r="G255" i="2"/>
  <c r="G258" i="2"/>
  <c r="G260" i="2"/>
  <c r="G262" i="2"/>
  <c r="Q274" i="2"/>
  <c r="M286" i="2"/>
  <c r="G286" i="2" s="1"/>
  <c r="E286" i="2"/>
  <c r="J288" i="2"/>
  <c r="G288" i="2" s="1"/>
  <c r="F288" i="2"/>
  <c r="G291" i="2"/>
  <c r="L293" i="2"/>
  <c r="M293" i="2" s="1"/>
  <c r="G302" i="2"/>
  <c r="F311" i="2"/>
  <c r="G317" i="2"/>
  <c r="X322" i="2"/>
  <c r="Y322" i="2" s="1"/>
  <c r="S323" i="2"/>
  <c r="Q322" i="2"/>
  <c r="P324" i="2"/>
  <c r="G324" i="2" s="1"/>
  <c r="N323" i="2"/>
  <c r="Y179" i="2"/>
  <c r="V180" i="2"/>
  <c r="U179" i="2"/>
  <c r="N180" i="2"/>
  <c r="P180" i="2" s="1"/>
  <c r="E181" i="2"/>
  <c r="F187" i="2"/>
  <c r="M187" i="2"/>
  <c r="S199" i="2"/>
  <c r="Q198" i="2"/>
  <c r="Q178" i="2" s="1"/>
  <c r="R198" i="2"/>
  <c r="S204" i="2"/>
  <c r="M211" i="2"/>
  <c r="E211" i="2"/>
  <c r="K210" i="2"/>
  <c r="K178" i="2" s="1"/>
  <c r="AB211" i="2"/>
  <c r="AA210" i="2"/>
  <c r="AB210" i="2" s="1"/>
  <c r="F213" i="2"/>
  <c r="P213" i="2"/>
  <c r="G213" i="2" s="1"/>
  <c r="G222" i="2"/>
  <c r="AE235" i="2"/>
  <c r="E275" i="2"/>
  <c r="S275" i="2"/>
  <c r="R274" i="2"/>
  <c r="S274" i="2" s="1"/>
  <c r="AE275" i="2"/>
  <c r="AD274" i="2"/>
  <c r="AE274" i="2" s="1"/>
  <c r="E337" i="2"/>
  <c r="P337" i="2"/>
  <c r="N335" i="2"/>
  <c r="E335" i="2" s="1"/>
  <c r="F186" i="2"/>
  <c r="X211" i="2"/>
  <c r="E216" i="2"/>
  <c r="F227" i="2"/>
  <c r="O235" i="2"/>
  <c r="P235" i="2" s="1"/>
  <c r="F248" i="2"/>
  <c r="T257" i="2"/>
  <c r="T210" i="2" s="1"/>
  <c r="I293" i="2"/>
  <c r="M294" i="2"/>
  <c r="W293" i="2"/>
  <c r="G300" i="2"/>
  <c r="E301" i="2"/>
  <c r="Q294" i="2"/>
  <c r="Q293" i="2" s="1"/>
  <c r="S293" i="2" s="1"/>
  <c r="E304" i="2"/>
  <c r="G306" i="2"/>
  <c r="G309" i="2"/>
  <c r="G314" i="2"/>
  <c r="P316" i="2"/>
  <c r="G316" i="2" s="1"/>
  <c r="AE316" i="2"/>
  <c r="P320" i="2"/>
  <c r="G325" i="2"/>
  <c r="AD322" i="2"/>
  <c r="AE326" i="2"/>
  <c r="Y331" i="2"/>
  <c r="G336" i="2"/>
  <c r="G341" i="2"/>
  <c r="P345" i="2"/>
  <c r="G345" i="2" s="1"/>
  <c r="F345" i="2"/>
  <c r="O342" i="2"/>
  <c r="E354" i="2"/>
  <c r="H342" i="2"/>
  <c r="E342" i="2" s="1"/>
  <c r="E380" i="2"/>
  <c r="P380" i="2"/>
  <c r="G380" i="2" s="1"/>
  <c r="J410" i="2"/>
  <c r="F410" i="2"/>
  <c r="I409" i="2"/>
  <c r="V410" i="2"/>
  <c r="U409" i="2"/>
  <c r="V409" i="2" s="1"/>
  <c r="T419" i="2"/>
  <c r="AE421" i="2"/>
  <c r="AD420" i="2"/>
  <c r="E425" i="2"/>
  <c r="X293" i="2"/>
  <c r="Y293" i="2" s="1"/>
  <c r="Y304" i="2"/>
  <c r="G304" i="2" s="1"/>
  <c r="M320" i="2"/>
  <c r="E320" i="2"/>
  <c r="J323" i="2"/>
  <c r="F323" i="2"/>
  <c r="I322" i="2"/>
  <c r="AE323" i="2"/>
  <c r="AC322" i="2"/>
  <c r="AB326" i="2"/>
  <c r="Z322" i="2"/>
  <c r="AB322" i="2" s="1"/>
  <c r="G337" i="2"/>
  <c r="F193" i="2"/>
  <c r="O198" i="2"/>
  <c r="P198" i="2" s="1"/>
  <c r="AA198" i="2"/>
  <c r="AB198" i="2" s="1"/>
  <c r="L199" i="2"/>
  <c r="F201" i="2"/>
  <c r="F202" i="2"/>
  <c r="F203" i="2"/>
  <c r="I210" i="2"/>
  <c r="F234" i="2"/>
  <c r="I235" i="2"/>
  <c r="F236" i="2"/>
  <c r="AA239" i="2"/>
  <c r="AB239" i="2" s="1"/>
  <c r="F257" i="2"/>
  <c r="H274" i="2"/>
  <c r="L274" i="2"/>
  <c r="M274" i="2" s="1"/>
  <c r="X274" i="2"/>
  <c r="F280" i="2"/>
  <c r="F286" i="2"/>
  <c r="F290" i="2"/>
  <c r="P294" i="2"/>
  <c r="O293" i="2"/>
  <c r="P293" i="2" s="1"/>
  <c r="G299" i="2"/>
  <c r="G305" i="2"/>
  <c r="G310" i="2"/>
  <c r="S316" i="2"/>
  <c r="AB316" i="2"/>
  <c r="AB320" i="2"/>
  <c r="V323" i="2"/>
  <c r="U322" i="2"/>
  <c r="V322" i="2" s="1"/>
  <c r="R322" i="2"/>
  <c r="S322" i="2" s="1"/>
  <c r="S326" i="2"/>
  <c r="F331" i="2"/>
  <c r="M331" i="2"/>
  <c r="F335" i="2"/>
  <c r="M335" i="2"/>
  <c r="F342" i="2"/>
  <c r="G348" i="2"/>
  <c r="G392" i="2"/>
  <c r="V392" i="2"/>
  <c r="E392" i="2"/>
  <c r="T391" i="2"/>
  <c r="J394" i="2"/>
  <c r="N342" i="2"/>
  <c r="G351" i="2"/>
  <c r="AC342" i="2"/>
  <c r="AE342" i="2" s="1"/>
  <c r="AE351" i="2"/>
  <c r="J354" i="2"/>
  <c r="E357" i="2"/>
  <c r="P357" i="2"/>
  <c r="P358" i="2"/>
  <c r="F358" i="2"/>
  <c r="J360" i="2"/>
  <c r="G360" i="2" s="1"/>
  <c r="F360" i="2"/>
  <c r="J363" i="2"/>
  <c r="AB364" i="2"/>
  <c r="Z363" i="2"/>
  <c r="N373" i="2"/>
  <c r="N363" i="2" s="1"/>
  <c r="P381" i="2"/>
  <c r="G381" i="2" s="1"/>
  <c r="F381" i="2"/>
  <c r="G385" i="2"/>
  <c r="G387" i="2"/>
  <c r="M391" i="2"/>
  <c r="Y391" i="2"/>
  <c r="G391" i="2" s="1"/>
  <c r="S394" i="2"/>
  <c r="G400" i="2"/>
  <c r="L363" i="2"/>
  <c r="F403" i="2"/>
  <c r="M403" i="2"/>
  <c r="G408" i="2"/>
  <c r="Q409" i="2"/>
  <c r="S409" i="2" s="1"/>
  <c r="W409" i="2"/>
  <c r="F413" i="2"/>
  <c r="V421" i="2"/>
  <c r="F421" i="2"/>
  <c r="U420" i="2"/>
  <c r="F438" i="2"/>
  <c r="M438" i="2"/>
  <c r="L437" i="2"/>
  <c r="F304" i="2"/>
  <c r="G344" i="2"/>
  <c r="G358" i="2"/>
  <c r="F369" i="2"/>
  <c r="P369" i="2"/>
  <c r="G369" i="2" s="1"/>
  <c r="O364" i="2"/>
  <c r="G370" i="2"/>
  <c r="AA363" i="2"/>
  <c r="AB363" i="2" s="1"/>
  <c r="AB373" i="2"/>
  <c r="G378" i="2"/>
  <c r="E391" i="2"/>
  <c r="E398" i="2"/>
  <c r="P398" i="2"/>
  <c r="G398" i="2" s="1"/>
  <c r="N394" i="2"/>
  <c r="E394" i="2" s="1"/>
  <c r="G402" i="2"/>
  <c r="H363" i="2"/>
  <c r="J403" i="2"/>
  <c r="E403" i="2"/>
  <c r="X363" i="2"/>
  <c r="Y363" i="2" s="1"/>
  <c r="Y403" i="2"/>
  <c r="L409" i="2"/>
  <c r="M409" i="2" s="1"/>
  <c r="AB413" i="2"/>
  <c r="Z409" i="2"/>
  <c r="G347" i="2"/>
  <c r="F352" i="2"/>
  <c r="P352" i="2"/>
  <c r="G352" i="2" s="1"/>
  <c r="F354" i="2"/>
  <c r="M354" i="2"/>
  <c r="G357" i="2"/>
  <c r="F361" i="2"/>
  <c r="M361" i="2"/>
  <c r="S364" i="2"/>
  <c r="R363" i="2"/>
  <c r="S363" i="2" s="1"/>
  <c r="M373" i="2"/>
  <c r="E373" i="2"/>
  <c r="K363" i="2"/>
  <c r="Y373" i="2"/>
  <c r="W363" i="2"/>
  <c r="F379" i="2"/>
  <c r="P379" i="2"/>
  <c r="G379" i="2" s="1"/>
  <c r="F384" i="2"/>
  <c r="P384" i="2"/>
  <c r="G384" i="2" s="1"/>
  <c r="V391" i="2"/>
  <c r="M394" i="2"/>
  <c r="T363" i="2"/>
  <c r="V363" i="2" s="1"/>
  <c r="V403" i="2"/>
  <c r="Y409" i="2"/>
  <c r="L419" i="2"/>
  <c r="M419" i="2" s="1"/>
  <c r="M420" i="2"/>
  <c r="J426" i="2"/>
  <c r="F426" i="2"/>
  <c r="I425" i="2"/>
  <c r="J442" i="2"/>
  <c r="I441" i="2"/>
  <c r="E443" i="2"/>
  <c r="P443" i="2"/>
  <c r="N442" i="2"/>
  <c r="C27" i="3"/>
  <c r="A9" i="3" s="1"/>
  <c r="A11" i="3" s="1"/>
  <c r="E374" i="2"/>
  <c r="S413" i="2"/>
  <c r="J415" i="2"/>
  <c r="Y415" i="2"/>
  <c r="S417" i="2"/>
  <c r="AB421" i="2"/>
  <c r="Z420" i="2"/>
  <c r="AE426" i="2"/>
  <c r="AC425" i="2"/>
  <c r="AE425" i="2" s="1"/>
  <c r="M434" i="2"/>
  <c r="L433" i="2"/>
  <c r="V434" i="2"/>
  <c r="J438" i="2"/>
  <c r="E438" i="2"/>
  <c r="H437" i="2"/>
  <c r="AE443" i="2"/>
  <c r="G443" i="2" s="1"/>
  <c r="AD442" i="2"/>
  <c r="J413" i="2"/>
  <c r="J417" i="2"/>
  <c r="J420" i="2"/>
  <c r="S421" i="2"/>
  <c r="R420" i="2"/>
  <c r="P421" i="2"/>
  <c r="G421" i="2" s="1"/>
  <c r="O420" i="2"/>
  <c r="E426" i="2"/>
  <c r="V426" i="2"/>
  <c r="U425" i="2"/>
  <c r="V425" i="2" s="1"/>
  <c r="J431" i="2"/>
  <c r="F431" i="2"/>
  <c r="S431" i="2"/>
  <c r="E434" i="2"/>
  <c r="H433" i="2"/>
  <c r="G436" i="2"/>
  <c r="Y438" i="2"/>
  <c r="X437" i="2"/>
  <c r="Y437" i="2" s="1"/>
  <c r="AB443" i="2"/>
  <c r="Z442" i="2"/>
  <c r="F373" i="2"/>
  <c r="F391" i="2"/>
  <c r="O394" i="2"/>
  <c r="P394" i="2" s="1"/>
  <c r="AA409" i="2"/>
  <c r="AE413" i="2"/>
  <c r="M415" i="2"/>
  <c r="V415" i="2"/>
  <c r="AE417" i="2"/>
  <c r="AC419" i="2"/>
  <c r="S426" i="2"/>
  <c r="Q425" i="2"/>
  <c r="S425" i="2" s="1"/>
  <c r="G430" i="2"/>
  <c r="G432" i="2"/>
  <c r="J434" i="2"/>
  <c r="Y434" i="2"/>
  <c r="X433" i="2"/>
  <c r="G439" i="2"/>
  <c r="V442" i="2"/>
  <c r="U441" i="2"/>
  <c r="V441" i="2" s="1"/>
  <c r="S443" i="2"/>
  <c r="R442" i="2"/>
  <c r="F415" i="2"/>
  <c r="F434" i="2"/>
  <c r="C24" i="3"/>
  <c r="T178" i="2" l="1"/>
  <c r="J210" i="2"/>
  <c r="G320" i="2"/>
  <c r="J293" i="2"/>
  <c r="G293" i="2" s="1"/>
  <c r="F293" i="2"/>
  <c r="Y433" i="2"/>
  <c r="X419" i="2"/>
  <c r="Y419" i="2" s="1"/>
  <c r="AB409" i="2"/>
  <c r="AB442" i="2"/>
  <c r="Z441" i="2"/>
  <c r="AB441" i="2" s="1"/>
  <c r="G417" i="2"/>
  <c r="J437" i="2"/>
  <c r="E437" i="2"/>
  <c r="F433" i="2"/>
  <c r="M433" i="2"/>
  <c r="Z419" i="2"/>
  <c r="AB419" i="2" s="1"/>
  <c r="AB420" i="2"/>
  <c r="G415" i="2"/>
  <c r="P442" i="2"/>
  <c r="G442" i="2" s="1"/>
  <c r="N441" i="2"/>
  <c r="E442" i="2"/>
  <c r="J441" i="2"/>
  <c r="F394" i="2"/>
  <c r="M363" i="2"/>
  <c r="G354" i="2"/>
  <c r="J235" i="2"/>
  <c r="G235" i="2" s="1"/>
  <c r="F235" i="2"/>
  <c r="AE420" i="2"/>
  <c r="AD419" i="2"/>
  <c r="AE419" i="2" s="1"/>
  <c r="AE322" i="2"/>
  <c r="S198" i="2"/>
  <c r="N210" i="2"/>
  <c r="P239" i="2"/>
  <c r="J198" i="2"/>
  <c r="F198" i="2"/>
  <c r="E198" i="2"/>
  <c r="E280" i="2"/>
  <c r="E257" i="2"/>
  <c r="E210" i="2"/>
  <c r="P373" i="2"/>
  <c r="F274" i="2"/>
  <c r="V257" i="2"/>
  <c r="G257" i="2" s="1"/>
  <c r="M210" i="2"/>
  <c r="W178" i="2"/>
  <c r="W8" i="2" s="1"/>
  <c r="Y66" i="2"/>
  <c r="X65" i="2"/>
  <c r="Y65" i="2" s="1"/>
  <c r="P36" i="2"/>
  <c r="V149" i="2"/>
  <c r="U9" i="2"/>
  <c r="E21" i="2"/>
  <c r="P21" i="2"/>
  <c r="O20" i="2"/>
  <c r="AE21" i="2"/>
  <c r="G11" i="2"/>
  <c r="F53" i="1"/>
  <c r="G72" i="1"/>
  <c r="F72" i="1" s="1"/>
  <c r="G137" i="1"/>
  <c r="S442" i="2"/>
  <c r="R441" i="2"/>
  <c r="S441" i="2" s="1"/>
  <c r="L198" i="2"/>
  <c r="M199" i="2"/>
  <c r="G431" i="2"/>
  <c r="G413" i="2"/>
  <c r="F442" i="2"/>
  <c r="P364" i="2"/>
  <c r="G364" i="2" s="1"/>
  <c r="F364" i="2"/>
  <c r="P342" i="2"/>
  <c r="O322" i="2"/>
  <c r="Y211" i="2"/>
  <c r="G211" i="2" s="1"/>
  <c r="X210" i="2"/>
  <c r="V211" i="2"/>
  <c r="U210" i="2"/>
  <c r="V210" i="2" s="1"/>
  <c r="F199" i="2"/>
  <c r="F179" i="2"/>
  <c r="I178" i="2"/>
  <c r="J179" i="2"/>
  <c r="G361" i="2"/>
  <c r="G331" i="2"/>
  <c r="S294" i="2"/>
  <c r="G294" i="2" s="1"/>
  <c r="G239" i="2"/>
  <c r="AC178" i="2"/>
  <c r="O363" i="2"/>
  <c r="P363" i="2" s="1"/>
  <c r="G326" i="2"/>
  <c r="T274" i="2"/>
  <c r="V274" i="2" s="1"/>
  <c r="V275" i="2"/>
  <c r="G275" i="2" s="1"/>
  <c r="J274" i="2"/>
  <c r="F239" i="2"/>
  <c r="AE198" i="2"/>
  <c r="AD178" i="2"/>
  <c r="AE178" i="2" s="1"/>
  <c r="Z178" i="2"/>
  <c r="J171" i="2"/>
  <c r="G171" i="2" s="1"/>
  <c r="F171" i="2"/>
  <c r="L149" i="2"/>
  <c r="M149" i="2" s="1"/>
  <c r="M150" i="2"/>
  <c r="M53" i="2"/>
  <c r="G53" i="2" s="1"/>
  <c r="Y37" i="2"/>
  <c r="X36" i="2"/>
  <c r="Y36" i="2" s="1"/>
  <c r="S150" i="2"/>
  <c r="G150" i="2" s="1"/>
  <c r="R149" i="2"/>
  <c r="S149" i="2" s="1"/>
  <c r="P54" i="2"/>
  <c r="G54" i="2" s="1"/>
  <c r="O53" i="2"/>
  <c r="P53" i="2" s="1"/>
  <c r="J21" i="2"/>
  <c r="G21" i="2" s="1"/>
  <c r="I20" i="2"/>
  <c r="F21" i="2"/>
  <c r="P66" i="2"/>
  <c r="O65" i="2"/>
  <c r="P65" i="2" s="1"/>
  <c r="J65" i="2"/>
  <c r="F54" i="2"/>
  <c r="N9" i="2"/>
  <c r="E20" i="2"/>
  <c r="P37" i="2"/>
  <c r="G37" i="2" s="1"/>
  <c r="Y10" i="2"/>
  <c r="X9" i="2"/>
  <c r="AA9" i="2"/>
  <c r="G74" i="1"/>
  <c r="F50" i="1"/>
  <c r="F74" i="1" s="1"/>
  <c r="J425" i="2"/>
  <c r="G425" i="2" s="1"/>
  <c r="F425" i="2"/>
  <c r="G394" i="2"/>
  <c r="J433" i="2"/>
  <c r="G433" i="2" s="1"/>
  <c r="E433" i="2"/>
  <c r="O419" i="2"/>
  <c r="P419" i="2" s="1"/>
  <c r="P420" i="2"/>
  <c r="I419" i="2"/>
  <c r="G426" i="2"/>
  <c r="Q419" i="2"/>
  <c r="G403" i="2"/>
  <c r="V420" i="2"/>
  <c r="U419" i="2"/>
  <c r="V419" i="2" s="1"/>
  <c r="G363" i="2"/>
  <c r="G434" i="2"/>
  <c r="F420" i="2"/>
  <c r="AE442" i="2"/>
  <c r="AD441" i="2"/>
  <c r="AE441" i="2" s="1"/>
  <c r="G438" i="2"/>
  <c r="G373" i="2"/>
  <c r="E363" i="2"/>
  <c r="F437" i="2"/>
  <c r="M437" i="2"/>
  <c r="J342" i="2"/>
  <c r="Y274" i="2"/>
  <c r="F211" i="2"/>
  <c r="H419" i="2"/>
  <c r="E419" i="2" s="1"/>
  <c r="E420" i="2"/>
  <c r="J409" i="2"/>
  <c r="F409" i="2"/>
  <c r="E294" i="2"/>
  <c r="E180" i="2"/>
  <c r="N179" i="2"/>
  <c r="N322" i="2"/>
  <c r="P323" i="2"/>
  <c r="G323" i="2" s="1"/>
  <c r="E323" i="2"/>
  <c r="P204" i="2"/>
  <c r="G204" i="2" s="1"/>
  <c r="F204" i="2"/>
  <c r="G199" i="2"/>
  <c r="E235" i="2"/>
  <c r="P335" i="2"/>
  <c r="G335" i="2" s="1"/>
  <c r="AA178" i="2"/>
  <c r="AB178" i="2" s="1"/>
  <c r="AB179" i="2"/>
  <c r="S179" i="2"/>
  <c r="R178" i="2"/>
  <c r="S178" i="2" s="1"/>
  <c r="H322" i="2"/>
  <c r="E150" i="2"/>
  <c r="H149" i="2"/>
  <c r="E149" i="2" s="1"/>
  <c r="AE66" i="2"/>
  <c r="AC65" i="2"/>
  <c r="AE65" i="2" s="1"/>
  <c r="F150" i="2"/>
  <c r="E53" i="2"/>
  <c r="E37" i="2"/>
  <c r="H36" i="2"/>
  <c r="E36" i="2" s="1"/>
  <c r="P149" i="2"/>
  <c r="E171" i="2"/>
  <c r="E66" i="2"/>
  <c r="AB20" i="2"/>
  <c r="Z9" i="2"/>
  <c r="Z8" i="2" s="1"/>
  <c r="F36" i="2"/>
  <c r="E48" i="2"/>
  <c r="E10" i="2"/>
  <c r="J10" i="2"/>
  <c r="S420" i="2"/>
  <c r="G420" i="2" s="1"/>
  <c r="R419" i="2"/>
  <c r="S419" i="2" s="1"/>
  <c r="F322" i="2"/>
  <c r="V179" i="2"/>
  <c r="U178" i="2"/>
  <c r="V178" i="2" s="1"/>
  <c r="P179" i="2"/>
  <c r="G180" i="2"/>
  <c r="E409" i="2"/>
  <c r="P410" i="2"/>
  <c r="G410" i="2" s="1"/>
  <c r="O409" i="2"/>
  <c r="P409" i="2" s="1"/>
  <c r="G187" i="2"/>
  <c r="S66" i="2"/>
  <c r="Q65" i="2"/>
  <c r="S65" i="2" s="1"/>
  <c r="J48" i="2"/>
  <c r="G48" i="2" s="1"/>
  <c r="F48" i="2"/>
  <c r="P210" i="2"/>
  <c r="L66" i="2"/>
  <c r="M80" i="2"/>
  <c r="G80" i="2" s="1"/>
  <c r="Y21" i="2"/>
  <c r="X20" i="2"/>
  <c r="Y20" i="2" s="1"/>
  <c r="M10" i="2"/>
  <c r="F10" i="2"/>
  <c r="T8" i="2"/>
  <c r="S20" i="2"/>
  <c r="R9" i="2"/>
  <c r="AE20" i="2"/>
  <c r="AD9" i="2"/>
  <c r="E322" i="2" l="1"/>
  <c r="H178" i="2"/>
  <c r="E178" i="2" s="1"/>
  <c r="F441" i="2"/>
  <c r="N8" i="2"/>
  <c r="Y210" i="2"/>
  <c r="X178" i="2"/>
  <c r="Y178" i="2" s="1"/>
  <c r="V9" i="2"/>
  <c r="U8" i="2"/>
  <c r="V8" i="2" s="1"/>
  <c r="N178" i="2"/>
  <c r="E179" i="2"/>
  <c r="G409" i="2"/>
  <c r="J149" i="2"/>
  <c r="G149" i="2" s="1"/>
  <c r="G179" i="2"/>
  <c r="E65" i="2"/>
  <c r="Q9" i="2"/>
  <c r="Q8" i="2" s="1"/>
  <c r="F363" i="2"/>
  <c r="G441" i="2"/>
  <c r="F210" i="2"/>
  <c r="J419" i="2"/>
  <c r="G419" i="2" s="1"/>
  <c r="F419" i="2"/>
  <c r="Y9" i="2"/>
  <c r="AD8" i="2"/>
  <c r="M66" i="2"/>
  <c r="G66" i="2" s="1"/>
  <c r="L65" i="2"/>
  <c r="F66" i="2"/>
  <c r="O178" i="2"/>
  <c r="P178" i="2" s="1"/>
  <c r="G10" i="2"/>
  <c r="J322" i="2"/>
  <c r="H9" i="2"/>
  <c r="J36" i="2"/>
  <c r="G36" i="2" s="1"/>
  <c r="G342" i="2"/>
  <c r="F149" i="2"/>
  <c r="F178" i="2"/>
  <c r="F137" i="1"/>
  <c r="G138" i="1"/>
  <c r="G210" i="2"/>
  <c r="S9" i="2"/>
  <c r="R8" i="2"/>
  <c r="S8" i="2" s="1"/>
  <c r="L9" i="2"/>
  <c r="AB9" i="2"/>
  <c r="AA8" i="2"/>
  <c r="AB8" i="2" s="1"/>
  <c r="J20" i="2"/>
  <c r="F20" i="2"/>
  <c r="I9" i="2"/>
  <c r="F53" i="2"/>
  <c r="G274" i="2"/>
  <c r="P322" i="2"/>
  <c r="M198" i="2"/>
  <c r="G198" i="2" s="1"/>
  <c r="L178" i="2"/>
  <c r="M178" i="2" s="1"/>
  <c r="P20" i="2"/>
  <c r="O9" i="2"/>
  <c r="AC9" i="2"/>
  <c r="AC8" i="2" s="1"/>
  <c r="E274" i="2"/>
  <c r="P441" i="2"/>
  <c r="E441" i="2"/>
  <c r="G437" i="2"/>
  <c r="J9" i="2" l="1"/>
  <c r="F9" i="2"/>
  <c r="I8" i="2"/>
  <c r="G20" i="2"/>
  <c r="M9" i="2"/>
  <c r="L8" i="2"/>
  <c r="M8" i="2" s="1"/>
  <c r="F138" i="1"/>
  <c r="G201" i="1"/>
  <c r="E9" i="2"/>
  <c r="H8" i="2"/>
  <c r="E8" i="2" s="1"/>
  <c r="AE9" i="2"/>
  <c r="G322" i="2"/>
  <c r="M65" i="2"/>
  <c r="G65" i="2" s="1"/>
  <c r="F65" i="2"/>
  <c r="X8" i="2"/>
  <c r="Y8" i="2" s="1"/>
  <c r="P9" i="2"/>
  <c r="O8" i="2"/>
  <c r="P8" i="2" s="1"/>
  <c r="J178" i="2"/>
  <c r="G178" i="2" s="1"/>
  <c r="AE8" i="2"/>
  <c r="J8" i="2" l="1"/>
  <c r="G8" i="2" s="1"/>
  <c r="F8" i="2"/>
  <c r="F201" i="1"/>
  <c r="G203" i="1"/>
  <c r="F203" i="1" s="1"/>
  <c r="G9" i="2"/>
</calcChain>
</file>

<file path=xl/comments1.xml><?xml version="1.0" encoding="utf-8"?>
<comments xmlns="http://schemas.openxmlformats.org/spreadsheetml/2006/main">
  <authors>
    <author>Diana Gavrailova</author>
    <author>Автор</author>
  </authors>
  <commentList>
    <comment ref="H29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I29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N34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O34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AC38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D38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Z62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МТСП
6101</t>
        </r>
      </text>
    </comment>
    <comment ref="AA62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МТСП
6101</t>
        </r>
      </text>
    </comment>
    <comment ref="N109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O109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2000 в бюджета на Група кметства Килифарево</t>
        </r>
      </text>
    </comment>
    <comment ref="N115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23256 в бюджета на Кметство с. Ресен</t>
        </r>
      </text>
    </comment>
    <comment ref="O115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23256 в бюджета на Кметство с. Ресен</t>
        </r>
      </text>
    </comment>
    <comment ref="H207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I207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3 284</t>
        </r>
      </text>
    </comment>
    <comment ref="Z223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Gavrailova:Трансфер от Министерство на образованието
6101</t>
        </r>
      </text>
    </comment>
    <comment ref="AA223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Gavrailova:Трансфер от Министерство на образованието
6101</t>
        </r>
      </text>
    </comment>
    <comment ref="AC237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AD237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Проектно предложение</t>
        </r>
      </text>
    </comment>
    <comment ref="Z345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от ПУДООС
6401</t>
        </r>
      </text>
    </comment>
    <comment ref="AA345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от ПУДООС
6401</t>
        </r>
      </text>
    </comment>
    <comment ref="W350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  <comment ref="X350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35 782 от ЦСКР, 3503649 други целеви разходи</t>
        </r>
      </text>
    </comment>
    <comment ref="Z357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ПУДООС 
6401</t>
        </r>
      </text>
    </comment>
    <comment ref="AA357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Трансфер ПУДООС 
6401</t>
        </r>
      </text>
    </comment>
    <comment ref="O372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1500 лева в 3 751</t>
        </r>
      </text>
    </comment>
  </commentList>
</comments>
</file>

<file path=xl/sharedStrings.xml><?xml version="1.0" encoding="utf-8"?>
<sst xmlns="http://schemas.openxmlformats.org/spreadsheetml/2006/main" count="989" uniqueCount="637">
  <si>
    <t>ДО</t>
  </si>
  <si>
    <t>ВЕЛИКОТЪРНОВСКИ</t>
  </si>
  <si>
    <t>ОБЩИНСКИ СЪВЕТ</t>
  </si>
  <si>
    <t>ПРЕДЛОЖЕНИЕ</t>
  </si>
  <si>
    <t>ОТ ИНЖ. ДАНИЕЛ ДИМИТРОВ ПАНОВ - КМЕТ НА ОБЩИНА ВЕЛИКО ТЪРНОВО</t>
  </si>
  <si>
    <t xml:space="preserve">На основание чл. 21, ал.1, т.6 и т. 23 от ЗМСМА, и чл.124, ал.2 от Закона за публичните финанси, </t>
  </si>
  <si>
    <t>Великотърновски общински съвет реши:</t>
  </si>
  <si>
    <t xml:space="preserve">1. Утвърждава промените по приходната и разходната част на Бюджета и СЕС към 31.12.2021 година </t>
  </si>
  <si>
    <t>на Община Велико Търново, както следва:</t>
  </si>
  <si>
    <t>І. ПО БЮДЖЕТА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</si>
  <si>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</si>
  <si>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</si>
  <si>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</si>
  <si>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</si>
  <si>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</si>
  <si>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</si>
  <si>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</si>
  <si>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ІV тр.</t>
  </si>
  <si>
    <t>Общински такси</t>
  </si>
  <si>
    <t>2400</t>
  </si>
  <si>
    <t>приходи от наеми на имущество</t>
  </si>
  <si>
    <t>2405</t>
  </si>
  <si>
    <t xml:space="preserve"> - Община Велико Търново</t>
  </si>
  <si>
    <t>приходи от наеми на земя</t>
  </si>
  <si>
    <t>2406</t>
  </si>
  <si>
    <t xml:space="preserve"> -Дирекция ОМДС, вкл. образователни институции</t>
  </si>
  <si>
    <t xml:space="preserve"> - приходи от лихви по текущи банкови сметки</t>
  </si>
  <si>
    <t>2408</t>
  </si>
  <si>
    <t>2700</t>
  </si>
  <si>
    <t xml:space="preserve"> - за ползване на общежития и други по образованието</t>
  </si>
  <si>
    <t>2708</t>
  </si>
  <si>
    <t>Други неданъчни приходи</t>
  </si>
  <si>
    <t xml:space="preserve"> - други неданъчни приходи</t>
  </si>
  <si>
    <t>Събр.и внес.ДДС и др.дан.в/у продажби/нето/</t>
  </si>
  <si>
    <t>внесен данък върху приходите от стопанска дейност на бюджетните предприятия (-)</t>
  </si>
  <si>
    <t>Помощи и дарения от страната</t>
  </si>
  <si>
    <t xml:space="preserve"> - дарения, помощи и др.от страната, в т.ч.:</t>
  </si>
  <si>
    <t>ВСИЧКО НЕДАНЪЧНИ ПРИХОДИ:</t>
  </si>
  <si>
    <t>ВСИЧКО ИМУЩ. ДАНЪЦИ И НЕДАН. ПРИХ.</t>
  </si>
  <si>
    <t>Трансфери м/у бюджети (нето)</t>
  </si>
  <si>
    <t xml:space="preserve"> - трансфери между бюджети - получени трансфери (+)</t>
  </si>
  <si>
    <t xml:space="preserve"> -Дирекция  КТМД, вкл. регионални структури в сферата на културата</t>
  </si>
  <si>
    <t xml:space="preserve"> - трансфери между бюджети - предоставени трансфери (-)</t>
  </si>
  <si>
    <t xml:space="preserve"> - вътр. трансф.в системата на първост.р-л </t>
  </si>
  <si>
    <t xml:space="preserve"> - Кметство Дебелец</t>
  </si>
  <si>
    <t xml:space="preserve"> - Кметство Килифарево</t>
  </si>
  <si>
    <t xml:space="preserve"> - Група кметства Килифарево</t>
  </si>
  <si>
    <t xml:space="preserve"> - Кметство Ресен</t>
  </si>
  <si>
    <t xml:space="preserve"> - Кметство Самоводене</t>
  </si>
  <si>
    <t>Трансфери между бюджети и сметки за средствата от Европейския съюз (нето)</t>
  </si>
  <si>
    <t>6200</t>
  </si>
  <si>
    <t xml:space="preserve"> - предоставени трансфери (-)</t>
  </si>
  <si>
    <t>6202</t>
  </si>
  <si>
    <t>ВСИЧКО ТРАНСФЕРИ:</t>
  </si>
  <si>
    <t>ВСИЧКО ПРИХОДИ ЗА ДЕЛЕГ.ОТ ДЪРЖ.Д-СТИ:</t>
  </si>
  <si>
    <t>МЕСТНИ ПРИХОДИ</t>
  </si>
  <si>
    <t>ИМУЩЕСТВЕНИ ДАНЪЦИ</t>
  </si>
  <si>
    <t>Данък върху доходите на физическите лица</t>
  </si>
  <si>
    <t>0100</t>
  </si>
  <si>
    <t xml:space="preserve"> -  окончателен годишен (патентен) данък</t>
  </si>
  <si>
    <t>0103</t>
  </si>
  <si>
    <t>Имуществени данъци</t>
  </si>
  <si>
    <t xml:space="preserve"> - данък върху недвижими имоти</t>
  </si>
  <si>
    <t xml:space="preserve"> - д-к в/у превозн.средства</t>
  </si>
  <si>
    <t xml:space="preserve"> - данък при придобиване на имущество по дарения и възмезден начин</t>
  </si>
  <si>
    <t xml:space="preserve"> - туристически данък</t>
  </si>
  <si>
    <t>ВСИЧКО ИМУЩЕСТВЕНИ ДАНЪЦИ:</t>
  </si>
  <si>
    <t>Приходи и доходи от собственост</t>
  </si>
  <si>
    <t xml:space="preserve"> - прих.от наеми на имущество</t>
  </si>
  <si>
    <t>2404</t>
  </si>
  <si>
    <t xml:space="preserve"> - приходи от наеми на земя</t>
  </si>
  <si>
    <t xml:space="preserve"> - приходи от дивиденти</t>
  </si>
  <si>
    <t xml:space="preserve"> - Дирекция "Образование, мл.д-сти и спорт"</t>
  </si>
  <si>
    <t xml:space="preserve"> - приходи от лихви по срочни депозити</t>
  </si>
  <si>
    <t>2409</t>
  </si>
  <si>
    <t xml:space="preserve"> - За полз.детски градини и др.</t>
  </si>
  <si>
    <t xml:space="preserve"> - За полз.детски ясли и др.</t>
  </si>
  <si>
    <t xml:space="preserve"> - За ползване на ДСП и общ.соц.услуги</t>
  </si>
  <si>
    <t xml:space="preserve"> - За битови отпадъци</t>
  </si>
  <si>
    <t xml:space="preserve"> - За технически услуги</t>
  </si>
  <si>
    <t xml:space="preserve"> - За  административни услуги</t>
  </si>
  <si>
    <t xml:space="preserve"> - за откупуване на гробни места</t>
  </si>
  <si>
    <t xml:space="preserve"> - за притежаване на куче</t>
  </si>
  <si>
    <t xml:space="preserve"> - други общински такси</t>
  </si>
  <si>
    <t>Глоби, санкции и наказателни лихви</t>
  </si>
  <si>
    <t xml:space="preserve"> - глоби, санкции, неустойки, наказателни лихви, обезщетения и начети</t>
  </si>
  <si>
    <t xml:space="preserve"> -наказателни лихви за данъци, мита и осигурителни вноски</t>
  </si>
  <si>
    <t xml:space="preserve"> - реализирани курсови разлики от валутни операции (нето) (+/-)</t>
  </si>
  <si>
    <t xml:space="preserve"> - получени застрахователни обезщетения за ДМА</t>
  </si>
  <si>
    <t xml:space="preserve"> -Община Велико Търново</t>
  </si>
  <si>
    <t xml:space="preserve"> - ОП "Кабелно радио - ВТ"</t>
  </si>
  <si>
    <t>3700</t>
  </si>
  <si>
    <t xml:space="preserve"> - внесен ДДС (-)</t>
  </si>
  <si>
    <t xml:space="preserve"> - внесен данък върху приходите от стопанска дейност на бюджетните предприятия (-)</t>
  </si>
  <si>
    <t>Прих.от прод.на държ.и общ.им.</t>
  </si>
  <si>
    <t xml:space="preserve"> - Постъпления от продажба на сгради</t>
  </si>
  <si>
    <t xml:space="preserve"> - Постъпления от продажби от немат.активи</t>
  </si>
  <si>
    <t xml:space="preserve"> - Постъпления от продажба на земя</t>
  </si>
  <si>
    <t>Трансфери</t>
  </si>
  <si>
    <t>Трансфери м/у бюджета на БО и ЦБ /нето/</t>
  </si>
  <si>
    <t>получени от общини трансфери за други целеви разходи от ЦБ чрез  кодовете в СЕБРА 488 001 ххх-х</t>
  </si>
  <si>
    <t>ВСИЧКО Трансфери м/у бюджета на БО и ЦБ:</t>
  </si>
  <si>
    <t xml:space="preserve"> -  Център за социални услуги</t>
  </si>
  <si>
    <t xml:space="preserve"> - ОП "Зелени системи"</t>
  </si>
  <si>
    <t xml:space="preserve"> - ОП "Спортни имоти"</t>
  </si>
  <si>
    <t xml:space="preserve"> - ДКС " Васил Левски"</t>
  </si>
  <si>
    <t xml:space="preserve"> - ОП "Горско стопанство"</t>
  </si>
  <si>
    <t xml:space="preserve"> - ОП "Реклама"</t>
  </si>
  <si>
    <t xml:space="preserve"> - Младежки дом</t>
  </si>
  <si>
    <t xml:space="preserve">ВРЕМЕННИ БЕЗЛИХВЕНИ ЗАЕМИ </t>
  </si>
  <si>
    <t>Временни безлихвени заеми между бюджети (нето)</t>
  </si>
  <si>
    <t>7500</t>
  </si>
  <si>
    <t>Временни безл.заеми между бюдж.и сметки за СЕС(нето)</t>
  </si>
  <si>
    <t>ВСИЧКО ВРЕМЕННИ БЕЗЛИХВЕНИ ЗАЕМИ:</t>
  </si>
  <si>
    <t>ОПЕРАЦИИ С ФИН.АКТИВИ И ПАСИВИ</t>
  </si>
  <si>
    <t>Предоставена възмездна финансова помощ (нето)</t>
  </si>
  <si>
    <t xml:space="preserve"> - предоставени средства по възмездна финансова помощ  (-)</t>
  </si>
  <si>
    <t>Заеми от банки и други лица в страната - нето (+/-)</t>
  </si>
  <si>
    <t>получени краткосрочни заеми от банки в страната (+)</t>
  </si>
  <si>
    <t xml:space="preserve"> - получени дългосрочни заеми от банки в страната (+)</t>
  </si>
  <si>
    <t>погашения по краткосрочни заеми от банки в страната (-)</t>
  </si>
  <si>
    <t xml:space="preserve"> - получени дългосрочни заеми от други лица в страната (+)</t>
  </si>
  <si>
    <t>Събрани средства и извършени плащания за сметка на други бюджети, сметки и фондове - нето (+/-)</t>
  </si>
  <si>
    <t>събрани средства и извършени плащания от/за сметки за средствата от Европейския съюз (+/-)</t>
  </si>
  <si>
    <t>Депозити и ср-ва по с/ки /нето/</t>
  </si>
  <si>
    <t xml:space="preserve"> - наличност в левове по сметки в края на периода (-)</t>
  </si>
  <si>
    <t xml:space="preserve"> - нал. в лв. равностойност по вал. с/ки в края на пер.</t>
  </si>
  <si>
    <t xml:space="preserve"> - наличност в левове по срочни депозити в края на периода (-)</t>
  </si>
  <si>
    <t xml:space="preserve"> - наличност в касата в левове в края на периода (-)</t>
  </si>
  <si>
    <t>ВСИЧКО ОПЕРАЦИИ С ФИН.АКТИВИ И ПАСИВИ: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</si>
  <si>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</si>
  <si>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</si>
  <si>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</si>
  <si>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</si>
  <si>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1 Общи държавни служби</t>
  </si>
  <si>
    <t>Група 1 Изпълнителни и законодателни органи</t>
  </si>
  <si>
    <t xml:space="preserve"> - в т. ч.:</t>
  </si>
  <si>
    <t>Функция 2 Отбрана и сигурност</t>
  </si>
  <si>
    <t>Група 2 Полиция, вътрешен ред и сигурност</t>
  </si>
  <si>
    <t xml:space="preserve">Група 5 Защита на населението, управление и дейности </t>
  </si>
  <si>
    <t xml:space="preserve">при стихийни бедствия и аварии </t>
  </si>
  <si>
    <t>Функция 3 Образование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</si>
  <si>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</si>
  <si>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</si>
  <si>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</si>
  <si>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 xml:space="preserve"> - Център за социални услуги</t>
  </si>
  <si>
    <t>Функция 7 Почивно дело, култура, религиозни дейности</t>
  </si>
  <si>
    <t>Група 2 Физическа култура и спорт</t>
  </si>
  <si>
    <t>Група 3 Култура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</si>
  <si>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</si>
  <si>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</si>
  <si>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</si>
  <si>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Функция 4 Здравеопазване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</si>
  <si>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</si>
  <si>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</si>
  <si>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</si>
  <si>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</si>
  <si>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</si>
  <si>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</si>
  <si>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</si>
  <si>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>Група 2 Опазване на околната среда</t>
  </si>
  <si>
    <t>Група 1 Почивно дело</t>
  </si>
  <si>
    <t xml:space="preserve"> - ОП "Спортни имоти и прояви"</t>
  </si>
  <si>
    <t xml:space="preserve"> - ОП "Общинско кабелно радио В.Т."</t>
  </si>
  <si>
    <t xml:space="preserve"> - ДКС "Васил Левски"</t>
  </si>
  <si>
    <t>Функция 8 Икономически дейности и услуги</t>
  </si>
  <si>
    <t>Група 2 Селско стопанство, горско стопанство, лов и риболов</t>
  </si>
  <si>
    <t>Група 3 Транспорт и съобщения</t>
  </si>
  <si>
    <t>Група 6 Други дейности по икономиката</t>
  </si>
  <si>
    <t>Функция 9 Други разходи, некласифицирани в други функции</t>
  </si>
  <si>
    <t>подпомагане и грижи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</si>
  <si>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</si>
  <si>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</si>
  <si>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</si>
  <si>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ВСИЧКО РАЗХОДИ:</t>
  </si>
  <si>
    <t>ІІ. ПО ИЗВЪНБЮДЖЕТНИТЕ СМЕТКИ ЗА СРЕДСТВА ОТ ЕВРОПЕЙСКИЯ СЪЮЗ</t>
  </si>
  <si>
    <t>НАИМЕНОВАНИЕ</t>
  </si>
  <si>
    <t>РА КЪМ ДФ "ЗЕМЕДЕЛИЕ" - код 42 (РА)</t>
  </si>
  <si>
    <t>НАЦИОНАЛЕН ФОНД /ИБСФ-3-КСФ/ - код 98</t>
  </si>
  <si>
    <t>ДРУГИ МЕЖДУНАРОДНИ ПРОГРАМИ - код 97 (ДМП)</t>
  </si>
  <si>
    <t>ДРУГИ СРЕДСТВА ОТ ЕС  - ДЕС - код 96</t>
  </si>
  <si>
    <t>ВСИЧКО:</t>
  </si>
  <si>
    <t xml:space="preserve">2. Приема актуализация на Инвестиционната програма на Община Велико Търново за 2021 год., </t>
  </si>
  <si>
    <t>съгласно Приложение 1 към настоящото Предложение.</t>
  </si>
  <si>
    <t xml:space="preserve">3. Одобрява Разпределение на средствата по разпоредители с бюджет към Община Велико Търново </t>
  </si>
  <si>
    <t>за периода 01- 31.12.2021 година, във връзка с ПМС326/12.10.2021 година /Приложение 2/</t>
  </si>
  <si>
    <t>инж. Даниел Панов</t>
  </si>
  <si>
    <t>Кмет на Община Велико Търново</t>
  </si>
  <si>
    <t>Съгласувал,</t>
  </si>
  <si>
    <t>Сн. Данева - Иванова</t>
  </si>
  <si>
    <t>Зам. - кмет "Финанси"</t>
  </si>
  <si>
    <t>М. Маринов</t>
  </si>
  <si>
    <t>Директор дирекция БФ</t>
  </si>
  <si>
    <t>Д. Йонкова</t>
  </si>
  <si>
    <t>Директор дирекция ПОУС</t>
  </si>
  <si>
    <t>Д. Данчева</t>
  </si>
  <si>
    <t>Гл. счетоводител</t>
  </si>
  <si>
    <t>Изготвил,</t>
  </si>
  <si>
    <t>Д. Гавраилова,</t>
  </si>
  <si>
    <t>експерт Дирекция БФ</t>
  </si>
  <si>
    <t>ПРИЛОЖЕНИЕ 1</t>
  </si>
  <si>
    <t>ИНВЕСТИЦИОННА ПРОГРАМА</t>
  </si>
  <si>
    <t>КЪМ 31.12.2021 ГОДИНА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</si>
  <si>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</si>
  <si>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</si>
  <si>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</si>
  <si>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</si>
  <si>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</si>
  <si>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</si>
  <si>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</si>
  <si>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</si>
  <si>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</si>
  <si>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</si>
  <si>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</si>
  <si>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</si>
  <si>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</si>
  <si>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</si>
  <si>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</si>
  <si>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</si>
  <si>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</si>
  <si>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</si>
  <si>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</si>
  <si>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</si>
  <si>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</si>
  <si>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Шемшево</t>
  </si>
  <si>
    <t>Основен ремонт сграда (отоплителна инсталация кметство Никюп, 30% от продажби на общинско имущество)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</si>
  <si>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</si>
  <si>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</si>
  <si>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"Пета", с. Малки чифлик</t>
  </si>
  <si>
    <t>Основен ремонт видеонаблюдение</t>
  </si>
  <si>
    <t>Възстановяване на подпорна стена, северно от жилищен блок с адм.адрес: ул. "Симеон Велики" 4</t>
  </si>
  <si>
    <t>Възстановяване на улици в с. Ново село - водостоци, ПМС 92/17.04.2015 г.</t>
  </si>
  <si>
    <t xml:space="preserve"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160/04.08.2017 г. </t>
  </si>
  <si>
    <t>Възтановяване на покрив на Детска градина "Здравец", гр. Велико Търново,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</si>
  <si>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</si>
  <si>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</si>
  <si>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</si>
  <si>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</si>
  <si>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 пътGAB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</si>
  <si>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 xml:space="preserve"> 1/2</t>
  </si>
  <si>
    <t xml:space="preserve">Възстановяване на водосток и общински път GAB 3110 (път ІІІ-303) Керека-граница общини (Дряново - В.Търново) - Шемшево - Велико Търново, в участъка между новостроящ се мост над р. Янтра и гр. Велико Търново по ПМС 250 от 04.09.2020 г.
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</si>
  <si>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</si>
  <si>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</si>
  <si>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</si>
  <si>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</si>
  <si>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</si>
  <si>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Изработване на инвестиционен проект - актуализация на проект "Внедряване на мерки за енергийна ефективност в ОУ "П.Р.Славейков", гр. В. Търново и извършване на енергийно обследване и издаване на сертификат</t>
  </si>
  <si>
    <t xml:space="preserve">Основен ремонт покрив ОУ "П.Р.Славейков", гр. В. Търново </t>
  </si>
  <si>
    <t>Енергийна ефективност ОУ "П.Р.Славейков", гр. В. Търново - собствено участие 315 044 лв. и НДЕФ 621 164 лв.</t>
  </si>
  <si>
    <t>ПМГ "Васил Друмев"  гр. В. Търново -  изграждане на Център за природни науки, изследвания и иновации</t>
  </si>
  <si>
    <t xml:space="preserve">Основен ремонт - изграждане на STEM център за природни науки, изследвания и иновации ОУ "Бачо Киро" </t>
  </si>
  <si>
    <t>Основен ремонт детски площадки ДГ "Св.Св. Кирил и Методий", Велико Търново</t>
  </si>
  <si>
    <t>Основен ремонт покрив ДГ "Соня", Велико Търново</t>
  </si>
  <si>
    <t>Основен ремонт на детска площадка в ДГ "Пламъче", гр. Дебелец</t>
  </si>
  <si>
    <t>Функция 04 Здравеопазване</t>
  </si>
  <si>
    <t>Център за обучение и превенция на зависимости</t>
  </si>
  <si>
    <t>ДЯ "Пролет" - укрепване на северната едноетажна част на сградата</t>
  </si>
  <si>
    <t>Детска площадка КСУД, гр. В. Търново, ул. "Симеон Велики" №3 - ремонт парапет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</si>
  <si>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</si>
  <si>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</si>
  <si>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</si>
  <si>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</si>
  <si>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Подмяна дограма на Клуб на пенсионера и инвалида Кметство с. Балван /30% продажба на общинско имущество/</t>
  </si>
  <si>
    <t>Основен ремонт сгради общинска собственост на територията на кметство с. Хотница - пенсионерски клуб</t>
  </si>
  <si>
    <t>Основен ремонт ЦРДМ с. Хотница - подмяна дограма</t>
  </si>
  <si>
    <t>Основен ремонт КПИ с. Хотница - подова настилка</t>
  </si>
  <si>
    <t>Реновиране и модернизация на материалната база на ЦНСТПЛУИ с. Церова Кория</t>
  </si>
  <si>
    <t>Основен ремонт защитени жилища І и ІІ, гр. Дебелец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</si>
  <si>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</si>
  <si>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</si>
  <si>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площадно пространство с. Присово /30% продажба на общинско имущество</t>
  </si>
  <si>
    <t>Основен ремонт на съществуваща водопроводна мрежа гр. Велико Търново</t>
  </si>
  <si>
    <t>Подмяна на настилка Градски площад, гр. Дебелец</t>
  </si>
  <si>
    <t>Обновяване на детска площадка с. Самоводене</t>
  </si>
  <si>
    <t>Ремонт водопроводна мрежа ул. "Втора", с. Шереметя /30% продажба на общинско имущество/</t>
  </si>
  <si>
    <t>Рехабилитация и модернизация на системи за външно изкуствено осветление в гр. В. Търново  по програма "Възобновяема енергия,енергийна ефективност и енергийна сигурност", Финансов механизъм на Европейското икономическо пространство" 2014-2021, №BGENERGY-2.001-0003-017 /код 97/</t>
  </si>
  <si>
    <t xml:space="preserve">Основен ремонт Улична осветителна мрежа 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</si>
  <si>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</si>
  <si>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</si>
  <si>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Рекултивация на депо за ТБО в с. Шереметя, Община Велико Търново /възстановяване/</t>
  </si>
  <si>
    <t>Основен ремонт багер "Неусон"</t>
  </si>
  <si>
    <t>Ремонт стълбищна мрежа, гр. В. Търново, в т.ч. стълбище към автогара Юг</t>
  </si>
  <si>
    <t>Изграждане на водопровод и канализация на бул. България", гр. В. Търново по ПМС 360/10.12.2020 г., писмо №ФО-70/17.12.2020 г. на МФ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</si>
  <si>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</si>
  <si>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>Арбанаси /в т.ч. 46 171 лева от 30% продажба на общинско имущество/</t>
  </si>
  <si>
    <t>Балван</t>
  </si>
  <si>
    <t>Беляковец /в т.ч. 4 780 лева преходен остатък, 17 221 лева от 30% продажба на общинско имущество/</t>
  </si>
  <si>
    <t xml:space="preserve">Буковец </t>
  </si>
  <si>
    <t>Велчево</t>
  </si>
  <si>
    <t>Ветренци</t>
  </si>
  <si>
    <t>Водолей</t>
  </si>
  <si>
    <t>Дичин /в т.ч.8 898 лева от 30% продажба на общинско имущество/</t>
  </si>
  <si>
    <t>Емен</t>
  </si>
  <si>
    <t>Къпиново  /в т.ч.15 702 лева от 30% продажба на общинско имущество/</t>
  </si>
  <si>
    <t xml:space="preserve">Леденик </t>
  </si>
  <si>
    <t>Малки Чифлик /в т.ч. 197 лева от 30% продажба на общинско имущество/</t>
  </si>
  <si>
    <t>Миндя  /в т.ч.  8 500 лева преходен остатък/</t>
  </si>
  <si>
    <t>Момин сбор</t>
  </si>
  <si>
    <t xml:space="preserve">Никюп </t>
  </si>
  <si>
    <t>Ново село /в т.ч.  19 364 лева от 30% продажба на общинско имущество,  11 000 лева преходен остатък/</t>
  </si>
  <si>
    <t xml:space="preserve">Плаково </t>
  </si>
  <si>
    <t>Присово /в т.ч. 36 432 лева от 30% продажба на общинско имущество/</t>
  </si>
  <si>
    <t>Пушево  /в т.ч. 2550 лева от 30 % продажба на общинско имущество/</t>
  </si>
  <si>
    <t xml:space="preserve">Пчелище </t>
  </si>
  <si>
    <t>Русаля</t>
  </si>
  <si>
    <t>Хотница /в т.ч. 3 270 лева от 30% продажба на общинско имущество/</t>
  </si>
  <si>
    <t>Шереметя /в т.ч. 3 034 лева от 30% продажба на общинско имущество/</t>
  </si>
  <si>
    <t>Шемшево</t>
  </si>
  <si>
    <t>Церова кория</t>
  </si>
  <si>
    <t>Войнежа /в т.ч. 1 398 лева 30% продажба на общинско имущество/</t>
  </si>
  <si>
    <t>Вонеща вода</t>
  </si>
  <si>
    <t xml:space="preserve">Въглевци </t>
  </si>
  <si>
    <t>Габровци  /в т.ч. 2 000 лева преходен остатък,  1 227 лева от 30% продажба на общинско имущество/</t>
  </si>
  <si>
    <t>Големаните</t>
  </si>
  <si>
    <t xml:space="preserve">Райковци </t>
  </si>
  <si>
    <t>Ялово</t>
  </si>
  <si>
    <t>Дебелец</t>
  </si>
  <si>
    <t>Килифарево  /в т.ч. 3 600 лева преходен остатък/</t>
  </si>
  <si>
    <t>Ресен /в т.ч. 70 180 лева от 30% продажба на общинско имущество/</t>
  </si>
  <si>
    <t>Самоводене  /в т.ч. 1 355 лева преходен остатък/</t>
  </si>
  <si>
    <t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</t>
  </si>
  <si>
    <t>Арбанаси</t>
  </si>
  <si>
    <t>Дичин</t>
  </si>
  <si>
    <t>Къпиново</t>
  </si>
  <si>
    <t>Малки Чифлик</t>
  </si>
  <si>
    <t xml:space="preserve">Миндя </t>
  </si>
  <si>
    <t>Присово</t>
  </si>
  <si>
    <t xml:space="preserve">Пушево  </t>
  </si>
  <si>
    <t xml:space="preserve">Хотница </t>
  </si>
  <si>
    <t xml:space="preserve">Шереметя </t>
  </si>
  <si>
    <t xml:space="preserve">Войнежа </t>
  </si>
  <si>
    <t xml:space="preserve">Габровци </t>
  </si>
  <si>
    <t xml:space="preserve">Килифарево </t>
  </si>
  <si>
    <t>Ресен</t>
  </si>
  <si>
    <t xml:space="preserve">Самоводене  </t>
  </si>
  <si>
    <t>Беляковец - ремонт площадно пространство, Програма "Инициативи на местните общности" /в т.ч. 13 264 лв. 30% от продажба на общинско имущество/</t>
  </si>
  <si>
    <t>Функция 07 Почивно дело, култура, религиоз. дейности</t>
  </si>
  <si>
    <t>Сграфито пана - реставрация</t>
  </si>
  <si>
    <t>Направа на подова настилка от дървен "декинг" върху бетонна сцена на Летен театър</t>
  </si>
  <si>
    <t>Основен ремонт сграда Дирекция МДТ, Община Велико Търново, в т.ч. архивни помещения</t>
  </si>
  <si>
    <t>Ремонт на сградата на НЧ "Нива - 1898" Кметство с. Балван /30% продажба на общинско имущество/</t>
  </si>
  <si>
    <t>Основен ремонт сгради общинска собственост на територията на кметство с. Велчево - читалище</t>
  </si>
  <si>
    <t>Момин сбор - ремонт читалище, Програма "Инициативи на местните общности"</t>
  </si>
  <si>
    <t>Ново село - ремонт читалище, Програма "Инициативи на местните общности"</t>
  </si>
  <si>
    <t>Русаля - ремонт читалище, Програма "Инициативи на местните общности"</t>
  </si>
  <si>
    <t>Ветренци - ремонт читалище, Програма "Инициативи на местните общности"</t>
  </si>
  <si>
    <t>Големаните - ремонт читалище, Програма "Инициативи на местните общности"</t>
  </si>
  <si>
    <t>Основен ремонт читалищна библиотека с. Самоводене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</si>
  <si>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</si>
  <si>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</si>
  <si>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</si>
  <si>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Възстановяване на стадион Кметство с. Вонеща вода /в т.ч. 3 630 лева от 30% продажба на общинско имущество/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</si>
  <si>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</si>
  <si>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</si>
  <si>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Енергийна ефективност ХГалерия "Борис Денев" по проект "Изкуство и култура" - Галерия ROBG-576 /код 96/</t>
  </si>
  <si>
    <t>Ремонт на наклонения асансьор в АМР "Царевец"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</si>
  <si>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</si>
  <si>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</si>
  <si>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</si>
  <si>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Основен ремонт на приют за бездомни животни</t>
  </si>
  <si>
    <t>Ремонт на общински път VTR 2016 "/път ІІ-55/- с.Нацовци- с. Големани - Плаково"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</si>
  <si>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</si>
  <si>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</si>
  <si>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</si>
  <si>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</si>
  <si>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</si>
  <si>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Доизграждане на Wi-Fi зона в парк "Св.гора", парк "Колю Фичето", парк "Дружба", свързано с осигуряване на устойчивост на проект WIFI4EU</t>
  </si>
  <si>
    <t>Компютри и хардуер за нуждите на Великотърновски общински съвет</t>
  </si>
  <si>
    <t>Компютърна конфигурация за нуждите на Кметство гр. Дебелец</t>
  </si>
  <si>
    <t>Компютърна конфигурация за нуждите на Кметство с. Ялово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</si>
  <si>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</si>
  <si>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</si>
  <si>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</si>
  <si>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</si>
  <si>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</si>
  <si>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Климатик за нуждите на Кметство с. Ресен</t>
  </si>
  <si>
    <t>Многофункционални устройства, ксерокси за нуждите на Община Велико Търново</t>
  </si>
  <si>
    <t>5204 Придобиване на транспортни средства</t>
  </si>
  <si>
    <t>Високопроходим лек автомобил за нуждите на Общинска администрация</t>
  </si>
  <si>
    <t>5205  Придобиване на стопански инвентар</t>
  </si>
  <si>
    <t>Банкнотоброячни машини за нуждите на дирекция МДТ</t>
  </si>
  <si>
    <t>Мебели за нуждите на Община Велико Търново</t>
  </si>
  <si>
    <t>Системи за видеонаблюдение</t>
  </si>
  <si>
    <t>Система за видеонаблюдение Кметство с. Войнежа 30% продажба на общинско имущество</t>
  </si>
  <si>
    <t>Система за видеонаблюдение Кметство с. Ново село 30% продажба на общинско имущество</t>
  </si>
  <si>
    <t>Система за видеонаблюдение за Паметника на Опълченците Кметство с. Ресен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</si>
  <si>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</si>
  <si>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"Димитър Благоев" и ул. "Васил Коларов" и прилежащите жилищни сгради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</si>
  <si>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</t>
  </si>
  <si>
    <t xml:space="preserve">Възстановяване на разрушен участък от общински път VTR 1010 /републикански път І-5/ - ж.п. гара Дебелец - кв. "Чолаковци", гр. В. Търново при км 0+550 - ПМС 92/17.04.2015 г. и ПМС 160/04.08.2017 г. 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</si>
  <si>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</si>
  <si>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</si>
  <si>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Преносими компютри за нуждите на училищата по писмо на Министерство на финансите  №  ФО-52/02.11.2020 г.</t>
  </si>
  <si>
    <t>ОУ "Бачо Киро" - преносими компютри и многофункционално устройство</t>
  </si>
  <si>
    <t>Настолен компютър ОУ "Патриарх Евтимий"</t>
  </si>
  <si>
    <t>Преносими компютри ОУ "Христо Ботев" с. Ресен</t>
  </si>
  <si>
    <t>СУ "Ем. Станев"- преносими компютри, мултимедиен прожектор и мрежов суич управляем</t>
  </si>
  <si>
    <t>Компютри за нуждите на детските градини</t>
  </si>
  <si>
    <t>Преносим компютър ДГ "Иванка Ботева" - Проект BG05M2ОP001-3.018-0001 „Подкрепа за приобщаващо образование“  СУ "Ем.Станев /код 98/</t>
  </si>
  <si>
    <t>Компютри за нуждите на дирекция ОМДС</t>
  </si>
  <si>
    <t>Мобилен компютър - Проект BG05M2ОP001-3.018-0001 „Подкрепа за приобщаващо образование“ ОУ "Бачо Киро", гр. В. Търново /код 98/</t>
  </si>
  <si>
    <t>Интерактивен мулти-тъч дисплей - Проект BG05M2ОP001-3.018-0001 „Подкрепа за приобщаващо образование“  СУ "Ем.Станев /код 98/</t>
  </si>
  <si>
    <t>Компютри за нуждите на ДГ "Шареният замък", гр. Велико Търново</t>
  </si>
  <si>
    <t>ПЕГ "Асен Златаров",  гр. В. Търново -  интерактивни дисплеи</t>
  </si>
  <si>
    <t>ПЕГ "Асен Златаров",  гр. В. Търново -  Интерактивна система за стерео 3D визуализация</t>
  </si>
  <si>
    <t>Спортно училище "Георги Живков",  гр. Велико Търново - компютърни конфигурации</t>
  </si>
  <si>
    <t>СУ "Вела Благоева" - изграждане на Wi-Fi мрежа</t>
  </si>
  <si>
    <t>ОУО "Колю Фичето" - компютри</t>
  </si>
  <si>
    <t>СУ "Вела Благоева" - преносими компютри</t>
  </si>
  <si>
    <t>ОУ "Петър Берон", гр. Дебелец - Доизграждане на безжична WiFi мрежа</t>
  </si>
  <si>
    <t>ОУ "Христо Ботев" - преносими компютри</t>
  </si>
  <si>
    <t>СУ Вл. Комаров", гр. В. Търново -  технологично оборудване, STEM център</t>
  </si>
  <si>
    <t>ОУ "П.Р.Славейков", с. Церова Кория - преносими компютри</t>
  </si>
  <si>
    <t>ОУ "П.Р.Славейков", гр. Велико Търново  - интерактивен дисплей и преносими компютри по НП "Изграждане на STEM среда"</t>
  </si>
  <si>
    <t>ПМГ "Васил Друмев"  гр. В. Търново -  лаптопи, компютърни конфигурации, интерактивни дисплеи</t>
  </si>
  <si>
    <t>Изграждане на ДГ за 120 места в кв. "Зона - В" "Шарения замък", ПМС 260/24.11.2017 година, ПМС 337/15.10.2021 г. - 800000 лв.</t>
  </si>
  <si>
    <t>Изграждане на ДГ в кв. "Картала", гр. В. Търново</t>
  </si>
  <si>
    <t>Разширение и довършване на съществуваща детска градина в УПИ III 153 А, ДГ „Здравец“-ПМС 315/19.12.2018</t>
  </si>
  <si>
    <t>ПМГ "В. Друмев" - система за видеонаблюдение</t>
  </si>
  <si>
    <t>Контролер Loxone miniserver - ОУ "Бачо Киро", гр. В. Търново</t>
  </si>
  <si>
    <t>Видеотермален дисплей ОУ "Димитър Благоев" , гр. В. Търново</t>
  </si>
  <si>
    <t>СУ "Ем. Станев"- пулт за озвучаване и тонколони</t>
  </si>
  <si>
    <t>СУ "Ем. Станев"- климатични системи</t>
  </si>
  <si>
    <t>Детска площадка в ДГ "Слънчев дом" ПУДООС</t>
  </si>
  <si>
    <t>Детска площадка в ДГ "Звездица", с. Шемшево ПУДООС</t>
  </si>
  <si>
    <t>Детска площадка в ДГ "Соня" по безопасност на движението по пътищата</t>
  </si>
  <si>
    <t>Детска площадка в ДГ "Иванка Ботева" ПУДООС</t>
  </si>
  <si>
    <t>Експериментална оранжерия STEM проект в ОУ "П. Р. Славейков"</t>
  </si>
  <si>
    <t>Доизграждане на система за озвучаване и оповестяване  ОУ "П.Р. Славейков"</t>
  </si>
  <si>
    <t>Дървени съоръжения за обучение и отдих ОУ "Христо Ботев", гр. В. Тъново ПУДООС</t>
  </si>
  <si>
    <t>Система за видеонаблюдение Общежитието към Спортно училище "Георги Живков"</t>
  </si>
  <si>
    <t>Камина за опити - ПХГ "Св.Св. Кирил и Методий"</t>
  </si>
  <si>
    <t>Система за видеонаблюдение СУ "Вела Благоева"</t>
  </si>
  <si>
    <t>ДГ "Пролет" - обновяване на съществуваща детска площадка на открито</t>
  </si>
  <si>
    <t>Климатици за нуждите на детските градини в Община Велико Търново</t>
  </si>
  <si>
    <t>ДГ "Евгения Кисимова" - професионални електрически фурни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</si>
  <si>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</si>
  <si>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</si>
  <si>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</si>
  <si>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"Св.Св. Кирил и Методий" -  професионални пекарна, печка и зеленчукорезачка</t>
  </si>
  <si>
    <t>ДГ "Ален Мак" -  професионална зеленчукорезачка</t>
  </si>
  <si>
    <t>ДГ "Рада Войвода" - сушилня</t>
  </si>
  <si>
    <t>Игрална маса с полета за шах - ПМГ "В. Друмев", гр. Велико Търново, проект Еразъм + /код 96/</t>
  </si>
  <si>
    <t>Мека къща за игра на модули ОУ "Д.Благоев"- Проект BG05M2ОP001-3.018-0001 „Подкрепа за приобщаващо образование“   /код 98/</t>
  </si>
  <si>
    <t>Мебелно оборудване за STEM кабинет в ОУ "П.Р.Славейков"</t>
  </si>
  <si>
    <t>Подопочистващи машини ОУ  "Патриарх Евтимий"</t>
  </si>
  <si>
    <t>Подопочистващи машини ОУ  "П.Р.Славейков""</t>
  </si>
  <si>
    <t>Подопочистваща машина СУ  "В. Благоева"</t>
  </si>
  <si>
    <t>Специализирани сензори за лабораторни упражнения по БЗО и ХООС - ПЕГ "Проф. Асен Златаров", гр. В. Търново</t>
  </si>
  <si>
    <t>Учебни маси с плот за кабинета по химия - ПЕГ "Проф. Асен Златаров", гр. В. Търново</t>
  </si>
  <si>
    <t>ПМГ "В. Друмев" - мебели по НП "Играждане на STEM среда"</t>
  </si>
  <si>
    <t>Компютри за нуждите на детски ясли</t>
  </si>
  <si>
    <t>Компютър за нуждите на здравен медиатор</t>
  </si>
  <si>
    <t>ДЯ "Щастливо детство" - документален скенер</t>
  </si>
  <si>
    <t>Компютри за нуждите на здравните кабинети</t>
  </si>
  <si>
    <t>Климатици за нуждите на Детските ясли на територията на Община Велико Търново</t>
  </si>
  <si>
    <t>Детска площадка КСУД, гр. В. Търново, ул. "Симеон Велики" №3</t>
  </si>
  <si>
    <t>ППР за обновяване и озеленяване на дворно място, гр. В. Търново, ул. "Симеон Велики" №3</t>
  </si>
  <si>
    <t>ДЯ "Слънце" -  детска площадка</t>
  </si>
  <si>
    <t>ДЯ "Зорница", гр. Дебелец -  детска площадка</t>
  </si>
  <si>
    <t>Лек автомобил за нуждите на Детски ясли</t>
  </si>
  <si>
    <t>ДЯ "Мечо Пух" - акордеон</t>
  </si>
  <si>
    <t>ДЯ "Щастливо детство", ДЯ "Пролет", ДЯ "Слънце, ДЯ "Зорница" - професионални сушилни</t>
  </si>
  <si>
    <t>ДЯ Щастливо детство" - бойлер</t>
  </si>
  <si>
    <t>ДЯ "Мечо Пух" - бойлер</t>
  </si>
  <si>
    <t xml:space="preserve"> Компютри за нуждите на Център за социални услуги</t>
  </si>
  <si>
    <t>Компютри за нуждите на ЦНСТ</t>
  </si>
  <si>
    <t>Компютри за нуждите на ЦСРИ</t>
  </si>
  <si>
    <t>Компютри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</si>
  <si>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Компютри по проект "Патронажна грижа + ", ОП "Развитие на човешките ресурси" 2014-2020, №BG05M9OP001-6.002-0077-C01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</si>
  <si>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</si>
  <si>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Компютри по проект "Патронажна грижа за възрастни хора и лица с увреждания в Община Велико Търново" компонент 3, BG05M9OP001-2.101-0077-C01 /код 98/</t>
  </si>
  <si>
    <t>Изграждане на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</si>
  <si>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Оборудване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</si>
  <si>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</si>
  <si>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Дневен център за деца и младежи с увреждания "Дъга", гр. Велико Търново - беседка с ударопоглъщаща настилка</t>
  </si>
  <si>
    <t>Дневен център за деца и младежи с увреждания "Дъга", гр. Велико Търново - климатик</t>
  </si>
  <si>
    <t>Клуб на пенсионера и инвалида, ул. "Краков" 8, гр. В. Търново - климатик</t>
  </si>
  <si>
    <t>ЦНСТ ул. "Цветарска" 14 - слънчеви колектори</t>
  </si>
  <si>
    <t>Специализирано транспортно средство за хора с увреждания по проект "Дневен център за подкрепа на лица с увреждания и техните семейства, вкл. с тежки множествени увреждания, ОП "Развитие на човешките ресурси" 2014-2020, №BG05M9OP001-2.061-0002 /код 98/</t>
  </si>
  <si>
    <t>Товарен автомобил за нуждите на Домашен социален патронаж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</si>
  <si>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</si>
  <si>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</si>
  <si>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Доставка на бяла и черна техника, мебели и обзавеждане за четири броя Център за грижа за лица с умствена изостаналост по проект "Изграждане на комплекс от социални услуги за възрастни" по ОП „Региони в растеж“ 2014-2020г., №BG16RFOP001-5.002-0004-C01 /код 98/</t>
  </si>
  <si>
    <t>Стопански инвентар ДПЛУИ Ц. Кория</t>
  </si>
  <si>
    <t>Фурна за вграждане и съдомиялна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</si>
  <si>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</si>
  <si>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Компютърна конфигурация за нуждите на ОП "Зелени системи"</t>
  </si>
  <si>
    <t>Компютри и хардуер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</si>
  <si>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Пясъкоструй, токрет машина и пердашка за шлайфан бетон за ОП "Зелени системи" за поддръжка и ремонт на елементи на техническата инфраструктура на гр.В. Търново</t>
  </si>
  <si>
    <t>Касети за контейнери</t>
  </si>
  <si>
    <t>Детско съоръжение  Кметство с. Ресен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</si>
  <si>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</si>
  <si>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Автомобил пикап за нуждите на ОП "Зелени системи"</t>
  </si>
  <si>
    <t>Камион до 3,5 тона товароносимост за нуждите на ОП "Зелени системи"</t>
  </si>
  <si>
    <t>Автомобил за нуждите на ОП "Зелени системи"</t>
  </si>
  <si>
    <t>Стопански инвентар за нуждите на ОП "Зелени системи" - Листосъбирач и моторна метла</t>
  </si>
  <si>
    <t>Клонорез за нуждите на Кметство с. Ресен</t>
  </si>
  <si>
    <t>Стопански инвентар Кметство с. Русаля /30% от продажба на общинско имущество/</t>
  </si>
  <si>
    <t>Моторна косачка Кметство с. Русаля /30% от продажба на общинско имущество/</t>
  </si>
  <si>
    <t>Храсторез за нуждите на Кметско наместничество с. Войнежа</t>
  </si>
  <si>
    <t>Стопански инвентар за нуждите на ОП "Зелени системи" за поддръжка и ремонт на елементи на техническата инфраструктура на гр.В. Търново</t>
  </si>
  <si>
    <t xml:space="preserve">Изграждане на детска площадка в междублоково пространство на ул. "Деню Чоканов" №6 </t>
  </si>
  <si>
    <t>Изграждане на детска площадка в междублоково пространство на ул. "Ниш" №6, гр. В. Търново</t>
  </si>
  <si>
    <t>Проект "Килифарево - 2021" по НК "Чиста околна среда" ПУДООС</t>
  </si>
  <si>
    <t>Изграждане на тротоар на ул. "Лазурна"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</si>
  <si>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</si>
  <si>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</si>
  <si>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</si>
  <si>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</si>
  <si>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</si>
  <si>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</si>
  <si>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отводнителен окоп в с. Беляковец улици ОК 74-ОК 75-ОК 76-ОК 10-ОК 11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</si>
  <si>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</si>
  <si>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</si>
  <si>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Парк за отдих в централната част на с. Шемшево, Програма "Инициативи на местните общности" - 30% от продажби на общинско имущество - 10 703 лв.</t>
  </si>
  <si>
    <t>Проект "Чиста и безопасна детска площадка - Здраве в аванс", с. Беляковец ПУДООС</t>
  </si>
  <si>
    <t>Изграждане на подпорна стена и канализация за ново спортно игрище</t>
  </si>
  <si>
    <t xml:space="preserve">Изграждане на нова улична осветителна мрежа </t>
  </si>
  <si>
    <t>Изместване на кабелни линии и трафопост "Ледена пързалка", гр. В. Търново</t>
  </si>
  <si>
    <t>5219 Придобиване на други ДМА</t>
  </si>
  <si>
    <t>ОП "Зелени системи -кабина тип контейнер за каса на тоалетната в парк "Марно поле"</t>
  </si>
  <si>
    <t>Компютри и хардуер за нуждите на ОП "Общинско кабелно радио"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</si>
  <si>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</si>
  <si>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</si>
  <si>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за нуждите на РИМ В. Търново</t>
  </si>
  <si>
    <t>Разработване на електронна система за продажба на музейни билети - РИМ В. Търново</t>
  </si>
  <si>
    <t>Мултимедийна информационна система  по проект "Разширение на Мултимедиен посетителски център "Царевград Търнов" по ОП „Региони в растеж“ 2014-2020г., №BG16RFOP001-1.009-0007 /код 98/</t>
  </si>
  <si>
    <t>Компютри и хардуер по проект "Изкуство и култура" - Галерия ROBG-576 /код 96/</t>
  </si>
  <si>
    <t>Компютри и хардуер за нуждите на РБ "П.Р.Славейков"</t>
  </si>
  <si>
    <t>Покривна преместваема конструкция на сцена на Летен театър</t>
  </si>
  <si>
    <t>Доставка на техническо оборудване - три комплекта чиги за сцена на Летен театър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</si>
  <si>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</si>
  <si>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Климатична инсталация по Проект Енергийна ефективност ХГалерия "Борис Денев" по проект "Изкуство и култура" - Галерия ROBG-576 /код 96/</t>
  </si>
  <si>
    <t>Видеосистеми за видеонаблюдение ХГ "Борис Денев"</t>
  </si>
  <si>
    <t>Принтер 3D за нуждите на РБ "П.Р.Славейков"</t>
  </si>
  <si>
    <t>Фасаден часовник ХГ "Борис Денев", гр. В. Търново</t>
  </si>
  <si>
    <t>Климатици за нуждите РИМ , гр. В. Търново</t>
  </si>
  <si>
    <t>Климатици за нуждите на ДКС "В. Левски"</t>
  </si>
  <si>
    <t>Бариера за нуждите на ДКС "В. Левски"</t>
  </si>
  <si>
    <t>Енергоспестяващи осветителни тела за нуждите на ДКС "В. Левски"</t>
  </si>
  <si>
    <t>Дигитален пункт - ефирно студио за нуждите на ОП "Общинско кабелно радио"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</si>
  <si>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</si>
  <si>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</si>
  <si>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</si>
  <si>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Изграждане на трибуни на футболен терен в района на Спортно училище "Г.Живков", ж.к. "Бузлуджа - ОП "Спотни имоти и прояви"</t>
  </si>
  <si>
    <t>ОП "Спортни имоти и прояви" - роторна машина за почистване от сняг</t>
  </si>
  <si>
    <t>Товаро-пътнически бус за нуждите на РИМ В. Търново</t>
  </si>
  <si>
    <t>Автомобил за нуждите на ОП "Спортни имоти и прояви"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</si>
  <si>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</si>
  <si>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Машина за почистване на книги в РБ "П.Р.Славейков"</t>
  </si>
  <si>
    <t>Аспирация за лабораторията в РИМ</t>
  </si>
  <si>
    <t>Тракторна косачка за нуждите на РИМ В. Търново</t>
  </si>
  <si>
    <t>Стопански инвентар за нуждите на РИМ В. Търново</t>
  </si>
  <si>
    <t>Моторна коса за нуждите на Кметство с. Ресен</t>
  </si>
  <si>
    <t>Стол HOBAX W-900 СУ "Емилиян Станев", гр. В. Търново</t>
  </si>
  <si>
    <t>ОП "Спортни имоти и прояви" - пръскачка за пръскане срeщу вредители и с листни торове</t>
  </si>
  <si>
    <t>Изграждане на спортно игрище, с. Никюп - Програма "Инициативи на местните общности" 2019</t>
  </si>
  <si>
    <t>Изграждане на скулптури "Глухарчета" в открити градски пространства</t>
  </si>
  <si>
    <t>Изграждане на игрище за скейтборд  - ОП "Спортни имоти и прояви"</t>
  </si>
  <si>
    <t>Изграждане на асфалтов пъмп трак в УПИ XI-3779, кв. 237, гр. Велико Търново</t>
  </si>
  <si>
    <t>Изграждане на подход за инвалиди към музей Учредително събрание - РИМ ВТ - Дофинансиране</t>
  </si>
  <si>
    <t>Компютърна конфигурация за нуждите на Младежки дом</t>
  </si>
  <si>
    <t>Компютърна конфигурация за нуждите на Общински приют за бездомни животни</t>
  </si>
  <si>
    <t>Контролен център, паркинг система и информационни табла и зарядна станция и оборудване към нея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</si>
  <si>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</si>
  <si>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</si>
  <si>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</si>
  <si>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</si>
  <si>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</si>
  <si>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Интеграционна платформа за електронна община на Община В.Търново (Платформа eCity)</t>
  </si>
  <si>
    <t xml:space="preserve"> 01- 31.12.2021 година, във връзка с ПМС326/12.10.2021 година /Приложение 2/</t>
  </si>
  <si>
    <t>ПМГ "В. Друмев" - Образователен софтуер за интерактивен дисплей по НП "Играждане на STEM среда"</t>
  </si>
  <si>
    <t xml:space="preserve">СУ "Владимир Комаров" - Образователен софтуер </t>
  </si>
  <si>
    <t>ПЕГ "Проф.д-р Асен Златаров" - Образователен софтуер - трансфер МОН</t>
  </si>
  <si>
    <t>ПМГ "В. Друмев" - Образователен и експериментален софтуер за стереоскопичен лаптоп по НП "Играждане на STEM среда"</t>
  </si>
  <si>
    <t>5309 - Придобиване на други нематериални дълготрайни активи</t>
  </si>
  <si>
    <t>Биофийдбек система за тренировка на фината моторика ДГ "Св.Св. Кирил и Методий" Проект BG05M2ОP001-3.018-0001 „Подкрепа за приобщаващо образование“ /код 98/</t>
  </si>
  <si>
    <t>Софтуери и лицензи в РБ "П.Р. Славейков"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</si>
  <si>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</si>
  <si>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</si>
  <si>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</si>
  <si>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>5500 Капиталови трансфери</t>
  </si>
  <si>
    <t>5501 Капиталови трансфери за нефинансови предприятия</t>
  </si>
  <si>
    <t>Закупуване и доставка на електробуси по проект "Интегриран градски транспорт на гр. Велико Търново по ОП „Региони в растеж“ 2014-2020г. BG16RFOP001-1.009-0005-C01 /код 98/</t>
  </si>
  <si>
    <t>Георги Камарашев</t>
  </si>
  <si>
    <t>Зам. - кмет "Строителство и устройство на територията "</t>
  </si>
  <si>
    <t>инж. Цанко Бояджиев</t>
  </si>
  <si>
    <t>Началник отдел ТИ</t>
  </si>
  <si>
    <t>П. Христов</t>
  </si>
  <si>
    <t>Началник отдел ИТО</t>
  </si>
  <si>
    <t>Приложение № 2</t>
  </si>
  <si>
    <t>Разпределение на средствата по разпоредители с бюджет към Община Велико Търново по ПМС №326/12.10.2021 за периода 01- 31.12.21 г.</t>
  </si>
  <si>
    <t xml:space="preserve">Трансфери за други целеви разходи, предоставени в изпълнение на ПМС № 326 по §§31-18 от ЕБК </t>
  </si>
  <si>
    <t>Допълнителни трансфери по бюджета на общината (в лв.):</t>
  </si>
  <si>
    <t>в т.ч. за изпълнение на мерки във връзка с COVID-19 за субсидиране на пътнически превози по междуселищни автобусни линии в размер до:</t>
  </si>
  <si>
    <t>Общо отчетени разходи към 31.12.2021 г.</t>
  </si>
  <si>
    <t>Остатък</t>
  </si>
  <si>
    <t>параграф</t>
  </si>
  <si>
    <t>Наименование на параграф</t>
  </si>
  <si>
    <t>Община Велико Търново</t>
  </si>
  <si>
    <t xml:space="preserve"> Дирекция ОМДС</t>
  </si>
  <si>
    <t xml:space="preserve"> Дирекция ЦСУ</t>
  </si>
  <si>
    <t xml:space="preserve"> Дирекция  КТМД</t>
  </si>
  <si>
    <t>Кметство с. Ресен</t>
  </si>
  <si>
    <t xml:space="preserve">Кметство гр. Килифарево </t>
  </si>
  <si>
    <t>Кметсво гр. Дебелец</t>
  </si>
  <si>
    <t>ОП Зелени системи</t>
  </si>
  <si>
    <t>ОП Спортни имоти</t>
  </si>
  <si>
    <t xml:space="preserve">   ОП Кабелно радио</t>
  </si>
  <si>
    <t>ОП Реклама</t>
  </si>
  <si>
    <t xml:space="preserve">Младежки дом </t>
  </si>
  <si>
    <t>ДКС "Васил Левски"</t>
  </si>
  <si>
    <t>Заплати и възнаграждения за персонала, нает по трудови и служебни правоотношения</t>
  </si>
  <si>
    <t>0200</t>
  </si>
  <si>
    <t>Други възнаграждения и плащания за персонала</t>
  </si>
  <si>
    <t>0500</t>
  </si>
  <si>
    <t>Задължителни осигурителни вноски от работодатели</t>
  </si>
  <si>
    <t>1000</t>
  </si>
  <si>
    <t>Издръжка</t>
  </si>
  <si>
    <t>1011</t>
  </si>
  <si>
    <t>Храна</t>
  </si>
  <si>
    <t>1012</t>
  </si>
  <si>
    <t>Медикаменти</t>
  </si>
  <si>
    <t>1013</t>
  </si>
  <si>
    <t>Постелен инвентар и облекло</t>
  </si>
  <si>
    <t>1015</t>
  </si>
  <si>
    <t>Материали</t>
  </si>
  <si>
    <t>1016</t>
  </si>
  <si>
    <t>Вода, горива и енергия</t>
  </si>
  <si>
    <t>1020</t>
  </si>
  <si>
    <t>Разходи за външни услуги</t>
  </si>
  <si>
    <t>Разходи</t>
  </si>
  <si>
    <t>5200</t>
  </si>
  <si>
    <t>Придобиване на дълготрайни материални активи</t>
  </si>
  <si>
    <t>Капиталови разходи</t>
  </si>
  <si>
    <t>Всичко разходи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</si>
</sst>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000099"/>
      <name val="Times New Roman Cyr"/>
      <family val="1"/>
      <charset val="204"/>
    </font>
    <font>
      <sz val="11"/>
      <name val="Calibri"/>
      <family val="2"/>
      <scheme val="minor"/>
    </font>
    <font>
      <b/>
      <i/>
      <sz val="18"/>
      <color rgb="FF000099"/>
      <name val="Times New Roman Cyr"/>
      <charset val="204"/>
    </font>
    <font>
      <b/>
      <sz val="12"/>
      <name val="Times New Roman Cyr"/>
      <family val="1"/>
      <charset val="204"/>
    </font>
    <font>
      <sz val="18"/>
      <color theme="1"/>
      <name val="Times New Roman"/>
      <family val="1"/>
      <charset val="204"/>
    </font>
    <font>
      <sz val="11"/>
      <color indexed="8"/>
      <name val="Calibri"/>
      <family val="2"/>
      <charset val="1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 CYR"/>
      <charset val="204"/>
    </font>
    <font>
      <sz val="11"/>
      <color indexed="8"/>
      <name val="Calibri"/>
      <family val="2"/>
      <charset val="204"/>
    </font>
    <font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1" fillId="0" borderId="0"/>
    <xf numFmtId="0" fontId="3" fillId="0" borderId="0"/>
    <xf numFmtId="0" fontId="31" fillId="0" borderId="0"/>
    <xf numFmtId="9" fontId="35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 applyFill="1"/>
    <xf numFmtId="0" fontId="4" fillId="0" borderId="0" xfId="1" applyFont="1" applyFill="1"/>
    <xf numFmtId="3" fontId="4" fillId="0" borderId="0" xfId="1" applyNumberFormat="1" applyFont="1" applyFill="1"/>
    <xf numFmtId="0" fontId="5" fillId="0" borderId="0" xfId="1" applyFont="1" applyFill="1" applyAlignment="1">
      <alignment wrapText="1"/>
    </xf>
    <xf numFmtId="0" fontId="5" fillId="0" borderId="0" xfId="1" applyFont="1" applyFill="1"/>
    <xf numFmtId="0" fontId="2" fillId="0" borderId="0" xfId="1" applyFont="1" applyFill="1"/>
    <xf numFmtId="0" fontId="6" fillId="0" borderId="0" xfId="1" applyFont="1" applyFill="1" applyAlignment="1">
      <alignment wrapText="1"/>
    </xf>
    <xf numFmtId="0" fontId="6" fillId="0" borderId="0" xfId="1" applyFont="1" applyFill="1"/>
    <xf numFmtId="0" fontId="2" fillId="0" borderId="0" xfId="1" applyFont="1" applyFill="1" applyAlignment="1">
      <alignment horizontal="centerContinuous"/>
    </xf>
    <xf numFmtId="3" fontId="2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left"/>
    </xf>
    <xf numFmtId="0" fontId="4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49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3" fontId="5" fillId="0" borderId="0" xfId="0" applyNumberFormat="1" applyFont="1" applyFill="1" applyAlignment="1">
      <alignment wrapText="1"/>
    </xf>
    <xf numFmtId="0" fontId="4" fillId="0" borderId="0" xfId="0" applyFont="1" applyFill="1" applyBorder="1"/>
    <xf numFmtId="0" fontId="9" fillId="0" borderId="0" xfId="0" applyFont="1" applyFill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/>
    <xf numFmtId="0" fontId="2" fillId="0" borderId="0" xfId="0" quotePrefix="1" applyFont="1" applyFill="1" applyBorder="1"/>
    <xf numFmtId="3" fontId="2" fillId="0" borderId="1" xfId="0" applyNumberFormat="1" applyFont="1" applyFill="1" applyBorder="1" applyAlignment="1"/>
    <xf numFmtId="3" fontId="4" fillId="0" borderId="0" xfId="0" applyNumberFormat="1" applyFont="1" applyFill="1" applyBorder="1" applyAlignment="1"/>
    <xf numFmtId="0" fontId="2" fillId="0" borderId="2" xfId="0" applyFont="1" applyFill="1" applyBorder="1"/>
    <xf numFmtId="49" fontId="2" fillId="0" borderId="2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/>
    <xf numFmtId="0" fontId="2" fillId="0" borderId="3" xfId="0" applyFont="1" applyFill="1" applyBorder="1"/>
    <xf numFmtId="49" fontId="2" fillId="0" borderId="3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/>
    <xf numFmtId="0" fontId="2" fillId="0" borderId="4" xfId="0" applyFont="1" applyFill="1" applyBorder="1"/>
    <xf numFmtId="49" fontId="2" fillId="0" borderId="4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/>
    <xf numFmtId="0" fontId="4" fillId="0" borderId="0" xfId="2" applyFont="1" applyFill="1" applyBorder="1"/>
    <xf numFmtId="0" fontId="2" fillId="0" borderId="0" xfId="2" applyFont="1" applyFill="1" applyBorder="1"/>
    <xf numFmtId="0" fontId="2" fillId="0" borderId="0" xfId="2" applyNumberFormat="1" applyFont="1" applyFill="1" applyBorder="1"/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/>
    <xf numFmtId="3" fontId="4" fillId="0" borderId="0" xfId="0" applyNumberFormat="1" applyFont="1" applyFill="1"/>
    <xf numFmtId="0" fontId="2" fillId="0" borderId="4" xfId="0" applyFont="1" applyFill="1" applyBorder="1" applyAlignment="1">
      <alignment horizontal="center"/>
    </xf>
    <xf numFmtId="3" fontId="2" fillId="0" borderId="4" xfId="0" applyNumberFormat="1" applyFont="1" applyFill="1" applyBorder="1"/>
    <xf numFmtId="0" fontId="2" fillId="0" borderId="3" xfId="0" applyFont="1" applyFill="1" applyBorder="1" applyAlignment="1">
      <alignment horizontal="center"/>
    </xf>
    <xf numFmtId="3" fontId="2" fillId="0" borderId="3" xfId="0" applyNumberFormat="1" applyFont="1" applyFill="1" applyBorder="1"/>
    <xf numFmtId="0" fontId="9" fillId="0" borderId="4" xfId="0" applyFont="1" applyFill="1" applyBorder="1"/>
    <xf numFmtId="0" fontId="2" fillId="0" borderId="4" xfId="0" applyNumberFormat="1" applyFont="1" applyFill="1" applyBorder="1"/>
    <xf numFmtId="0" fontId="2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3" fontId="4" fillId="0" borderId="2" xfId="0" applyNumberFormat="1" applyFont="1" applyFill="1" applyBorder="1" applyAlignment="1"/>
    <xf numFmtId="3" fontId="4" fillId="0" borderId="2" xfId="0" applyNumberFormat="1" applyFont="1" applyFill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/>
    <xf numFmtId="3" fontId="2" fillId="0" borderId="0" xfId="0" applyNumberFormat="1" applyFont="1" applyFill="1" applyBorder="1" applyAlignment="1"/>
    <xf numFmtId="0" fontId="2" fillId="0" borderId="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3" fontId="2" fillId="0" borderId="1" xfId="2" applyNumberFormat="1" applyFont="1" applyFill="1" applyBorder="1"/>
    <xf numFmtId="0" fontId="4" fillId="0" borderId="0" xfId="2" applyFont="1" applyFill="1" applyBorder="1" applyAlignment="1">
      <alignment horizontal="center"/>
    </xf>
    <xf numFmtId="3" fontId="4" fillId="0" borderId="0" xfId="2" applyNumberFormat="1" applyFont="1" applyFill="1" applyBorder="1"/>
    <xf numFmtId="0" fontId="2" fillId="0" borderId="4" xfId="2" applyFont="1" applyFill="1" applyBorder="1"/>
    <xf numFmtId="0" fontId="2" fillId="0" borderId="4" xfId="2" applyFont="1" applyFill="1" applyBorder="1" applyAlignment="1">
      <alignment horizontal="center"/>
    </xf>
    <xf numFmtId="3" fontId="2" fillId="0" borderId="4" xfId="2" applyNumberFormat="1" applyFont="1" applyFill="1" applyBorder="1"/>
    <xf numFmtId="0" fontId="4" fillId="0" borderId="0" xfId="0" applyNumberFormat="1" applyFont="1" applyFill="1" applyBorder="1"/>
    <xf numFmtId="0" fontId="4" fillId="0" borderId="0" xfId="0" quotePrefix="1" applyFont="1" applyFill="1" applyBorder="1"/>
    <xf numFmtId="0" fontId="8" fillId="0" borderId="0" xfId="0" applyFont="1" applyFill="1" applyAlignment="1">
      <alignment horizontal="centerContinuous"/>
    </xf>
    <xf numFmtId="0" fontId="9" fillId="0" borderId="0" xfId="1" applyFont="1" applyFill="1"/>
    <xf numFmtId="164" fontId="2" fillId="0" borderId="0" xfId="1" applyNumberFormat="1" applyFont="1" applyFill="1"/>
    <xf numFmtId="164" fontId="4" fillId="0" borderId="0" xfId="1" applyNumberFormat="1" applyFont="1" applyFill="1"/>
    <xf numFmtId="0" fontId="2" fillId="0" borderId="4" xfId="1" applyFont="1" applyFill="1" applyBorder="1"/>
    <xf numFmtId="0" fontId="4" fillId="0" borderId="4" xfId="0" applyFont="1" applyFill="1" applyBorder="1"/>
    <xf numFmtId="164" fontId="2" fillId="0" borderId="4" xfId="1" applyNumberFormat="1" applyFont="1" applyFill="1" applyBorder="1"/>
    <xf numFmtId="0" fontId="2" fillId="0" borderId="0" xfId="1" applyFont="1" applyFill="1" applyBorder="1"/>
    <xf numFmtId="164" fontId="2" fillId="0" borderId="0" xfId="1" applyNumberFormat="1" applyFont="1" applyFill="1" applyBorder="1"/>
    <xf numFmtId="0" fontId="9" fillId="0" borderId="3" xfId="1" applyFont="1" applyFill="1" applyBorder="1"/>
    <xf numFmtId="0" fontId="4" fillId="0" borderId="3" xfId="0" applyFont="1" applyFill="1" applyBorder="1"/>
    <xf numFmtId="0" fontId="2" fillId="0" borderId="3" xfId="1" applyFont="1" applyFill="1" applyBorder="1"/>
    <xf numFmtId="0" fontId="9" fillId="0" borderId="5" xfId="1" applyFont="1" applyFill="1" applyBorder="1"/>
    <xf numFmtId="0" fontId="4" fillId="0" borderId="5" xfId="0" applyFont="1" applyFill="1" applyBorder="1"/>
    <xf numFmtId="0" fontId="2" fillId="0" borderId="5" xfId="1" applyFont="1" applyFill="1" applyBorder="1"/>
    <xf numFmtId="164" fontId="2" fillId="0" borderId="5" xfId="1" applyNumberFormat="1" applyFont="1" applyFill="1" applyBorder="1"/>
    <xf numFmtId="0" fontId="4" fillId="0" borderId="6" xfId="0" applyFont="1" applyFill="1" applyBorder="1"/>
    <xf numFmtId="3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2" fillId="0" borderId="7" xfId="0" applyFont="1" applyFill="1" applyBorder="1" applyAlignment="1">
      <alignment horizontal="centerContinuous"/>
    </xf>
    <xf numFmtId="0" fontId="11" fillId="0" borderId="2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Continuous"/>
    </xf>
    <xf numFmtId="0" fontId="2" fillId="0" borderId="8" xfId="0" applyFont="1" applyFill="1" applyBorder="1" applyAlignment="1">
      <alignment horizontal="centerContinuous"/>
    </xf>
    <xf numFmtId="0" fontId="2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9" xfId="0" applyFont="1" applyFill="1" applyBorder="1" applyAlignment="1"/>
    <xf numFmtId="0" fontId="4" fillId="0" borderId="7" xfId="0" applyFont="1" applyFill="1" applyBorder="1" applyAlignment="1"/>
    <xf numFmtId="0" fontId="8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1" fillId="0" borderId="0" xfId="0" applyFont="1" applyFill="1"/>
    <xf numFmtId="0" fontId="2" fillId="0" borderId="7" xfId="0" applyFont="1" applyFill="1" applyBorder="1"/>
    <xf numFmtId="0" fontId="11" fillId="0" borderId="2" xfId="0" applyFont="1" applyFill="1" applyBorder="1"/>
    <xf numFmtId="0" fontId="2" fillId="0" borderId="8" xfId="0" applyFont="1" applyFill="1" applyBorder="1"/>
    <xf numFmtId="3" fontId="2" fillId="0" borderId="9" xfId="0" applyNumberFormat="1" applyFont="1" applyFill="1" applyBorder="1" applyAlignment="1"/>
    <xf numFmtId="0" fontId="8" fillId="0" borderId="0" xfId="1" applyFont="1" applyFill="1"/>
    <xf numFmtId="0" fontId="8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Fill="1"/>
    <xf numFmtId="0" fontId="5" fillId="0" borderId="0" xfId="0" applyNumberFormat="1" applyFont="1" applyFill="1" applyAlignment="1">
      <alignment wrapText="1"/>
    </xf>
    <xf numFmtId="0" fontId="10" fillId="0" borderId="0" xfId="0" applyFont="1" applyFill="1"/>
    <xf numFmtId="0" fontId="13" fillId="0" borderId="0" xfId="0" applyFont="1" applyFill="1"/>
    <xf numFmtId="0" fontId="4" fillId="0" borderId="0" xfId="0" applyFont="1" applyFill="1" applyAlignment="1"/>
    <xf numFmtId="0" fontId="14" fillId="0" borderId="0" xfId="0" applyFont="1" applyFill="1"/>
    <xf numFmtId="0" fontId="4" fillId="0" borderId="0" xfId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2" fillId="0" borderId="0" xfId="2" applyFont="1" applyFill="1" applyAlignment="1"/>
    <xf numFmtId="0" fontId="10" fillId="0" borderId="0" xfId="2" applyFont="1" applyFill="1" applyAlignment="1"/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4" fillId="0" borderId="0" xfId="3" applyFont="1" applyFill="1" applyAlignment="1">
      <alignment wrapText="1"/>
    </xf>
    <xf numFmtId="0" fontId="4" fillId="0" borderId="0" xfId="3" applyFont="1" applyFill="1"/>
    <xf numFmtId="0" fontId="15" fillId="0" borderId="0" xfId="3" applyFont="1" applyFill="1"/>
    <xf numFmtId="0" fontId="16" fillId="0" borderId="0" xfId="3" applyFont="1" applyFill="1" applyAlignment="1">
      <alignment horizontal="right"/>
    </xf>
    <xf numFmtId="0" fontId="2" fillId="0" borderId="0" xfId="3" applyFont="1" applyFill="1"/>
    <xf numFmtId="0" fontId="2" fillId="0" borderId="0" xfId="3" applyFont="1" applyFill="1" applyAlignment="1">
      <alignment horizontal="centerContinuous"/>
    </xf>
    <xf numFmtId="0" fontId="2" fillId="0" borderId="0" xfId="3" applyNumberFormat="1" applyFont="1" applyFill="1" applyAlignment="1">
      <alignment horizontal="centerContinuous"/>
    </xf>
    <xf numFmtId="0" fontId="2" fillId="0" borderId="9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/>
    </xf>
    <xf numFmtId="0" fontId="2" fillId="0" borderId="9" xfId="3" applyFont="1" applyFill="1" applyBorder="1" applyAlignment="1">
      <alignment horizontal="center" wrapText="1"/>
    </xf>
    <xf numFmtId="3" fontId="2" fillId="0" borderId="9" xfId="3" applyNumberFormat="1" applyFont="1" applyFill="1" applyBorder="1" applyAlignment="1">
      <alignment horizontal="center" wrapText="1"/>
    </xf>
    <xf numFmtId="0" fontId="4" fillId="0" borderId="0" xfId="3" applyFont="1" applyFill="1" applyBorder="1" applyAlignment="1">
      <alignment wrapText="1"/>
    </xf>
    <xf numFmtId="0" fontId="2" fillId="0" borderId="10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/>
    </xf>
    <xf numFmtId="0" fontId="2" fillId="0" borderId="10" xfId="3" applyFont="1" applyFill="1" applyBorder="1" applyAlignment="1">
      <alignment horizontal="center" wrapText="1"/>
    </xf>
    <xf numFmtId="3" fontId="2" fillId="0" borderId="10" xfId="4" applyNumberFormat="1" applyFont="1" applyFill="1" applyBorder="1" applyAlignment="1">
      <alignment horizontal="center" wrapText="1"/>
    </xf>
    <xf numFmtId="3" fontId="2" fillId="0" borderId="10" xfId="4" applyNumberFormat="1" applyFont="1" applyFill="1" applyBorder="1"/>
    <xf numFmtId="0" fontId="2" fillId="0" borderId="0" xfId="3" applyFont="1" applyFill="1" applyBorder="1"/>
    <xf numFmtId="0" fontId="2" fillId="0" borderId="9" xfId="4" applyFont="1" applyFill="1" applyBorder="1" applyAlignment="1">
      <alignment wrapText="1"/>
    </xf>
    <xf numFmtId="3" fontId="2" fillId="0" borderId="9" xfId="4" applyNumberFormat="1" applyFont="1" applyFill="1" applyBorder="1"/>
    <xf numFmtId="0" fontId="4" fillId="0" borderId="0" xfId="3" applyFont="1" applyFill="1" applyBorder="1"/>
    <xf numFmtId="3" fontId="2" fillId="0" borderId="9" xfId="4" applyNumberFormat="1" applyFont="1" applyFill="1" applyBorder="1" applyAlignment="1"/>
    <xf numFmtId="0" fontId="4" fillId="0" borderId="9" xfId="3" applyFont="1" applyFill="1" applyBorder="1" applyAlignment="1">
      <alignment wrapText="1"/>
    </xf>
    <xf numFmtId="0" fontId="4" fillId="0" borderId="9" xfId="3" applyNumberFormat="1" applyFont="1" applyFill="1" applyBorder="1" applyAlignment="1">
      <alignment horizontal="right" wrapText="1"/>
    </xf>
    <xf numFmtId="3" fontId="4" fillId="0" borderId="9" xfId="4" applyNumberFormat="1" applyFont="1" applyFill="1" applyBorder="1" applyAlignment="1"/>
    <xf numFmtId="0" fontId="2" fillId="0" borderId="9" xfId="3" applyFont="1" applyFill="1" applyBorder="1" applyAlignment="1">
      <alignment wrapText="1"/>
    </xf>
    <xf numFmtId="0" fontId="2" fillId="0" borderId="9" xfId="3" applyNumberFormat="1" applyFont="1" applyFill="1" applyBorder="1" applyAlignment="1">
      <alignment horizontal="right" wrapText="1"/>
    </xf>
    <xf numFmtId="0" fontId="2" fillId="0" borderId="9" xfId="4" applyNumberFormat="1" applyFont="1" applyFill="1" applyBorder="1" applyAlignment="1">
      <alignment horizontal="right" wrapText="1"/>
    </xf>
    <xf numFmtId="0" fontId="4" fillId="0" borderId="9" xfId="4" applyFont="1" applyFill="1" applyBorder="1" applyAlignment="1">
      <alignment wrapText="1"/>
    </xf>
    <xf numFmtId="0" fontId="4" fillId="0" borderId="9" xfId="4" applyNumberFormat="1" applyFont="1" applyFill="1" applyBorder="1" applyAlignment="1">
      <alignment horizontal="right" wrapText="1"/>
    </xf>
    <xf numFmtId="0" fontId="4" fillId="0" borderId="9" xfId="5" applyNumberFormat="1" applyFont="1" applyFill="1" applyBorder="1" applyAlignment="1">
      <alignment horizontal="right" wrapText="1"/>
    </xf>
    <xf numFmtId="3" fontId="4" fillId="0" borderId="9" xfId="4" applyNumberFormat="1" applyFont="1" applyFill="1" applyBorder="1"/>
    <xf numFmtId="0" fontId="4" fillId="0" borderId="9" xfId="2" applyFont="1" applyFill="1" applyBorder="1" applyAlignment="1">
      <alignment horizontal="left" wrapText="1"/>
    </xf>
    <xf numFmtId="0" fontId="4" fillId="0" borderId="9" xfId="2" applyNumberFormat="1" applyFont="1" applyFill="1" applyBorder="1" applyAlignment="1">
      <alignment horizontal="right" wrapText="1"/>
    </xf>
    <xf numFmtId="0" fontId="4" fillId="0" borderId="9" xfId="2" applyFont="1" applyFill="1" applyBorder="1" applyAlignment="1">
      <alignment wrapText="1"/>
    </xf>
    <xf numFmtId="3" fontId="4" fillId="0" borderId="9" xfId="4" applyNumberFormat="1" applyFont="1" applyFill="1" applyBorder="1" applyAlignment="1">
      <alignment horizontal="right"/>
    </xf>
    <xf numFmtId="0" fontId="4" fillId="0" borderId="9" xfId="5" applyFont="1" applyFill="1" applyBorder="1" applyAlignment="1">
      <alignment vertical="center" wrapText="1"/>
    </xf>
    <xf numFmtId="0" fontId="4" fillId="0" borderId="3" xfId="5" applyFont="1" applyFill="1" applyBorder="1" applyAlignment="1">
      <alignment vertical="center" wrapText="1"/>
    </xf>
    <xf numFmtId="0" fontId="2" fillId="0" borderId="9" xfId="4" applyFont="1" applyFill="1" applyBorder="1" applyAlignment="1">
      <alignment horizontal="left" wrapText="1"/>
    </xf>
    <xf numFmtId="0" fontId="4" fillId="0" borderId="9" xfId="4" applyFont="1" applyFill="1" applyBorder="1" applyAlignment="1">
      <alignment horizontal="left" wrapText="1"/>
    </xf>
    <xf numFmtId="0" fontId="4" fillId="0" borderId="9" xfId="0" applyFont="1" applyFill="1" applyBorder="1" applyAlignment="1">
      <alignment wrapText="1"/>
    </xf>
    <xf numFmtId="0" fontId="4" fillId="0" borderId="9" xfId="0" applyNumberFormat="1" applyFont="1" applyFill="1" applyBorder="1" applyAlignment="1">
      <alignment horizontal="right" wrapText="1"/>
    </xf>
    <xf numFmtId="0" fontId="8" fillId="0" borderId="9" xfId="4" applyFont="1" applyFill="1" applyBorder="1" applyAlignment="1">
      <alignment wrapText="1"/>
    </xf>
    <xf numFmtId="0" fontId="8" fillId="0" borderId="9" xfId="4" applyNumberFormat="1" applyFont="1" applyFill="1" applyBorder="1" applyAlignment="1">
      <alignment horizontal="right" wrapText="1"/>
    </xf>
    <xf numFmtId="3" fontId="8" fillId="0" borderId="9" xfId="4" applyNumberFormat="1" applyFont="1" applyFill="1" applyBorder="1"/>
    <xf numFmtId="0" fontId="8" fillId="0" borderId="0" xfId="3" applyFont="1" applyFill="1" applyBorder="1"/>
    <xf numFmtId="0" fontId="11" fillId="0" borderId="0" xfId="3" applyFont="1" applyFill="1" applyBorder="1"/>
    <xf numFmtId="0" fontId="8" fillId="0" borderId="9" xfId="3" applyFont="1" applyFill="1" applyBorder="1" applyAlignment="1">
      <alignment wrapText="1"/>
    </xf>
    <xf numFmtId="0" fontId="8" fillId="0" borderId="9" xfId="3" applyNumberFormat="1" applyFont="1" applyFill="1" applyBorder="1" applyAlignment="1">
      <alignment horizontal="right" wrapText="1"/>
    </xf>
    <xf numFmtId="3" fontId="4" fillId="0" borderId="9" xfId="0" applyNumberFormat="1" applyFont="1" applyFill="1" applyBorder="1"/>
    <xf numFmtId="0" fontId="2" fillId="0" borderId="9" xfId="2" applyFont="1" applyFill="1" applyBorder="1" applyAlignment="1">
      <alignment wrapText="1"/>
    </xf>
    <xf numFmtId="0" fontId="2" fillId="0" borderId="9" xfId="2" applyNumberFormat="1" applyFont="1" applyFill="1" applyBorder="1" applyAlignment="1">
      <alignment horizontal="right" wrapText="1"/>
    </xf>
    <xf numFmtId="0" fontId="4" fillId="0" borderId="0" xfId="1" applyFont="1" applyFill="1" applyAlignment="1"/>
    <xf numFmtId="0" fontId="4" fillId="0" borderId="0" xfId="5" applyFont="1" applyFill="1" applyBorder="1" applyAlignment="1">
      <alignment vertical="center" wrapText="1"/>
    </xf>
    <xf numFmtId="0" fontId="4" fillId="0" borderId="0" xfId="6" applyFont="1" applyFill="1" applyAlignment="1"/>
    <xf numFmtId="0" fontId="2" fillId="0" borderId="0" xfId="6" applyFont="1" applyFill="1" applyAlignment="1"/>
    <xf numFmtId="0" fontId="10" fillId="0" borderId="0" xfId="6" applyFont="1" applyFill="1" applyAlignment="1"/>
    <xf numFmtId="0" fontId="2" fillId="0" borderId="0" xfId="6" applyFont="1" applyFill="1" applyBorder="1" applyAlignment="1"/>
    <xf numFmtId="0" fontId="10" fillId="0" borderId="0" xfId="3" applyFont="1" applyFill="1" applyAlignment="1"/>
    <xf numFmtId="0" fontId="4" fillId="0" borderId="0" xfId="3" applyFont="1" applyFill="1" applyAlignment="1"/>
    <xf numFmtId="0" fontId="20" fillId="0" borderId="0" xfId="7" applyFont="1" applyFill="1"/>
    <xf numFmtId="0" fontId="21" fillId="0" borderId="0" xfId="7" applyFont="1" applyFill="1"/>
    <xf numFmtId="0" fontId="22" fillId="0" borderId="0" xfId="7" applyFont="1" applyFill="1"/>
    <xf numFmtId="0" fontId="23" fillId="0" borderId="0" xfId="7" applyFont="1" applyFill="1"/>
    <xf numFmtId="0" fontId="24" fillId="0" borderId="0" xfId="7" applyFont="1" applyFill="1"/>
    <xf numFmtId="0" fontId="25" fillId="0" borderId="0" xfId="7" applyFont="1" applyFill="1"/>
    <xf numFmtId="0" fontId="27" fillId="0" borderId="0" xfId="0" applyFont="1"/>
    <xf numFmtId="0" fontId="2" fillId="0" borderId="0" xfId="7" applyFont="1" applyFill="1" applyAlignment="1">
      <alignment horizontal="centerContinuous"/>
    </xf>
    <xf numFmtId="0" fontId="4" fillId="0" borderId="0" xfId="7" applyFont="1" applyFill="1"/>
    <xf numFmtId="0" fontId="5" fillId="0" borderId="0" xfId="7" applyFont="1" applyFill="1"/>
    <xf numFmtId="0" fontId="27" fillId="0" borderId="0" xfId="0" applyFont="1" applyBorder="1"/>
    <xf numFmtId="0" fontId="2" fillId="0" borderId="0" xfId="7" applyFont="1" applyFill="1"/>
    <xf numFmtId="0" fontId="29" fillId="0" borderId="0" xfId="8" applyFont="1" applyFill="1" applyBorder="1" applyAlignment="1" applyProtection="1">
      <alignment horizontal="center" vertical="center" wrapText="1"/>
    </xf>
    <xf numFmtId="3" fontId="4" fillId="0" borderId="0" xfId="7" applyNumberFormat="1" applyFont="1" applyFill="1"/>
    <xf numFmtId="49" fontId="11" fillId="3" borderId="9" xfId="7" applyNumberFormat="1" applyFont="1" applyFill="1" applyBorder="1" applyAlignment="1">
      <alignment vertical="center" wrapText="1"/>
    </xf>
    <xf numFmtId="49" fontId="2" fillId="3" borderId="7" xfId="7" applyNumberFormat="1" applyFont="1" applyFill="1" applyBorder="1" applyAlignment="1">
      <alignment vertical="center" wrapText="1"/>
    </xf>
    <xf numFmtId="0" fontId="2" fillId="3" borderId="7" xfId="7" applyFont="1" applyFill="1" applyBorder="1" applyAlignment="1">
      <alignment vertical="center" wrapText="1"/>
    </xf>
    <xf numFmtId="0" fontId="2" fillId="3" borderId="9" xfId="7" applyFont="1" applyFill="1" applyBorder="1" applyAlignment="1">
      <alignment vertical="center" wrapText="1"/>
    </xf>
    <xf numFmtId="0" fontId="6" fillId="0" borderId="0" xfId="7" applyFont="1" applyFill="1" applyAlignment="1">
      <alignment horizontal="center"/>
    </xf>
    <xf numFmtId="0" fontId="32" fillId="0" borderId="9" xfId="9" applyFont="1" applyFill="1" applyBorder="1" applyAlignment="1">
      <alignment horizontal="left"/>
    </xf>
    <xf numFmtId="0" fontId="33" fillId="0" borderId="9" xfId="9" applyFont="1" applyFill="1" applyBorder="1" applyAlignment="1">
      <alignment horizontal="left" wrapText="1"/>
    </xf>
    <xf numFmtId="3" fontId="23" fillId="0" borderId="9" xfId="9" applyNumberFormat="1" applyFont="1" applyFill="1" applyBorder="1" applyAlignment="1">
      <alignment horizontal="right"/>
    </xf>
    <xf numFmtId="49" fontId="33" fillId="0" borderId="9" xfId="9" applyNumberFormat="1" applyFont="1" applyFill="1" applyBorder="1" applyAlignment="1">
      <alignment horizontal="left" wrapText="1"/>
    </xf>
    <xf numFmtId="3" fontId="32" fillId="0" borderId="9" xfId="9" applyNumberFormat="1" applyFont="1" applyFill="1" applyBorder="1" applyAlignment="1">
      <alignment horizontal="right"/>
    </xf>
    <xf numFmtId="0" fontId="33" fillId="0" borderId="9" xfId="9" applyFont="1" applyFill="1" applyBorder="1" applyAlignment="1">
      <alignment horizontal="left"/>
    </xf>
    <xf numFmtId="3" fontId="32" fillId="3" borderId="9" xfId="9" applyNumberFormat="1" applyFont="1" applyFill="1" applyBorder="1" applyAlignment="1">
      <alignment horizontal="right"/>
    </xf>
    <xf numFmtId="3" fontId="23" fillId="3" borderId="9" xfId="9" applyNumberFormat="1" applyFont="1" applyFill="1" applyBorder="1" applyAlignment="1">
      <alignment horizontal="right"/>
    </xf>
    <xf numFmtId="0" fontId="21" fillId="0" borderId="9" xfId="9" applyFont="1" applyFill="1" applyBorder="1" applyAlignment="1">
      <alignment horizontal="left"/>
    </xf>
    <xf numFmtId="3" fontId="21" fillId="0" borderId="9" xfId="9" applyNumberFormat="1" applyFont="1" applyFill="1" applyBorder="1" applyAlignment="1">
      <alignment horizontal="right"/>
    </xf>
    <xf numFmtId="3" fontId="22" fillId="0" borderId="9" xfId="9" applyNumberFormat="1" applyFont="1" applyFill="1" applyBorder="1" applyAlignment="1">
      <alignment horizontal="right"/>
    </xf>
    <xf numFmtId="3" fontId="34" fillId="0" borderId="9" xfId="9" applyNumberFormat="1" applyFont="1" applyFill="1" applyBorder="1" applyAlignment="1" applyProtection="1">
      <alignment horizontal="right"/>
    </xf>
    <xf numFmtId="49" fontId="21" fillId="0" borderId="9" xfId="9" applyNumberFormat="1" applyFont="1" applyFill="1" applyBorder="1" applyAlignment="1">
      <alignment horizontal="left" wrapText="1"/>
    </xf>
    <xf numFmtId="3" fontId="34" fillId="0" borderId="11" xfId="8" applyNumberFormat="1" applyFont="1" applyFill="1" applyBorder="1" applyAlignment="1" applyProtection="1">
      <alignment horizontal="right"/>
      <protection locked="0"/>
    </xf>
    <xf numFmtId="0" fontId="21" fillId="0" borderId="9" xfId="9" applyFont="1" applyFill="1" applyBorder="1" applyAlignment="1">
      <alignment horizontal="left" wrapText="1"/>
    </xf>
    <xf numFmtId="0" fontId="32" fillId="0" borderId="9" xfId="7" applyFont="1" applyFill="1" applyBorder="1" applyAlignment="1"/>
    <xf numFmtId="3" fontId="32" fillId="4" borderId="9" xfId="9" applyNumberFormat="1" applyFont="1" applyFill="1" applyBorder="1" applyAlignment="1">
      <alignment horizontal="center"/>
    </xf>
    <xf numFmtId="0" fontId="32" fillId="0" borderId="9" xfId="7" applyFont="1" applyFill="1" applyBorder="1" applyAlignment="1">
      <alignment wrapText="1"/>
    </xf>
    <xf numFmtId="3" fontId="32" fillId="4" borderId="9" xfId="7" applyNumberFormat="1" applyFont="1" applyFill="1" applyBorder="1" applyAlignment="1">
      <alignment horizontal="center"/>
    </xf>
    <xf numFmtId="49" fontId="32" fillId="0" borderId="9" xfId="10" applyNumberFormat="1" applyFont="1" applyFill="1" applyBorder="1" applyAlignment="1">
      <alignment wrapText="1"/>
    </xf>
    <xf numFmtId="3" fontId="32" fillId="5" borderId="9" xfId="7" applyNumberFormat="1" applyFont="1" applyFill="1" applyBorder="1" applyAlignment="1">
      <alignment horizontal="right"/>
    </xf>
    <xf numFmtId="3" fontId="23" fillId="5" borderId="9" xfId="7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NumberFormat="1" applyFont="1" applyFill="1" applyAlignment="1"/>
    <xf numFmtId="0" fontId="16" fillId="0" borderId="0" xfId="0" applyFont="1" applyFill="1"/>
    <xf numFmtId="0" fontId="16" fillId="0" borderId="0" xfId="0" applyNumberFormat="1" applyFont="1" applyFill="1" applyAlignment="1"/>
    <xf numFmtId="0" fontId="36" fillId="0" borderId="0" xfId="0" applyFont="1" applyFill="1"/>
    <xf numFmtId="0" fontId="4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8" fillId="0" borderId="0" xfId="7" applyFont="1" applyFill="1"/>
    <xf numFmtId="0" fontId="4" fillId="0" borderId="1" xfId="2" applyFont="1" applyFill="1" applyBorder="1" applyAlignment="1">
      <alignment wrapText="1"/>
    </xf>
    <xf numFmtId="3" fontId="30" fillId="0" borderId="7" xfId="7" applyNumberFormat="1" applyFont="1" applyFill="1" applyBorder="1" applyAlignment="1">
      <alignment horizontal="center"/>
    </xf>
    <xf numFmtId="3" fontId="30" fillId="0" borderId="8" xfId="7" applyNumberFormat="1" applyFont="1" applyFill="1" applyBorder="1" applyAlignment="1">
      <alignment horizontal="center"/>
    </xf>
    <xf numFmtId="0" fontId="30" fillId="0" borderId="9" xfId="7" applyFont="1" applyFill="1" applyBorder="1" applyAlignment="1">
      <alignment horizontal="center"/>
    </xf>
    <xf numFmtId="0" fontId="30" fillId="0" borderId="9" xfId="7" applyFont="1" applyFill="1" applyBorder="1" applyAlignment="1">
      <alignment horizontal="center" vertical="top"/>
    </xf>
    <xf numFmtId="3" fontId="30" fillId="0" borderId="9" xfId="7" applyNumberFormat="1" applyFont="1" applyFill="1" applyBorder="1" applyAlignment="1">
      <alignment horizontal="center"/>
    </xf>
    <xf numFmtId="0" fontId="26" fillId="2" borderId="7" xfId="8" applyFont="1" applyFill="1" applyBorder="1" applyAlignment="1" applyProtection="1">
      <alignment horizontal="center" vertical="center" wrapText="1"/>
    </xf>
    <xf numFmtId="0" fontId="26" fillId="2" borderId="2" xfId="8" applyFont="1" applyFill="1" applyBorder="1" applyAlignment="1" applyProtection="1">
      <alignment horizontal="center" vertical="center" wrapText="1"/>
    </xf>
    <xf numFmtId="0" fontId="26" fillId="2" borderId="8" xfId="8" applyFont="1" applyFill="1" applyBorder="1" applyAlignment="1" applyProtection="1">
      <alignment horizontal="center" vertical="center" wrapText="1"/>
    </xf>
    <xf numFmtId="0" fontId="26" fillId="2" borderId="9" xfId="8" applyFont="1" applyFill="1" applyBorder="1" applyAlignment="1" applyProtection="1">
      <alignment horizontal="center" vertical="center" wrapText="1"/>
    </xf>
    <xf numFmtId="3" fontId="28" fillId="2" borderId="7" xfId="8" applyNumberFormat="1" applyFont="1" applyFill="1" applyBorder="1" applyAlignment="1" applyProtection="1">
      <alignment horizontal="center" vertical="center"/>
      <protection locked="0"/>
    </xf>
    <xf numFmtId="3" fontId="28" fillId="2" borderId="8" xfId="8" applyNumberFormat="1" applyFont="1" applyFill="1" applyBorder="1" applyAlignment="1" applyProtection="1">
      <alignment horizontal="center" vertical="center"/>
      <protection locked="0"/>
    </xf>
    <xf numFmtId="3" fontId="28" fillId="2" borderId="9" xfId="8" applyNumberFormat="1" applyFont="1" applyFill="1" applyBorder="1" applyAlignment="1" applyProtection="1">
      <alignment horizontal="center" vertical="center"/>
      <protection locked="0"/>
    </xf>
    <xf numFmtId="0" fontId="30" fillId="0" borderId="9" xfId="7" applyFont="1" applyFill="1" applyBorder="1" applyAlignment="1">
      <alignment horizontal="center" wrapText="1"/>
    </xf>
  </cellXfs>
  <cellStyles count="11">
    <cellStyle name="Normal 2 2" xfId="9"/>
    <cellStyle name="Normal 2 3" xfId="8"/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 6" xfId="7"/>
    <cellStyle name="Нормален_ИП-2011г-начална 2" xfId="3"/>
    <cellStyle name="Нормален_Лист1 2" xfId="4"/>
    <cellStyle name="Процент 3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9/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</row>
        <row r="3">
          <cell r="A3" t="str">
            <v>102 Общи служби</v>
          </cell>
        </row>
        <row r="4">
          <cell r="A4" t="str">
            <v>103 Наука</v>
          </cell>
        </row>
        <row r="5">
          <cell r="A5" t="str">
            <v>201 Отбрана</v>
          </cell>
        </row>
        <row r="6">
          <cell r="A6" t="str">
            <v>202 Полиция, вътрешен ред и сигурност</v>
          </cell>
        </row>
        <row r="7">
          <cell r="A7" t="str">
            <v>203 Съдебна власт</v>
          </cell>
        </row>
        <row r="8">
          <cell r="A8" t="str">
            <v>204 Администрация на затворите</v>
          </cell>
        </row>
        <row r="9">
          <cell r="A9" t="str">
            <v>205 Защита на населението, управление и дейности при стихийни бедствия и аварии</v>
          </cell>
        </row>
        <row r="10">
          <cell r="A10" t="str">
            <v>301 Образование</v>
          </cell>
        </row>
        <row r="11">
          <cell r="A11" t="str">
            <v>401 Здравеопазване</v>
          </cell>
        </row>
        <row r="12">
          <cell r="A12" t="str">
            <v>501 Пенсии</v>
          </cell>
        </row>
        <row r="13">
          <cell r="A13" t="str">
            <v>502 Социални помощи и обезщетения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</row>
        <row r="15">
          <cell r="A15" t="str">
            <v>601 Жилищно строителство, благоустройство, комунално стопанство</v>
          </cell>
        </row>
        <row r="16">
          <cell r="A16" t="str">
            <v>602 Опазване на околната среда</v>
          </cell>
        </row>
        <row r="17">
          <cell r="A17" t="str">
            <v>701 Почивно дело</v>
          </cell>
        </row>
        <row r="18">
          <cell r="A18" t="str">
            <v>702 Физическа култура и спорт</v>
          </cell>
        </row>
        <row r="19">
          <cell r="A19" t="str">
            <v>703 Култура</v>
          </cell>
        </row>
        <row r="20">
          <cell r="A20" t="str">
            <v>704 Религиозно дело</v>
          </cell>
        </row>
        <row r="21">
          <cell r="A21" t="str">
            <v>801 Минно дело, горива и енергия</v>
          </cell>
        </row>
        <row r="22">
          <cell r="A22" t="str">
            <v>802 Селско стопанство, горско стопанство, лов и риболов</v>
          </cell>
        </row>
        <row r="23">
          <cell r="A23" t="str">
            <v>803 Транспорт и съобщения</v>
          </cell>
        </row>
        <row r="24">
          <cell r="A24" t="str">
            <v>804 Промишленост и строителство</v>
          </cell>
        </row>
        <row r="25">
          <cell r="A25" t="str">
            <v>805 Туризъм</v>
          </cell>
        </row>
        <row r="26">
          <cell r="A26" t="str">
            <v>806 Други дейности по икономиката</v>
          </cell>
        </row>
        <row r="27">
          <cell r="A27" t="str">
            <v>901 Разходи некласифицирани в другите функции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IR453"/>
  <sheetViews>
    <sheetView tabSelected="1" topLeftCell="A7" workbookViewId="0">
      <selection activeCell="K24" sqref="K24"/>
    </sheetView>
  </sheetViews>
  <sheetFormatPr defaultColWidth="19.42578125" defaultRowHeight="15.75" x14ac:dyDescent="0.25"/>
  <cols>
    <col min="1" max="1" width="7.5703125" style="12" customWidth="1"/>
    <col min="2" max="2" width="11.5703125" style="12" customWidth="1"/>
    <col min="3" max="3" width="14.7109375" style="12" customWidth="1"/>
    <col min="4" max="4" width="24.28515625" style="12" customWidth="1"/>
    <col min="5" max="5" width="19.140625" style="12" customWidth="1"/>
    <col min="6" max="7" width="18.140625" style="12" customWidth="1"/>
    <col min="8" max="9" width="10.85546875" style="12" bestFit="1" customWidth="1"/>
    <col min="10" max="10" width="12.140625" style="12" bestFit="1" customWidth="1"/>
    <col min="11" max="16384" width="19.42578125" style="12"/>
  </cols>
  <sheetData>
    <row r="3" spans="1:8" s="2" customFormat="1" x14ac:dyDescent="0.25">
      <c r="A3" s="1" t="s">
        <v>0</v>
      </c>
      <c r="B3" s="1"/>
      <c r="E3" s="3"/>
      <c r="F3" s="4"/>
      <c r="G3" s="5"/>
      <c r="H3" s="4"/>
    </row>
    <row r="4" spans="1:8" s="6" customFormat="1" x14ac:dyDescent="0.25">
      <c r="A4" s="6" t="s">
        <v>1</v>
      </c>
      <c r="B4" s="2"/>
      <c r="D4" s="2"/>
      <c r="E4" s="3"/>
      <c r="F4" s="7"/>
      <c r="G4" s="8"/>
      <c r="H4" s="7"/>
    </row>
    <row r="5" spans="1:8" s="6" customFormat="1" x14ac:dyDescent="0.25">
      <c r="A5" s="6" t="s">
        <v>2</v>
      </c>
      <c r="B5" s="2"/>
      <c r="D5" s="2"/>
      <c r="E5" s="3"/>
      <c r="F5" s="7"/>
      <c r="G5" s="8"/>
      <c r="H5" s="7"/>
    </row>
    <row r="6" spans="1:8" s="6" customFormat="1" x14ac:dyDescent="0.25">
      <c r="D6" s="2"/>
      <c r="E6" s="3"/>
      <c r="F6" s="7"/>
      <c r="G6" s="8"/>
      <c r="H6" s="7"/>
    </row>
    <row r="7" spans="1:8" s="6" customFormat="1" x14ac:dyDescent="0.25">
      <c r="D7" s="2"/>
      <c r="E7" s="3"/>
      <c r="F7" s="7"/>
      <c r="G7" s="8"/>
      <c r="H7" s="7"/>
    </row>
    <row r="8" spans="1:8" s="6" customFormat="1" x14ac:dyDescent="0.25">
      <c r="A8" s="6" t="s">
        <v>3</v>
      </c>
      <c r="D8" s="2"/>
      <c r="E8" s="3"/>
      <c r="F8" s="7"/>
      <c r="G8" s="8"/>
      <c r="H8" s="7"/>
    </row>
    <row r="9" spans="1:8" s="2" customFormat="1" x14ac:dyDescent="0.25">
      <c r="A9" s="6"/>
      <c r="B9" s="6"/>
      <c r="D9" s="9"/>
      <c r="E9" s="10"/>
      <c r="F9" s="4"/>
      <c r="G9" s="5"/>
      <c r="H9" s="4"/>
    </row>
    <row r="10" spans="1:8" s="6" customFormat="1" x14ac:dyDescent="0.25">
      <c r="D10" s="2"/>
      <c r="E10" s="3"/>
      <c r="F10" s="7"/>
      <c r="G10" s="8"/>
      <c r="H10" s="7"/>
    </row>
    <row r="11" spans="1:8" s="6" customFormat="1" x14ac:dyDescent="0.25">
      <c r="A11" s="11" t="s">
        <v>4</v>
      </c>
      <c r="B11" s="2"/>
      <c r="D11" s="2"/>
      <c r="E11" s="3"/>
      <c r="F11" s="7"/>
      <c r="G11" s="8"/>
      <c r="H11" s="7"/>
    </row>
    <row r="12" spans="1:8" s="2" customFormat="1" x14ac:dyDescent="0.25">
      <c r="A12" s="6"/>
      <c r="E12" s="3"/>
      <c r="F12" s="4"/>
      <c r="G12" s="5"/>
      <c r="H12" s="4"/>
    </row>
    <row r="13" spans="1:8" s="2" customFormat="1" x14ac:dyDescent="0.25">
      <c r="A13" s="6"/>
      <c r="E13" s="3"/>
      <c r="F13" s="4"/>
      <c r="G13" s="5"/>
      <c r="H13" s="4"/>
    </row>
    <row r="14" spans="1:8" s="2" customFormat="1" x14ac:dyDescent="0.25">
      <c r="B14" s="2" t="s">
        <v>5</v>
      </c>
      <c r="E14" s="3"/>
      <c r="F14" s="4"/>
      <c r="G14" s="5"/>
      <c r="H14" s="4"/>
    </row>
    <row r="15" spans="1:8" s="2" customFormat="1" x14ac:dyDescent="0.25">
      <c r="A15" s="2" t="s">
        <v>6</v>
      </c>
      <c r="E15" s="3"/>
      <c r="F15" s="4"/>
      <c r="G15" s="5"/>
      <c r="H15" s="4"/>
    </row>
    <row r="16" spans="1:8" s="2" customFormat="1" x14ac:dyDescent="0.25">
      <c r="E16" s="3"/>
      <c r="F16" s="4"/>
      <c r="G16" s="5"/>
      <c r="H16" s="4"/>
    </row>
    <row r="17" spans="1:11" x14ac:dyDescent="0.25">
      <c r="A17" s="2"/>
      <c r="B17" s="2" t="s">
        <v>7</v>
      </c>
      <c r="D17" s="2"/>
      <c r="E17" s="3"/>
      <c r="F17" s="13"/>
      <c r="G17" s="14"/>
      <c r="H17" s="13"/>
    </row>
    <row r="18" spans="1:11" x14ac:dyDescent="0.25">
      <c r="A18" s="2" t="s">
        <v>8</v>
      </c>
      <c r="D18" s="2"/>
      <c r="E18" s="3"/>
      <c r="F18" s="13"/>
      <c r="G18" s="14"/>
      <c r="H18" s="13"/>
    </row>
    <row r="19" spans="1:11" x14ac:dyDescent="0.25">
      <c r="F19" s="14"/>
      <c r="G19" s="14"/>
      <c r="H19" s="13"/>
    </row>
    <row r="20" spans="1:11" x14ac:dyDescent="0.25">
      <c r="F20" s="14"/>
      <c r="G20" s="14"/>
      <c r="H20" s="13"/>
    </row>
    <row r="21" spans="1:11" s="22" customFormat="1" x14ac:dyDescent="0.25">
      <c r="A21" s="15" t="s">
        <v>9</v>
      </c>
      <c r="B21" s="16"/>
      <c r="C21" s="17"/>
      <c r="D21" s="16"/>
      <c r="E21" s="18"/>
      <c r="F21" s="19"/>
      <c r="G21" s="20"/>
      <c r="H21" s="21"/>
    </row>
    <row r="23" spans="1:11" s="1" customFormat="1" x14ac:dyDescent="0.25">
      <c r="A23" s="23" t="s">
        <v>10</v>
      </c>
      <c r="C23" s="24"/>
      <c r="E23" s="25"/>
      <c r="F23" s="26"/>
      <c r="G23" s="27"/>
      <c r="H23" s="27"/>
      <c r="I23" s="27"/>
      <c r="J23" s="27"/>
      <c r="K23" s="27"/>
    </row>
    <row r="24" spans="1:11" s="1" customFormat="1" x14ac:dyDescent="0.25">
      <c r="A24" s="1" t="s">
        <v>11</v>
      </c>
      <c r="C24" s="24"/>
      <c r="E24" s="25"/>
      <c r="F24" s="28"/>
      <c r="G24" s="29"/>
      <c r="H24" s="29"/>
      <c r="I24" s="29"/>
      <c r="J24" s="29"/>
      <c r="K24" s="29"/>
    </row>
    <row r="25" spans="1:11" s="1" customFormat="1" x14ac:dyDescent="0.25">
      <c r="A25" s="30" t="s">
        <v>12</v>
      </c>
      <c r="B25" s="31"/>
      <c r="C25" s="25"/>
      <c r="D25" s="31"/>
      <c r="E25" s="25"/>
      <c r="F25" s="25"/>
      <c r="G25" s="32"/>
      <c r="H25" s="32"/>
      <c r="I25" s="32"/>
      <c r="J25" s="32"/>
      <c r="K25" s="32"/>
    </row>
    <row r="26" spans="1:11" s="1" customFormat="1" x14ac:dyDescent="0.25">
      <c r="A26" s="30" t="s">
        <v>13</v>
      </c>
      <c r="B26" s="31"/>
      <c r="C26" s="25"/>
      <c r="D26" s="31"/>
      <c r="E26" s="25"/>
      <c r="F26" s="25"/>
      <c r="G26" s="32"/>
      <c r="H26" s="32"/>
      <c r="I26" s="32"/>
      <c r="J26" s="32"/>
      <c r="K26" s="32"/>
    </row>
    <row r="27" spans="1:11" s="1" customFormat="1" x14ac:dyDescent="0.25">
      <c r="A27" s="31" t="s">
        <v>14</v>
      </c>
      <c r="B27" s="22"/>
      <c r="C27" s="26"/>
      <c r="D27" s="22"/>
      <c r="E27" s="33" t="s">
        <v>15</v>
      </c>
      <c r="F27" s="34" t="s">
        <v>16</v>
      </c>
      <c r="G27" s="34" t="s">
        <v>17</v>
      </c>
    </row>
    <row r="28" spans="1:11" s="1" customFormat="1" x14ac:dyDescent="0.25">
      <c r="A28" s="31" t="s">
        <v>18</v>
      </c>
      <c r="B28" s="22"/>
      <c r="C28" s="26"/>
      <c r="D28" s="22"/>
      <c r="E28" s="35" t="s">
        <v>19</v>
      </c>
      <c r="F28" s="36">
        <f t="shared" ref="F28:F39" si="0">G28</f>
        <v>28172</v>
      </c>
      <c r="G28" s="36">
        <f>SUM(G29,G31,G33)</f>
        <v>28172</v>
      </c>
    </row>
    <row r="29" spans="1:11" s="1" customFormat="1" x14ac:dyDescent="0.25">
      <c r="A29" s="22" t="s">
        <v>20</v>
      </c>
      <c r="B29" s="22"/>
      <c r="C29" s="26"/>
      <c r="D29" s="22"/>
      <c r="E29" s="26" t="s">
        <v>21</v>
      </c>
      <c r="F29" s="37">
        <f t="shared" si="0"/>
        <v>19306</v>
      </c>
      <c r="G29" s="37">
        <f>SUM(G30)</f>
        <v>19306</v>
      </c>
    </row>
    <row r="30" spans="1:11" s="1" customFormat="1" x14ac:dyDescent="0.25">
      <c r="A30" s="22" t="s">
        <v>22</v>
      </c>
      <c r="B30" s="22"/>
      <c r="C30" s="26"/>
      <c r="D30" s="22"/>
      <c r="E30" s="25"/>
      <c r="F30" s="37">
        <f t="shared" si="0"/>
        <v>19306</v>
      </c>
      <c r="G30" s="37">
        <v>19306</v>
      </c>
    </row>
    <row r="31" spans="1:11" s="1" customFormat="1" x14ac:dyDescent="0.25">
      <c r="A31" s="22" t="s">
        <v>23</v>
      </c>
      <c r="B31" s="22"/>
      <c r="C31" s="26"/>
      <c r="D31" s="22"/>
      <c r="E31" s="26" t="s">
        <v>24</v>
      </c>
      <c r="F31" s="37">
        <f t="shared" si="0"/>
        <v>8865</v>
      </c>
      <c r="G31" s="37">
        <f>SUM(G32)</f>
        <v>8865</v>
      </c>
    </row>
    <row r="32" spans="1:11" s="1" customFormat="1" x14ac:dyDescent="0.25">
      <c r="A32" s="38" t="s">
        <v>25</v>
      </c>
      <c r="B32" s="22"/>
      <c r="C32" s="26"/>
      <c r="D32" s="22"/>
      <c r="E32" s="25"/>
      <c r="F32" s="37">
        <f t="shared" si="0"/>
        <v>8865</v>
      </c>
      <c r="G32" s="37">
        <v>8865</v>
      </c>
    </row>
    <row r="33" spans="1:7" s="1" customFormat="1" x14ac:dyDescent="0.25">
      <c r="A33" s="22" t="s">
        <v>26</v>
      </c>
      <c r="B33" s="22"/>
      <c r="C33" s="26"/>
      <c r="D33" s="22"/>
      <c r="E33" s="26" t="s">
        <v>27</v>
      </c>
      <c r="F33" s="37">
        <f t="shared" si="0"/>
        <v>1</v>
      </c>
      <c r="G33" s="37">
        <f>SUM(G34)</f>
        <v>1</v>
      </c>
    </row>
    <row r="34" spans="1:7" s="1" customFormat="1" x14ac:dyDescent="0.25">
      <c r="A34" s="38" t="s">
        <v>25</v>
      </c>
      <c r="B34" s="22"/>
      <c r="C34" s="26"/>
      <c r="D34" s="22"/>
      <c r="E34" s="25"/>
      <c r="F34" s="37">
        <f t="shared" si="0"/>
        <v>1</v>
      </c>
      <c r="G34" s="37">
        <v>1</v>
      </c>
    </row>
    <row r="35" spans="1:7" s="1" customFormat="1" x14ac:dyDescent="0.25">
      <c r="A35" s="31" t="s">
        <v>18</v>
      </c>
      <c r="B35" s="22"/>
      <c r="C35" s="26"/>
      <c r="D35" s="22"/>
      <c r="E35" s="35" t="s">
        <v>28</v>
      </c>
      <c r="F35" s="36">
        <f t="shared" si="0"/>
        <v>4188</v>
      </c>
      <c r="G35" s="36">
        <f>SUM(G36)</f>
        <v>4188</v>
      </c>
    </row>
    <row r="36" spans="1:7" s="1" customFormat="1" x14ac:dyDescent="0.25">
      <c r="A36" s="22" t="s">
        <v>29</v>
      </c>
      <c r="B36" s="22"/>
      <c r="C36" s="26"/>
      <c r="D36" s="22"/>
      <c r="E36" s="26" t="s">
        <v>30</v>
      </c>
      <c r="F36" s="37">
        <f t="shared" si="0"/>
        <v>4188</v>
      </c>
      <c r="G36" s="37">
        <f>SUM(G37)</f>
        <v>4188</v>
      </c>
    </row>
    <row r="37" spans="1:7" s="1" customFormat="1" x14ac:dyDescent="0.25">
      <c r="A37" s="38" t="s">
        <v>25</v>
      </c>
      <c r="B37" s="22"/>
      <c r="C37" s="26"/>
      <c r="D37" s="22"/>
      <c r="E37" s="25"/>
      <c r="F37" s="37">
        <f t="shared" si="0"/>
        <v>4188</v>
      </c>
      <c r="G37" s="37">
        <v>4188</v>
      </c>
    </row>
    <row r="38" spans="1:7" s="1" customFormat="1" x14ac:dyDescent="0.25">
      <c r="A38" s="31" t="s">
        <v>31</v>
      </c>
      <c r="B38" s="22"/>
      <c r="C38" s="22"/>
      <c r="D38" s="22"/>
      <c r="E38" s="39">
        <v>3600</v>
      </c>
      <c r="F38" s="40">
        <f t="shared" si="0"/>
        <v>326771</v>
      </c>
      <c r="G38" s="40">
        <f>SUM(G39)</f>
        <v>326771</v>
      </c>
    </row>
    <row r="39" spans="1:7" s="1" customFormat="1" x14ac:dyDescent="0.25">
      <c r="A39" s="22" t="s">
        <v>32</v>
      </c>
      <c r="B39" s="22"/>
      <c r="C39" s="22"/>
      <c r="D39" s="22"/>
      <c r="E39" s="41">
        <v>3619</v>
      </c>
      <c r="F39" s="42">
        <f t="shared" si="0"/>
        <v>326771</v>
      </c>
      <c r="G39" s="42">
        <f>SUM(G40:G41)</f>
        <v>326771</v>
      </c>
    </row>
    <row r="40" spans="1:7" s="1" customFormat="1" x14ac:dyDescent="0.25">
      <c r="A40" s="22" t="s">
        <v>25</v>
      </c>
      <c r="B40" s="22"/>
      <c r="C40" s="22"/>
      <c r="D40" s="22"/>
      <c r="E40" s="41"/>
      <c r="F40" s="42"/>
      <c r="G40" s="42">
        <v>-1</v>
      </c>
    </row>
    <row r="41" spans="1:7" x14ac:dyDescent="0.25">
      <c r="A41" s="22" t="s">
        <v>22</v>
      </c>
      <c r="C41" s="22"/>
      <c r="D41" s="22"/>
      <c r="E41" s="41"/>
      <c r="F41" s="42">
        <f t="shared" ref="F41:F48" si="1">G41</f>
        <v>326772</v>
      </c>
      <c r="G41" s="42">
        <v>326772</v>
      </c>
    </row>
    <row r="42" spans="1:7" s="1" customFormat="1" x14ac:dyDescent="0.25">
      <c r="A42" s="31" t="s">
        <v>33</v>
      </c>
      <c r="B42" s="22"/>
      <c r="C42" s="22"/>
      <c r="D42" s="22"/>
      <c r="E42" s="39">
        <v>3700</v>
      </c>
      <c r="F42" s="40">
        <f t="shared" si="1"/>
        <v>-108</v>
      </c>
      <c r="G42" s="40">
        <f>SUM(G43)</f>
        <v>-108</v>
      </c>
    </row>
    <row r="43" spans="1:7" s="1" customFormat="1" x14ac:dyDescent="0.25">
      <c r="A43" s="22" t="s">
        <v>34</v>
      </c>
      <c r="B43" s="22"/>
      <c r="C43" s="22"/>
      <c r="D43" s="22"/>
      <c r="E43" s="41">
        <v>3702</v>
      </c>
      <c r="F43" s="42">
        <f t="shared" si="1"/>
        <v>-108</v>
      </c>
      <c r="G43" s="42">
        <f>G44</f>
        <v>-108</v>
      </c>
    </row>
    <row r="44" spans="1:7" s="1" customFormat="1" x14ac:dyDescent="0.25">
      <c r="A44" s="22" t="s">
        <v>25</v>
      </c>
      <c r="B44" s="22"/>
      <c r="C44" s="22"/>
      <c r="D44" s="22"/>
      <c r="E44" s="28"/>
      <c r="F44" s="42">
        <f t="shared" si="1"/>
        <v>-108</v>
      </c>
      <c r="G44" s="42">
        <v>-108</v>
      </c>
    </row>
    <row r="45" spans="1:7" s="1" customFormat="1" x14ac:dyDescent="0.25">
      <c r="A45" s="43" t="s">
        <v>35</v>
      </c>
      <c r="B45" s="22"/>
      <c r="C45" s="22"/>
      <c r="D45" s="22"/>
      <c r="E45" s="39">
        <v>4500</v>
      </c>
      <c r="F45" s="44">
        <f t="shared" si="1"/>
        <v>6700</v>
      </c>
      <c r="G45" s="44">
        <f>SUM(,G46)</f>
        <v>6700</v>
      </c>
    </row>
    <row r="46" spans="1:7" s="1" customFormat="1" x14ac:dyDescent="0.25">
      <c r="A46" s="22" t="s">
        <v>36</v>
      </c>
      <c r="B46" s="22"/>
      <c r="C46" s="22"/>
      <c r="D46" s="22"/>
      <c r="E46" s="41">
        <v>4501</v>
      </c>
      <c r="F46" s="45">
        <f t="shared" si="1"/>
        <v>6700</v>
      </c>
      <c r="G46" s="45">
        <f>SUM(G47)</f>
        <v>6700</v>
      </c>
    </row>
    <row r="47" spans="1:7" s="1" customFormat="1" x14ac:dyDescent="0.25">
      <c r="A47" s="22" t="s">
        <v>25</v>
      </c>
      <c r="B47" s="22"/>
      <c r="C47" s="22"/>
      <c r="D47" s="22"/>
      <c r="E47" s="41"/>
      <c r="F47" s="45">
        <f t="shared" si="1"/>
        <v>6700</v>
      </c>
      <c r="G47" s="45">
        <v>6700</v>
      </c>
    </row>
    <row r="48" spans="1:7" s="1" customFormat="1" x14ac:dyDescent="0.25">
      <c r="A48" s="46" t="s">
        <v>37</v>
      </c>
      <c r="B48" s="46"/>
      <c r="C48" s="47"/>
      <c r="D48" s="46"/>
      <c r="E48" s="47"/>
      <c r="F48" s="48">
        <f t="shared" si="1"/>
        <v>337551</v>
      </c>
      <c r="G48" s="48">
        <f>SUM(G35,G38,G42,G45)</f>
        <v>337551</v>
      </c>
    </row>
    <row r="49" spans="1:7" s="1" customFormat="1" x14ac:dyDescent="0.25">
      <c r="A49" s="49"/>
      <c r="B49" s="49"/>
      <c r="C49" s="50"/>
      <c r="D49" s="49"/>
      <c r="E49" s="50"/>
      <c r="F49" s="51"/>
      <c r="G49" s="51"/>
    </row>
    <row r="50" spans="1:7" s="1" customFormat="1" ht="16.5" thickBot="1" x14ac:dyDescent="0.3">
      <c r="A50" s="52" t="s">
        <v>38</v>
      </c>
      <c r="B50" s="52"/>
      <c r="C50" s="53"/>
      <c r="D50" s="52"/>
      <c r="E50" s="53"/>
      <c r="F50" s="54">
        <f>G50</f>
        <v>365723</v>
      </c>
      <c r="G50" s="54">
        <f>SUM(G28,G35,G38,G42,G45)</f>
        <v>365723</v>
      </c>
    </row>
    <row r="51" spans="1:7" s="55" customFormat="1" ht="16.5" thickTop="1" x14ac:dyDescent="0.25">
      <c r="A51" s="31"/>
      <c r="B51" s="22"/>
      <c r="C51" s="26"/>
      <c r="D51" s="22"/>
      <c r="E51" s="1"/>
      <c r="F51" s="1"/>
      <c r="G51" s="1"/>
    </row>
    <row r="52" spans="1:7" s="22" customFormat="1" x14ac:dyDescent="0.25">
      <c r="A52" s="56"/>
      <c r="B52" s="56"/>
      <c r="C52" s="56"/>
      <c r="D52" s="57"/>
      <c r="E52" s="33" t="s">
        <v>15</v>
      </c>
      <c r="F52" s="34" t="s">
        <v>16</v>
      </c>
      <c r="G52" s="34" t="s">
        <v>17</v>
      </c>
    </row>
    <row r="53" spans="1:7" s="22" customFormat="1" x14ac:dyDescent="0.25">
      <c r="A53" s="31" t="s">
        <v>39</v>
      </c>
      <c r="E53" s="39">
        <v>6100</v>
      </c>
      <c r="F53" s="44">
        <f t="shared" ref="F53:F71" si="2">G53</f>
        <v>-337131</v>
      </c>
      <c r="G53" s="44">
        <f>SUM(G54,G58,G61)</f>
        <v>-337131</v>
      </c>
    </row>
    <row r="54" spans="1:7" s="22" customFormat="1" x14ac:dyDescent="0.25">
      <c r="A54" s="22" t="s">
        <v>40</v>
      </c>
      <c r="E54" s="58">
        <v>6101</v>
      </c>
      <c r="F54" s="59">
        <f t="shared" si="2"/>
        <v>-323041</v>
      </c>
      <c r="G54" s="59">
        <f>SUM(G55:G57)</f>
        <v>-323041</v>
      </c>
    </row>
    <row r="55" spans="1:7" s="22" customFormat="1" x14ac:dyDescent="0.25">
      <c r="A55" s="22" t="s">
        <v>22</v>
      </c>
      <c r="E55" s="41"/>
      <c r="F55" s="45">
        <f t="shared" si="2"/>
        <v>-340378</v>
      </c>
      <c r="G55" s="45">
        <v>-340378</v>
      </c>
    </row>
    <row r="56" spans="1:7" s="22" customFormat="1" x14ac:dyDescent="0.25">
      <c r="A56" s="22" t="s">
        <v>41</v>
      </c>
      <c r="E56" s="28"/>
      <c r="F56" s="45">
        <f t="shared" si="2"/>
        <v>11099</v>
      </c>
      <c r="G56" s="45">
        <v>11099</v>
      </c>
    </row>
    <row r="57" spans="1:7" s="31" customFormat="1" x14ac:dyDescent="0.25">
      <c r="A57" s="22" t="s">
        <v>25</v>
      </c>
      <c r="B57" s="22"/>
      <c r="C57" s="22"/>
      <c r="D57" s="22"/>
      <c r="E57" s="28"/>
      <c r="F57" s="45">
        <f t="shared" si="2"/>
        <v>6238</v>
      </c>
      <c r="G57" s="45">
        <v>6238</v>
      </c>
    </row>
    <row r="58" spans="1:7" s="22" customFormat="1" x14ac:dyDescent="0.25">
      <c r="A58" s="22" t="s">
        <v>42</v>
      </c>
      <c r="E58" s="58">
        <v>6102</v>
      </c>
      <c r="F58" s="59">
        <f t="shared" si="2"/>
        <v>-14090</v>
      </c>
      <c r="G58" s="59">
        <f>SUM(G59:G59)</f>
        <v>-14090</v>
      </c>
    </row>
    <row r="59" spans="1:7" s="31" customFormat="1" x14ac:dyDescent="0.25">
      <c r="A59" s="22" t="s">
        <v>25</v>
      </c>
      <c r="B59" s="22"/>
      <c r="C59" s="22"/>
      <c r="D59" s="22"/>
      <c r="E59" s="28"/>
      <c r="F59" s="45">
        <f t="shared" si="2"/>
        <v>-14090</v>
      </c>
      <c r="G59" s="45">
        <v>-14090</v>
      </c>
    </row>
    <row r="60" spans="1:7" s="22" customFormat="1" x14ac:dyDescent="0.25">
      <c r="A60" s="56"/>
      <c r="B60" s="56"/>
      <c r="C60" s="56"/>
      <c r="D60" s="57"/>
      <c r="E60" s="33" t="s">
        <v>15</v>
      </c>
      <c r="F60" s="34" t="s">
        <v>16</v>
      </c>
      <c r="G60" s="34" t="s">
        <v>17</v>
      </c>
    </row>
    <row r="61" spans="1:7" s="22" customFormat="1" x14ac:dyDescent="0.25">
      <c r="A61" s="22" t="s">
        <v>43</v>
      </c>
      <c r="E61" s="58">
        <v>6109</v>
      </c>
      <c r="F61" s="44">
        <f t="shared" si="2"/>
        <v>0</v>
      </c>
      <c r="G61" s="44">
        <f>SUM(G62:G68)</f>
        <v>0</v>
      </c>
    </row>
    <row r="62" spans="1:7" s="1" customFormat="1" x14ac:dyDescent="0.25">
      <c r="A62" s="22" t="s">
        <v>22</v>
      </c>
      <c r="B62" s="22"/>
      <c r="C62" s="22"/>
      <c r="D62" s="22"/>
      <c r="E62" s="41">
        <v>6109</v>
      </c>
      <c r="F62" s="45">
        <f t="shared" si="2"/>
        <v>-19894</v>
      </c>
      <c r="G62" s="45">
        <v>-19894</v>
      </c>
    </row>
    <row r="63" spans="1:7" s="22" customFormat="1" x14ac:dyDescent="0.25">
      <c r="A63" s="22" t="s">
        <v>25</v>
      </c>
      <c r="B63" s="31"/>
      <c r="C63" s="25"/>
      <c r="D63" s="31"/>
      <c r="E63" s="41">
        <v>6109</v>
      </c>
      <c r="F63" s="45">
        <f t="shared" si="2"/>
        <v>18906</v>
      </c>
      <c r="G63" s="45">
        <v>18906</v>
      </c>
    </row>
    <row r="64" spans="1:7" x14ac:dyDescent="0.25">
      <c r="A64" s="38" t="s">
        <v>44</v>
      </c>
      <c r="B64" s="22"/>
      <c r="C64" s="22"/>
      <c r="D64" s="22"/>
      <c r="E64" s="41">
        <v>6109</v>
      </c>
      <c r="F64" s="42">
        <f t="shared" si="2"/>
        <v>-337</v>
      </c>
      <c r="G64" s="60">
        <v>-337</v>
      </c>
    </row>
    <row r="65" spans="1:252" x14ac:dyDescent="0.25">
      <c r="A65" s="38" t="s">
        <v>45</v>
      </c>
      <c r="B65" s="22"/>
      <c r="C65" s="22"/>
      <c r="D65" s="22"/>
      <c r="E65" s="41">
        <v>6109</v>
      </c>
      <c r="F65" s="42">
        <f t="shared" si="2"/>
        <v>-897</v>
      </c>
      <c r="G65" s="60">
        <v>-897</v>
      </c>
    </row>
    <row r="66" spans="1:252" x14ac:dyDescent="0.25">
      <c r="A66" s="38" t="s">
        <v>46</v>
      </c>
      <c r="B66" s="22"/>
      <c r="C66" s="22"/>
      <c r="D66" s="22"/>
      <c r="E66" s="41">
        <v>6109</v>
      </c>
      <c r="F66" s="42">
        <f t="shared" si="2"/>
        <v>-574</v>
      </c>
      <c r="G66" s="60">
        <v>-574</v>
      </c>
    </row>
    <row r="67" spans="1:252" x14ac:dyDescent="0.25">
      <c r="A67" s="38" t="s">
        <v>47</v>
      </c>
      <c r="B67" s="22"/>
      <c r="C67" s="22"/>
      <c r="D67" s="22"/>
      <c r="E67" s="41">
        <v>6109</v>
      </c>
      <c r="F67" s="42">
        <f t="shared" si="2"/>
        <v>1960</v>
      </c>
      <c r="G67" s="60">
        <v>1960</v>
      </c>
    </row>
    <row r="68" spans="1:252" s="1" customFormat="1" x14ac:dyDescent="0.25">
      <c r="A68" s="38" t="s">
        <v>48</v>
      </c>
      <c r="B68" s="22"/>
      <c r="C68" s="22"/>
      <c r="D68" s="22"/>
      <c r="E68" s="41">
        <v>6109</v>
      </c>
      <c r="F68" s="42">
        <f t="shared" si="2"/>
        <v>836</v>
      </c>
      <c r="G68" s="60">
        <v>836</v>
      </c>
    </row>
    <row r="69" spans="1:252" s="1" customFormat="1" x14ac:dyDescent="0.25">
      <c r="A69" s="31" t="s">
        <v>49</v>
      </c>
      <c r="B69" s="31"/>
      <c r="C69" s="25"/>
      <c r="D69" s="31"/>
      <c r="E69" s="35" t="s">
        <v>50</v>
      </c>
      <c r="F69" s="44">
        <f t="shared" si="2"/>
        <v>12007</v>
      </c>
      <c r="G69" s="44">
        <f>SUM(G70)</f>
        <v>12007</v>
      </c>
    </row>
    <row r="70" spans="1:252" s="1" customFormat="1" x14ac:dyDescent="0.25">
      <c r="A70" s="22" t="s">
        <v>51</v>
      </c>
      <c r="B70" s="31"/>
      <c r="C70" s="25"/>
      <c r="D70" s="31"/>
      <c r="E70" s="33" t="s">
        <v>52</v>
      </c>
      <c r="F70" s="59">
        <f t="shared" si="2"/>
        <v>12007</v>
      </c>
      <c r="G70" s="59">
        <f>SUM(G71:G71)</f>
        <v>12007</v>
      </c>
    </row>
    <row r="71" spans="1:252" s="22" customFormat="1" x14ac:dyDescent="0.25">
      <c r="A71" s="22" t="s">
        <v>41</v>
      </c>
      <c r="E71" s="28"/>
      <c r="F71" s="45">
        <f t="shared" si="2"/>
        <v>12007</v>
      </c>
      <c r="G71" s="45">
        <v>12007</v>
      </c>
    </row>
    <row r="72" spans="1:252" s="22" customFormat="1" ht="16.5" thickBot="1" x14ac:dyDescent="0.3">
      <c r="A72" s="52" t="s">
        <v>53</v>
      </c>
      <c r="B72" s="52"/>
      <c r="C72" s="52"/>
      <c r="D72" s="52"/>
      <c r="E72" s="61"/>
      <c r="F72" s="62">
        <f>G72</f>
        <v>-325124</v>
      </c>
      <c r="G72" s="62">
        <f>SUM(G53,G69)</f>
        <v>-325124</v>
      </c>
    </row>
    <row r="73" spans="1:252" ht="16.5" thickTop="1" x14ac:dyDescent="0.25">
      <c r="A73" s="49"/>
      <c r="B73" s="49"/>
      <c r="C73" s="49"/>
      <c r="D73" s="49"/>
      <c r="E73" s="63"/>
      <c r="F73" s="64"/>
      <c r="G73" s="64"/>
    </row>
    <row r="74" spans="1:252" ht="16.5" thickBot="1" x14ac:dyDescent="0.3">
      <c r="A74" s="65" t="s">
        <v>54</v>
      </c>
      <c r="B74" s="52"/>
      <c r="C74" s="52"/>
      <c r="D74" s="66"/>
      <c r="E74" s="61"/>
      <c r="F74" s="62">
        <f>SUM(F50,F72)</f>
        <v>40599</v>
      </c>
      <c r="G74" s="62">
        <f>SUM(G50,G72)</f>
        <v>40599</v>
      </c>
    </row>
    <row r="75" spans="1:252" s="22" customFormat="1" ht="16.5" thickTop="1" x14ac:dyDescent="0.25">
      <c r="A75" s="30"/>
      <c r="B75" s="31"/>
      <c r="C75" s="31"/>
      <c r="D75" s="67"/>
      <c r="E75" s="28"/>
      <c r="F75" s="29"/>
      <c r="G75" s="29"/>
    </row>
    <row r="76" spans="1:252" x14ac:dyDescent="0.25">
      <c r="A76" s="30" t="s">
        <v>55</v>
      </c>
      <c r="B76" s="22"/>
      <c r="C76" s="22"/>
      <c r="D76" s="22"/>
      <c r="E76" s="26"/>
      <c r="F76" s="27"/>
      <c r="G76" s="27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/>
      <c r="CC76" s="22"/>
      <c r="CD76" s="22"/>
      <c r="CE76" s="22"/>
      <c r="CF76" s="22"/>
      <c r="CG76" s="22"/>
      <c r="CH76" s="22"/>
      <c r="CI76" s="22"/>
      <c r="CJ76" s="22"/>
      <c r="CK76" s="22"/>
      <c r="CL76" s="22"/>
      <c r="CM76" s="22"/>
      <c r="CN76" s="22"/>
      <c r="CO76" s="22"/>
      <c r="CP76" s="22"/>
      <c r="CQ76" s="22"/>
      <c r="CR76" s="22"/>
      <c r="CS76" s="22"/>
      <c r="CT76" s="22"/>
      <c r="CU76" s="22"/>
      <c r="CV76" s="22"/>
      <c r="CW76" s="22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2"/>
      <c r="DN76" s="22"/>
      <c r="DO76" s="22"/>
      <c r="DP76" s="22"/>
      <c r="DQ76" s="22"/>
      <c r="DR76" s="22"/>
      <c r="DS76" s="22"/>
      <c r="DT76" s="22"/>
      <c r="DU76" s="22"/>
      <c r="DV76" s="22"/>
      <c r="DW76" s="22"/>
      <c r="DX76" s="22"/>
      <c r="DY76" s="22"/>
      <c r="DZ76" s="22"/>
      <c r="EA76" s="22"/>
      <c r="EB76" s="22"/>
      <c r="EC76" s="22"/>
      <c r="ED76" s="22"/>
      <c r="EE76" s="22"/>
      <c r="EF76" s="22"/>
      <c r="EG76" s="22"/>
      <c r="EH76" s="22"/>
      <c r="EI76" s="22"/>
      <c r="EJ76" s="22"/>
      <c r="EK76" s="22"/>
      <c r="EL76" s="22"/>
      <c r="EM76" s="22"/>
      <c r="EN76" s="22"/>
      <c r="EO76" s="22"/>
      <c r="EP76" s="22"/>
      <c r="EQ76" s="22"/>
      <c r="ER76" s="22"/>
      <c r="ES76" s="22"/>
      <c r="ET76" s="22"/>
      <c r="EU76" s="22"/>
      <c r="EV76" s="22"/>
      <c r="EW76" s="22"/>
      <c r="EX76" s="22"/>
      <c r="EY76" s="22"/>
      <c r="EZ76" s="22"/>
      <c r="FA76" s="22"/>
      <c r="FB76" s="22"/>
      <c r="FC76" s="22"/>
      <c r="FD76" s="22"/>
      <c r="FE76" s="22"/>
      <c r="FF76" s="22"/>
      <c r="FG76" s="22"/>
      <c r="FH76" s="22"/>
      <c r="FI76" s="22"/>
      <c r="FJ76" s="22"/>
      <c r="FK76" s="22"/>
      <c r="FL76" s="22"/>
      <c r="FM76" s="22"/>
      <c r="FN76" s="22"/>
      <c r="FO76" s="22"/>
      <c r="FP76" s="22"/>
      <c r="FQ76" s="22"/>
      <c r="FR76" s="22"/>
      <c r="FS76" s="22"/>
      <c r="FT76" s="22"/>
      <c r="FU76" s="22"/>
      <c r="FV76" s="22"/>
      <c r="FW76" s="22"/>
      <c r="FX76" s="22"/>
      <c r="FY76" s="22"/>
      <c r="FZ76" s="22"/>
      <c r="GA76" s="22"/>
      <c r="GB76" s="22"/>
      <c r="GC76" s="22"/>
      <c r="GD76" s="22"/>
      <c r="GE76" s="22"/>
      <c r="GF76" s="22"/>
      <c r="GG76" s="22"/>
      <c r="GH76" s="22"/>
      <c r="GI76" s="22"/>
      <c r="GJ76" s="22"/>
      <c r="GK76" s="22"/>
      <c r="GL76" s="22"/>
      <c r="GM76" s="22"/>
      <c r="GN76" s="22"/>
      <c r="GO76" s="22"/>
      <c r="GP76" s="22"/>
      <c r="GQ76" s="22"/>
      <c r="GR76" s="22"/>
      <c r="GS76" s="22"/>
      <c r="GT76" s="22"/>
      <c r="GU76" s="22"/>
      <c r="GV76" s="22"/>
      <c r="GW76" s="22"/>
      <c r="GX76" s="22"/>
      <c r="GY76" s="22"/>
      <c r="GZ76" s="22"/>
      <c r="HA76" s="22"/>
      <c r="HB76" s="22"/>
      <c r="HC76" s="22"/>
      <c r="HD76" s="22"/>
      <c r="HE76" s="22"/>
      <c r="HF76" s="22"/>
      <c r="HG76" s="22"/>
      <c r="HH76" s="22"/>
      <c r="HI76" s="22"/>
      <c r="HJ76" s="22"/>
      <c r="HK76" s="22"/>
      <c r="HL76" s="22"/>
      <c r="HM76" s="22"/>
      <c r="HN76" s="22"/>
      <c r="HO76" s="22"/>
      <c r="HP76" s="22"/>
      <c r="HQ76" s="22"/>
      <c r="HR76" s="22"/>
      <c r="HS76" s="22"/>
      <c r="HT76" s="22"/>
      <c r="HU76" s="22"/>
      <c r="HV76" s="22"/>
      <c r="HW76" s="22"/>
      <c r="HX76" s="22"/>
      <c r="HY76" s="22"/>
      <c r="HZ76" s="22"/>
      <c r="IA76" s="22"/>
      <c r="IB76" s="22"/>
      <c r="IC76" s="22"/>
      <c r="ID76" s="22"/>
      <c r="IE76" s="22"/>
      <c r="IF76" s="22"/>
      <c r="IG76" s="22"/>
      <c r="IH76" s="22"/>
      <c r="II76" s="22"/>
      <c r="IJ76" s="22"/>
      <c r="IK76" s="22"/>
      <c r="IL76" s="22"/>
      <c r="IM76" s="22"/>
      <c r="IN76" s="22"/>
      <c r="IO76" s="22"/>
      <c r="IP76" s="22"/>
      <c r="IQ76" s="22"/>
    </row>
    <row r="77" spans="1:252" x14ac:dyDescent="0.25">
      <c r="A77" s="30"/>
      <c r="B77" s="22"/>
      <c r="C77" s="22"/>
      <c r="D77" s="22"/>
      <c r="E77" s="26"/>
      <c r="F77" s="27"/>
      <c r="G77" s="27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2"/>
      <c r="CJ77" s="22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2"/>
      <c r="DN77" s="22"/>
      <c r="DO77" s="22"/>
      <c r="DP77" s="22"/>
      <c r="DQ77" s="22"/>
      <c r="DR77" s="22"/>
      <c r="DS77" s="22"/>
      <c r="DT77" s="22"/>
      <c r="DU77" s="22"/>
      <c r="DV77" s="22"/>
      <c r="DW77" s="22"/>
      <c r="DX77" s="22"/>
      <c r="DY77" s="22"/>
      <c r="DZ77" s="22"/>
      <c r="EA77" s="22"/>
      <c r="EB77" s="22"/>
      <c r="EC77" s="22"/>
      <c r="ED77" s="22"/>
      <c r="EE77" s="22"/>
      <c r="EF77" s="22"/>
      <c r="EG77" s="22"/>
      <c r="EH77" s="22"/>
      <c r="EI77" s="22"/>
      <c r="EJ77" s="22"/>
      <c r="EK77" s="22"/>
      <c r="EL77" s="22"/>
      <c r="EM77" s="22"/>
      <c r="EN77" s="22"/>
      <c r="EO77" s="22"/>
      <c r="EP77" s="22"/>
      <c r="EQ77" s="22"/>
      <c r="ER77" s="22"/>
      <c r="ES77" s="22"/>
      <c r="ET77" s="22"/>
      <c r="EU77" s="22"/>
      <c r="EV77" s="22"/>
      <c r="EW77" s="22"/>
      <c r="EX77" s="22"/>
      <c r="EY77" s="22"/>
      <c r="EZ77" s="22"/>
      <c r="FA77" s="22"/>
      <c r="FB77" s="22"/>
      <c r="FC77" s="22"/>
      <c r="FD77" s="22"/>
      <c r="FE77" s="22"/>
      <c r="FF77" s="22"/>
      <c r="FG77" s="22"/>
      <c r="FH77" s="22"/>
      <c r="FI77" s="22"/>
      <c r="FJ77" s="22"/>
      <c r="FK77" s="22"/>
      <c r="FL77" s="22"/>
      <c r="FM77" s="22"/>
      <c r="FN77" s="22"/>
      <c r="FO77" s="22"/>
      <c r="FP77" s="22"/>
      <c r="FQ77" s="22"/>
      <c r="FR77" s="22"/>
      <c r="FS77" s="22"/>
      <c r="FT77" s="22"/>
      <c r="FU77" s="22"/>
      <c r="FV77" s="22"/>
      <c r="FW77" s="22"/>
      <c r="FX77" s="22"/>
      <c r="FY77" s="22"/>
      <c r="FZ77" s="22"/>
      <c r="GA77" s="22"/>
      <c r="GB77" s="22"/>
      <c r="GC77" s="22"/>
      <c r="GD77" s="22"/>
      <c r="GE77" s="22"/>
      <c r="GF77" s="22"/>
      <c r="GG77" s="22"/>
      <c r="GH77" s="22"/>
      <c r="GI77" s="22"/>
      <c r="GJ77" s="22"/>
      <c r="GK77" s="22"/>
      <c r="GL77" s="22"/>
      <c r="GM77" s="22"/>
      <c r="GN77" s="22"/>
      <c r="GO77" s="22"/>
      <c r="GP77" s="22"/>
      <c r="GQ77" s="22"/>
      <c r="GR77" s="22"/>
      <c r="GS77" s="22"/>
      <c r="GT77" s="22"/>
      <c r="GU77" s="22"/>
      <c r="GV77" s="22"/>
      <c r="GW77" s="22"/>
      <c r="GX77" s="22"/>
      <c r="GY77" s="22"/>
      <c r="GZ77" s="22"/>
      <c r="HA77" s="22"/>
      <c r="HB77" s="22"/>
      <c r="HC77" s="22"/>
      <c r="HD77" s="22"/>
      <c r="HE77" s="22"/>
      <c r="HF77" s="22"/>
      <c r="HG77" s="22"/>
      <c r="HH77" s="22"/>
      <c r="HI77" s="22"/>
      <c r="HJ77" s="22"/>
      <c r="HK77" s="22"/>
      <c r="HL77" s="22"/>
      <c r="HM77" s="22"/>
      <c r="HN77" s="22"/>
      <c r="HO77" s="22"/>
      <c r="HP77" s="22"/>
      <c r="HQ77" s="22"/>
      <c r="HR77" s="22"/>
      <c r="HS77" s="22"/>
      <c r="HT77" s="22"/>
      <c r="HU77" s="22"/>
      <c r="HV77" s="22"/>
      <c r="HW77" s="22"/>
      <c r="HX77" s="22"/>
      <c r="HY77" s="22"/>
      <c r="HZ77" s="22"/>
      <c r="IA77" s="22"/>
      <c r="IB77" s="22"/>
      <c r="IC77" s="22"/>
      <c r="ID77" s="22"/>
      <c r="IE77" s="22"/>
      <c r="IF77" s="22"/>
      <c r="IG77" s="22"/>
      <c r="IH77" s="22"/>
      <c r="II77" s="22"/>
      <c r="IJ77" s="22"/>
      <c r="IK77" s="22"/>
      <c r="IL77" s="22"/>
      <c r="IM77" s="22"/>
      <c r="IN77" s="22"/>
      <c r="IO77" s="22"/>
      <c r="IP77" s="22"/>
      <c r="IQ77" s="22"/>
    </row>
    <row r="78" spans="1:252" x14ac:dyDescent="0.25">
      <c r="A78" s="30" t="s">
        <v>56</v>
      </c>
      <c r="B78" s="22"/>
      <c r="C78" s="22"/>
      <c r="D78" s="22"/>
      <c r="E78" s="33" t="s">
        <v>15</v>
      </c>
      <c r="F78" s="34" t="s">
        <v>16</v>
      </c>
      <c r="G78" s="34" t="s">
        <v>17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</row>
    <row r="79" spans="1:252" x14ac:dyDescent="0.25">
      <c r="A79" s="31" t="s">
        <v>57</v>
      </c>
      <c r="B79" s="22"/>
      <c r="C79" s="22"/>
      <c r="D79" s="22"/>
      <c r="E79" s="35" t="s">
        <v>58</v>
      </c>
      <c r="F79" s="40">
        <f t="shared" ref="F79:F86" si="3">SUM(G79)</f>
        <v>16550</v>
      </c>
      <c r="G79" s="40">
        <f>SUM(G80)</f>
        <v>16550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</row>
    <row r="80" spans="1:252" x14ac:dyDescent="0.25">
      <c r="A80" s="22" t="s">
        <v>59</v>
      </c>
      <c r="B80" s="22"/>
      <c r="C80" s="22"/>
      <c r="D80" s="22"/>
      <c r="E80" s="26" t="s">
        <v>60</v>
      </c>
      <c r="F80" s="42">
        <f t="shared" si="3"/>
        <v>16550</v>
      </c>
      <c r="G80" s="42">
        <v>16550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</row>
    <row r="81" spans="1:251" x14ac:dyDescent="0.25">
      <c r="A81" s="31" t="s">
        <v>61</v>
      </c>
      <c r="B81" s="22"/>
      <c r="C81" s="22"/>
      <c r="D81" s="22"/>
      <c r="E81" s="39">
        <v>1300</v>
      </c>
      <c r="F81" s="40">
        <f t="shared" si="3"/>
        <v>2240841</v>
      </c>
      <c r="G81" s="40">
        <f>SUM(G82:G85)</f>
        <v>2240841</v>
      </c>
    </row>
    <row r="82" spans="1:251" x14ac:dyDescent="0.25">
      <c r="A82" s="22" t="s">
        <v>62</v>
      </c>
      <c r="B82" s="22"/>
      <c r="C82" s="22"/>
      <c r="D82" s="22"/>
      <c r="E82" s="41">
        <v>1301</v>
      </c>
      <c r="F82" s="42">
        <f t="shared" si="3"/>
        <v>451030</v>
      </c>
      <c r="G82" s="42">
        <v>451030</v>
      </c>
    </row>
    <row r="83" spans="1:251" x14ac:dyDescent="0.25">
      <c r="A83" s="22" t="s">
        <v>63</v>
      </c>
      <c r="B83" s="22"/>
      <c r="C83" s="22"/>
      <c r="D83" s="22"/>
      <c r="E83" s="41">
        <v>1303</v>
      </c>
      <c r="F83" s="42">
        <f t="shared" si="3"/>
        <v>507541</v>
      </c>
      <c r="G83" s="42">
        <v>507541</v>
      </c>
    </row>
    <row r="84" spans="1:251" x14ac:dyDescent="0.25">
      <c r="A84" s="22" t="s">
        <v>64</v>
      </c>
      <c r="B84" s="22"/>
      <c r="C84" s="22"/>
      <c r="D84" s="22"/>
      <c r="E84" s="41">
        <v>1304</v>
      </c>
      <c r="F84" s="42">
        <f t="shared" si="3"/>
        <v>1291245</v>
      </c>
      <c r="G84" s="42">
        <v>1291245</v>
      </c>
    </row>
    <row r="85" spans="1:251" x14ac:dyDescent="0.25">
      <c r="A85" s="22" t="s">
        <v>65</v>
      </c>
      <c r="B85" s="22"/>
      <c r="C85" s="22"/>
      <c r="D85" s="22"/>
      <c r="E85" s="41">
        <v>1308</v>
      </c>
      <c r="F85" s="42">
        <f t="shared" si="3"/>
        <v>-8975</v>
      </c>
      <c r="G85" s="42">
        <v>-8975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</row>
    <row r="86" spans="1:251" ht="16.5" thickBot="1" x14ac:dyDescent="0.3">
      <c r="A86" s="52" t="s">
        <v>66</v>
      </c>
      <c r="B86" s="52"/>
      <c r="C86" s="52"/>
      <c r="D86" s="66"/>
      <c r="E86" s="61"/>
      <c r="F86" s="62">
        <f t="shared" si="3"/>
        <v>2257391</v>
      </c>
      <c r="G86" s="62">
        <f>SUM(G79,G81)</f>
        <v>2257391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</row>
    <row r="87" spans="1:251" s="1" customFormat="1" ht="16.5" thickTop="1" x14ac:dyDescent="0.25">
      <c r="A87" s="31"/>
      <c r="B87" s="31"/>
      <c r="C87" s="31"/>
      <c r="D87" s="67"/>
      <c r="E87" s="28"/>
      <c r="F87" s="29"/>
      <c r="G87" s="29"/>
    </row>
    <row r="88" spans="1:251" s="1" customFormat="1" x14ac:dyDescent="0.25">
      <c r="A88" s="31" t="s">
        <v>14</v>
      </c>
      <c r="B88" s="22"/>
      <c r="C88" s="26"/>
      <c r="D88" s="22"/>
      <c r="E88" s="33" t="s">
        <v>15</v>
      </c>
      <c r="F88" s="34" t="s">
        <v>16</v>
      </c>
      <c r="G88" s="34" t="s">
        <v>17</v>
      </c>
    </row>
    <row r="89" spans="1:251" s="1" customFormat="1" x14ac:dyDescent="0.25">
      <c r="A89" s="31"/>
      <c r="B89" s="22"/>
      <c r="C89" s="26"/>
      <c r="D89" s="22"/>
      <c r="E89" s="33"/>
      <c r="F89" s="34"/>
      <c r="G89" s="34"/>
    </row>
    <row r="90" spans="1:251" s="1" customFormat="1" x14ac:dyDescent="0.25">
      <c r="A90" s="31" t="s">
        <v>67</v>
      </c>
      <c r="B90" s="22"/>
      <c r="C90" s="26"/>
      <c r="D90" s="22"/>
      <c r="E90" s="35" t="s">
        <v>19</v>
      </c>
      <c r="F90" s="36">
        <f>SUM(G90)</f>
        <v>149249</v>
      </c>
      <c r="G90" s="36">
        <f>SUM(G91,G96,G97,G98,G101,G95)</f>
        <v>149249</v>
      </c>
    </row>
    <row r="91" spans="1:251" s="22" customFormat="1" x14ac:dyDescent="0.25">
      <c r="A91" s="22" t="s">
        <v>68</v>
      </c>
      <c r="C91" s="26"/>
      <c r="E91" s="41">
        <v>2404</v>
      </c>
      <c r="F91" s="37">
        <f>SUM(G91)</f>
        <v>-48460</v>
      </c>
      <c r="G91" s="37">
        <f>SUM(G92:G94)</f>
        <v>-48460</v>
      </c>
    </row>
    <row r="92" spans="1:251" s="22" customFormat="1" x14ac:dyDescent="0.25">
      <c r="A92" s="22" t="s">
        <v>22</v>
      </c>
      <c r="E92" s="68">
        <v>2404</v>
      </c>
      <c r="F92" s="45">
        <f>SUM(G92)</f>
        <v>-53932</v>
      </c>
      <c r="G92" s="45">
        <v>-53932</v>
      </c>
    </row>
    <row r="93" spans="1:251" s="1" customFormat="1" x14ac:dyDescent="0.25">
      <c r="A93" s="22" t="s">
        <v>41</v>
      </c>
      <c r="B93" s="22"/>
      <c r="C93" s="22"/>
      <c r="D93" s="22"/>
      <c r="E93" s="68">
        <v>2404</v>
      </c>
      <c r="F93" s="45">
        <f>SUM(G93)</f>
        <v>4930</v>
      </c>
      <c r="G93" s="45">
        <v>4930</v>
      </c>
    </row>
    <row r="94" spans="1:251" s="1" customFormat="1" x14ac:dyDescent="0.25">
      <c r="A94" s="22" t="s">
        <v>25</v>
      </c>
      <c r="B94" s="31"/>
      <c r="C94" s="25"/>
      <c r="D94" s="31"/>
      <c r="E94" s="69" t="s">
        <v>69</v>
      </c>
      <c r="F94" s="45">
        <f>SUM(G94)</f>
        <v>542</v>
      </c>
      <c r="G94" s="45">
        <v>542</v>
      </c>
    </row>
    <row r="95" spans="1:251" s="1" customFormat="1" x14ac:dyDescent="0.25">
      <c r="A95" s="22" t="s">
        <v>20</v>
      </c>
      <c r="B95" s="22"/>
      <c r="C95" s="26"/>
      <c r="D95" s="22"/>
      <c r="E95" s="26" t="s">
        <v>21</v>
      </c>
      <c r="F95" s="37">
        <f>G95</f>
        <v>127620</v>
      </c>
      <c r="G95" s="37">
        <v>127620</v>
      </c>
    </row>
    <row r="96" spans="1:251" s="1" customFormat="1" x14ac:dyDescent="0.25">
      <c r="A96" s="22" t="s">
        <v>70</v>
      </c>
      <c r="B96" s="22"/>
      <c r="C96" s="26"/>
      <c r="D96" s="22"/>
      <c r="E96" s="41">
        <v>2406</v>
      </c>
      <c r="F96" s="37">
        <f t="shared" ref="F96:F126" si="4">SUM(G96)</f>
        <v>75822</v>
      </c>
      <c r="G96" s="45">
        <v>75822</v>
      </c>
    </row>
    <row r="97" spans="1:252" s="1" customFormat="1" x14ac:dyDescent="0.25">
      <c r="A97" s="22" t="s">
        <v>71</v>
      </c>
      <c r="B97" s="22"/>
      <c r="C97" s="26"/>
      <c r="D97" s="22"/>
      <c r="E97" s="41">
        <v>2407</v>
      </c>
      <c r="F97" s="45">
        <f t="shared" si="4"/>
        <v>-3927</v>
      </c>
      <c r="G97" s="45">
        <v>-3927</v>
      </c>
    </row>
    <row r="98" spans="1:252" s="22" customFormat="1" x14ac:dyDescent="0.25">
      <c r="A98" s="22" t="s">
        <v>26</v>
      </c>
      <c r="C98" s="26"/>
      <c r="E98" s="41">
        <v>2408</v>
      </c>
      <c r="F98" s="37">
        <f t="shared" si="4"/>
        <v>-1808</v>
      </c>
      <c r="G98" s="37">
        <f>SUM(G99:G100)</f>
        <v>-1808</v>
      </c>
    </row>
    <row r="99" spans="1:252" s="1" customFormat="1" x14ac:dyDescent="0.25">
      <c r="A99" s="22" t="s">
        <v>22</v>
      </c>
      <c r="B99" s="22"/>
      <c r="C99" s="22"/>
      <c r="D99" s="22"/>
      <c r="E99" s="68">
        <v>2408</v>
      </c>
      <c r="F99" s="45">
        <f t="shared" si="4"/>
        <v>-1810</v>
      </c>
      <c r="G99" s="45">
        <v>-1810</v>
      </c>
    </row>
    <row r="100" spans="1:252" x14ac:dyDescent="0.25">
      <c r="A100" s="22" t="s">
        <v>72</v>
      </c>
      <c r="B100" s="31"/>
      <c r="C100" s="25"/>
      <c r="D100" s="31"/>
      <c r="E100" s="69">
        <v>2408</v>
      </c>
      <c r="F100" s="45">
        <f t="shared" si="4"/>
        <v>2</v>
      </c>
      <c r="G100" s="45">
        <v>2</v>
      </c>
    </row>
    <row r="101" spans="1:252" x14ac:dyDescent="0.25">
      <c r="A101" s="22" t="s">
        <v>73</v>
      </c>
      <c r="B101" s="22"/>
      <c r="C101" s="26"/>
      <c r="D101" s="22"/>
      <c r="E101" s="26" t="s">
        <v>74</v>
      </c>
      <c r="F101" s="45">
        <f t="shared" si="4"/>
        <v>2</v>
      </c>
      <c r="G101" s="45">
        <v>2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</row>
    <row r="102" spans="1:252" x14ac:dyDescent="0.25">
      <c r="A102" s="22" t="s">
        <v>18</v>
      </c>
      <c r="B102" s="22"/>
      <c r="C102" s="26"/>
      <c r="D102" s="22"/>
      <c r="E102" s="35" t="s">
        <v>28</v>
      </c>
      <c r="F102" s="44">
        <f t="shared" si="4"/>
        <v>944263</v>
      </c>
      <c r="G102" s="44">
        <f>SUM(G103:G112)</f>
        <v>944263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</row>
    <row r="103" spans="1:252" x14ac:dyDescent="0.25">
      <c r="A103" s="22" t="s">
        <v>75</v>
      </c>
      <c r="B103" s="22"/>
      <c r="C103" s="22"/>
      <c r="D103" s="22"/>
      <c r="E103" s="41">
        <v>2701</v>
      </c>
      <c r="F103" s="42">
        <f t="shared" si="4"/>
        <v>-68357</v>
      </c>
      <c r="G103" s="42">
        <v>-68357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</row>
    <row r="104" spans="1:252" x14ac:dyDescent="0.25">
      <c r="A104" s="22" t="s">
        <v>76</v>
      </c>
      <c r="B104" s="22"/>
      <c r="C104" s="22"/>
      <c r="D104" s="22"/>
      <c r="E104" s="41">
        <v>2702</v>
      </c>
      <c r="F104" s="42">
        <f t="shared" si="4"/>
        <v>-44812</v>
      </c>
      <c r="G104" s="42">
        <v>-44812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</row>
    <row r="105" spans="1:252" x14ac:dyDescent="0.25">
      <c r="A105" s="22" t="s">
        <v>77</v>
      </c>
      <c r="B105" s="22"/>
      <c r="C105" s="22"/>
      <c r="D105" s="22"/>
      <c r="E105" s="41">
        <v>2704</v>
      </c>
      <c r="F105" s="42">
        <f t="shared" si="4"/>
        <v>6048</v>
      </c>
      <c r="G105" s="42">
        <v>6048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</row>
    <row r="106" spans="1:252" x14ac:dyDescent="0.25">
      <c r="A106" s="22" t="s">
        <v>78</v>
      </c>
      <c r="B106" s="22"/>
      <c r="C106" s="22"/>
      <c r="D106" s="22"/>
      <c r="E106" s="41">
        <v>2707</v>
      </c>
      <c r="F106" s="42">
        <f t="shared" si="4"/>
        <v>1037133</v>
      </c>
      <c r="G106" s="42">
        <v>1037133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</row>
    <row r="107" spans="1:252" x14ac:dyDescent="0.25">
      <c r="A107" s="22" t="s">
        <v>29</v>
      </c>
      <c r="B107" s="22"/>
      <c r="C107" s="22"/>
      <c r="D107" s="22"/>
      <c r="E107" s="41">
        <v>2708</v>
      </c>
      <c r="F107" s="42">
        <f t="shared" si="4"/>
        <v>2160</v>
      </c>
      <c r="G107" s="42">
        <v>2160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</row>
    <row r="108" spans="1:252" x14ac:dyDescent="0.25">
      <c r="A108" s="22" t="s">
        <v>79</v>
      </c>
      <c r="B108" s="22"/>
      <c r="C108" s="22"/>
      <c r="D108" s="22"/>
      <c r="E108" s="41">
        <v>2710</v>
      </c>
      <c r="F108" s="42">
        <f t="shared" si="4"/>
        <v>20311</v>
      </c>
      <c r="G108" s="42">
        <v>20311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</row>
    <row r="109" spans="1:252" x14ac:dyDescent="0.25">
      <c r="A109" s="22" t="s">
        <v>80</v>
      </c>
      <c r="B109" s="22"/>
      <c r="C109" s="22"/>
      <c r="D109" s="22"/>
      <c r="E109" s="41">
        <v>2711</v>
      </c>
      <c r="F109" s="42">
        <f t="shared" si="4"/>
        <v>-7311</v>
      </c>
      <c r="G109" s="42">
        <v>-7311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</row>
    <row r="110" spans="1:252" x14ac:dyDescent="0.25">
      <c r="A110" s="22" t="s">
        <v>81</v>
      </c>
      <c r="B110" s="22"/>
      <c r="C110" s="22"/>
      <c r="D110" s="22"/>
      <c r="E110" s="41">
        <v>2715</v>
      </c>
      <c r="F110" s="42">
        <f t="shared" si="4"/>
        <v>-532</v>
      </c>
      <c r="G110" s="42">
        <v>-532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</row>
    <row r="111" spans="1:252" x14ac:dyDescent="0.25">
      <c r="A111" s="22" t="s">
        <v>82</v>
      </c>
      <c r="B111" s="22"/>
      <c r="C111" s="22"/>
      <c r="D111" s="22"/>
      <c r="E111" s="41">
        <v>2717</v>
      </c>
      <c r="F111" s="42">
        <f t="shared" si="4"/>
        <v>117</v>
      </c>
      <c r="G111" s="42">
        <v>117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</row>
    <row r="112" spans="1:252" x14ac:dyDescent="0.25">
      <c r="A112" s="22" t="s">
        <v>83</v>
      </c>
      <c r="B112" s="22"/>
      <c r="C112" s="22"/>
      <c r="D112" s="22"/>
      <c r="E112" s="41">
        <v>2729</v>
      </c>
      <c r="F112" s="42">
        <f t="shared" si="4"/>
        <v>-494</v>
      </c>
      <c r="G112" s="42">
        <v>-494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</row>
    <row r="113" spans="1:251" x14ac:dyDescent="0.25">
      <c r="A113" s="22" t="s">
        <v>84</v>
      </c>
      <c r="B113" s="22"/>
      <c r="C113" s="22"/>
      <c r="D113" s="22"/>
      <c r="E113" s="39">
        <v>2800</v>
      </c>
      <c r="F113" s="40">
        <f t="shared" si="4"/>
        <v>112654</v>
      </c>
      <c r="G113" s="40">
        <f>SUM(G114:G115)</f>
        <v>112654</v>
      </c>
    </row>
    <row r="114" spans="1:251" x14ac:dyDescent="0.25">
      <c r="A114" s="22" t="s">
        <v>85</v>
      </c>
      <c r="B114" s="22"/>
      <c r="C114" s="22"/>
      <c r="D114" s="22"/>
      <c r="E114" s="41">
        <v>2802</v>
      </c>
      <c r="F114" s="42">
        <f t="shared" si="4"/>
        <v>11231</v>
      </c>
      <c r="G114" s="42">
        <v>11231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</row>
    <row r="115" spans="1:251" s="1" customFormat="1" x14ac:dyDescent="0.25">
      <c r="A115" s="22" t="s">
        <v>86</v>
      </c>
      <c r="B115" s="22"/>
      <c r="C115" s="22"/>
      <c r="D115" s="22"/>
      <c r="E115" s="41">
        <v>2809</v>
      </c>
      <c r="F115" s="42">
        <f t="shared" si="4"/>
        <v>101423</v>
      </c>
      <c r="G115" s="42">
        <v>101423</v>
      </c>
    </row>
    <row r="116" spans="1:251" x14ac:dyDescent="0.25">
      <c r="A116" s="31" t="s">
        <v>31</v>
      </c>
      <c r="B116" s="22"/>
      <c r="C116" s="22"/>
      <c r="D116" s="22"/>
      <c r="E116" s="39">
        <v>3600</v>
      </c>
      <c r="F116" s="40">
        <f t="shared" si="4"/>
        <v>-63419</v>
      </c>
      <c r="G116" s="40">
        <f>SUM(G117,G120,G123)</f>
        <v>-63419</v>
      </c>
    </row>
    <row r="117" spans="1:251" x14ac:dyDescent="0.25">
      <c r="A117" s="22" t="s">
        <v>87</v>
      </c>
      <c r="B117" s="22"/>
      <c r="C117" s="22"/>
      <c r="D117" s="22"/>
      <c r="E117" s="70">
        <v>3601</v>
      </c>
      <c r="F117" s="71">
        <f t="shared" si="4"/>
        <v>-975</v>
      </c>
      <c r="G117" s="72">
        <f>SUM(G118:G118)</f>
        <v>-975</v>
      </c>
    </row>
    <row r="118" spans="1:251" x14ac:dyDescent="0.25">
      <c r="A118" s="22" t="s">
        <v>22</v>
      </c>
      <c r="B118" s="22"/>
      <c r="C118" s="22"/>
      <c r="D118" s="22"/>
      <c r="E118" s="68">
        <v>3601</v>
      </c>
      <c r="F118" s="45">
        <f t="shared" si="4"/>
        <v>-975</v>
      </c>
      <c r="G118" s="42">
        <v>-975</v>
      </c>
    </row>
    <row r="119" spans="1:251" s="1" customFormat="1" x14ac:dyDescent="0.25">
      <c r="A119" s="31" t="s">
        <v>14</v>
      </c>
      <c r="B119" s="22"/>
      <c r="C119" s="26"/>
      <c r="D119" s="22"/>
      <c r="E119" s="33" t="s">
        <v>15</v>
      </c>
      <c r="F119" s="34" t="s">
        <v>16</v>
      </c>
      <c r="G119" s="34" t="s">
        <v>17</v>
      </c>
    </row>
    <row r="120" spans="1:251" s="22" customFormat="1" x14ac:dyDescent="0.25">
      <c r="A120" s="22" t="s">
        <v>88</v>
      </c>
      <c r="C120" s="26"/>
      <c r="E120" s="58">
        <v>3611</v>
      </c>
      <c r="F120" s="73">
        <f t="shared" si="4"/>
        <v>563</v>
      </c>
      <c r="G120" s="73">
        <f>SUM(G121:G122)</f>
        <v>563</v>
      </c>
    </row>
    <row r="121" spans="1:251" s="1" customFormat="1" x14ac:dyDescent="0.25">
      <c r="A121" s="22" t="s">
        <v>22</v>
      </c>
      <c r="B121" s="22"/>
      <c r="C121" s="22"/>
      <c r="D121" s="22"/>
      <c r="E121" s="68">
        <v>3611</v>
      </c>
      <c r="F121" s="45">
        <f t="shared" si="4"/>
        <v>492</v>
      </c>
      <c r="G121" s="45">
        <v>492</v>
      </c>
    </row>
    <row r="122" spans="1:251" s="22" customFormat="1" x14ac:dyDescent="0.25">
      <c r="A122" s="22" t="s">
        <v>25</v>
      </c>
      <c r="B122" s="31"/>
      <c r="C122" s="25"/>
      <c r="D122" s="31"/>
      <c r="E122" s="68">
        <v>3611</v>
      </c>
      <c r="F122" s="45">
        <f t="shared" si="4"/>
        <v>71</v>
      </c>
      <c r="G122" s="45">
        <v>71</v>
      </c>
    </row>
    <row r="123" spans="1:251" x14ac:dyDescent="0.25">
      <c r="A123" s="22" t="s">
        <v>32</v>
      </c>
      <c r="B123" s="22"/>
      <c r="C123" s="22"/>
      <c r="D123" s="22"/>
      <c r="E123" s="58">
        <v>3619</v>
      </c>
      <c r="F123" s="74">
        <f t="shared" si="4"/>
        <v>-63007</v>
      </c>
      <c r="G123" s="74">
        <f>SUM(G124:G125)</f>
        <v>-63007</v>
      </c>
    </row>
    <row r="124" spans="1:251" x14ac:dyDescent="0.25">
      <c r="A124" s="22" t="s">
        <v>89</v>
      </c>
      <c r="B124" s="22"/>
      <c r="C124" s="22"/>
      <c r="D124" s="22"/>
      <c r="E124" s="68">
        <v>3619</v>
      </c>
      <c r="F124" s="42">
        <f t="shared" si="4"/>
        <v>-63106</v>
      </c>
      <c r="G124" s="42">
        <v>-63106</v>
      </c>
    </row>
    <row r="125" spans="1:251" x14ac:dyDescent="0.25">
      <c r="A125" s="38" t="s">
        <v>90</v>
      </c>
      <c r="B125" s="22"/>
      <c r="C125" s="22"/>
      <c r="D125" s="22"/>
      <c r="E125" s="68">
        <v>3619</v>
      </c>
      <c r="F125" s="42">
        <f t="shared" si="4"/>
        <v>99</v>
      </c>
      <c r="G125" s="42">
        <v>99</v>
      </c>
    </row>
    <row r="126" spans="1:251" s="1" customFormat="1" x14ac:dyDescent="0.25">
      <c r="A126" s="31" t="s">
        <v>33</v>
      </c>
      <c r="B126" s="22"/>
      <c r="C126" s="26"/>
      <c r="D126" s="22"/>
      <c r="E126" s="35" t="s">
        <v>91</v>
      </c>
      <c r="F126" s="36">
        <f t="shared" si="4"/>
        <v>77843</v>
      </c>
      <c r="G126" s="36">
        <f>SUM(G127,G130)</f>
        <v>77843</v>
      </c>
    </row>
    <row r="127" spans="1:251" x14ac:dyDescent="0.25">
      <c r="A127" s="22" t="s">
        <v>92</v>
      </c>
      <c r="B127" s="22"/>
      <c r="C127" s="26"/>
      <c r="D127" s="22"/>
      <c r="E127" s="41">
        <v>3701</v>
      </c>
      <c r="F127" s="37">
        <f t="shared" ref="F127:F138" si="5">SUM(G127)</f>
        <v>86740</v>
      </c>
      <c r="G127" s="37">
        <f>SUM(G128:G129)</f>
        <v>86740</v>
      </c>
    </row>
    <row r="128" spans="1:251" s="1" customFormat="1" x14ac:dyDescent="0.25">
      <c r="A128" s="22" t="s">
        <v>89</v>
      </c>
      <c r="B128" s="22"/>
      <c r="C128" s="22"/>
      <c r="D128" s="22"/>
      <c r="E128" s="68">
        <v>3701</v>
      </c>
      <c r="F128" s="42">
        <f t="shared" si="5"/>
        <v>87463</v>
      </c>
      <c r="G128" s="42">
        <v>87463</v>
      </c>
    </row>
    <row r="129" spans="1:251" s="1" customFormat="1" x14ac:dyDescent="0.25">
      <c r="A129" s="22" t="s">
        <v>25</v>
      </c>
      <c r="B129" s="22"/>
      <c r="C129" s="26"/>
      <c r="D129" s="22"/>
      <c r="E129" s="68">
        <v>3701</v>
      </c>
      <c r="F129" s="37">
        <f t="shared" si="5"/>
        <v>-723</v>
      </c>
      <c r="G129" s="45">
        <v>-723</v>
      </c>
    </row>
    <row r="130" spans="1:251" x14ac:dyDescent="0.25">
      <c r="A130" s="22" t="s">
        <v>93</v>
      </c>
      <c r="B130" s="22"/>
      <c r="C130" s="26"/>
      <c r="D130" s="22"/>
      <c r="E130" s="58">
        <v>3702</v>
      </c>
      <c r="F130" s="73">
        <f t="shared" si="5"/>
        <v>-8897</v>
      </c>
      <c r="G130" s="73">
        <f>SUM(G131:G132)</f>
        <v>-8897</v>
      </c>
    </row>
    <row r="131" spans="1:251" s="1" customFormat="1" x14ac:dyDescent="0.25">
      <c r="A131" s="22" t="s">
        <v>89</v>
      </c>
      <c r="B131" s="22"/>
      <c r="C131" s="22"/>
      <c r="D131" s="22"/>
      <c r="E131" s="68">
        <v>3702</v>
      </c>
      <c r="F131" s="42">
        <f t="shared" si="5"/>
        <v>-4953</v>
      </c>
      <c r="G131" s="42">
        <v>-4953</v>
      </c>
    </row>
    <row r="132" spans="1:251" s="1" customFormat="1" x14ac:dyDescent="0.25">
      <c r="A132" s="22" t="s">
        <v>25</v>
      </c>
      <c r="B132" s="22"/>
      <c r="C132" s="22"/>
      <c r="D132" s="22"/>
      <c r="E132" s="68">
        <v>3702</v>
      </c>
      <c r="F132" s="45">
        <f t="shared" si="5"/>
        <v>-3944</v>
      </c>
      <c r="G132" s="45">
        <v>-3944</v>
      </c>
    </row>
    <row r="133" spans="1:251" x14ac:dyDescent="0.25">
      <c r="A133" s="22" t="s">
        <v>94</v>
      </c>
      <c r="B133" s="22"/>
      <c r="C133" s="22"/>
      <c r="D133" s="22"/>
      <c r="E133" s="39">
        <v>4000</v>
      </c>
      <c r="F133" s="40">
        <f t="shared" si="5"/>
        <v>291864</v>
      </c>
      <c r="G133" s="40">
        <f>SUM(G134:G136)</f>
        <v>291864</v>
      </c>
    </row>
    <row r="134" spans="1:251" x14ac:dyDescent="0.25">
      <c r="A134" s="22" t="s">
        <v>95</v>
      </c>
      <c r="B134" s="22"/>
      <c r="C134" s="22"/>
      <c r="D134" s="22"/>
      <c r="E134" s="41">
        <v>4022</v>
      </c>
      <c r="F134" s="42">
        <f t="shared" si="5"/>
        <v>112036</v>
      </c>
      <c r="G134" s="42">
        <v>112036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  <c r="DD134" s="1"/>
      <c r="DE134" s="1"/>
      <c r="DF134" s="1"/>
      <c r="DG134" s="1"/>
      <c r="DH134" s="1"/>
      <c r="DI134" s="1"/>
      <c r="DJ134" s="1"/>
      <c r="DK134" s="1"/>
      <c r="DL134" s="1"/>
      <c r="DM134" s="1"/>
      <c r="DN134" s="1"/>
      <c r="DO134" s="1"/>
      <c r="DP134" s="1"/>
      <c r="DQ134" s="1"/>
      <c r="DR134" s="1"/>
      <c r="DS134" s="1"/>
      <c r="DT134" s="1"/>
      <c r="DU134" s="1"/>
      <c r="DV134" s="1"/>
      <c r="DW134" s="1"/>
      <c r="DX134" s="1"/>
      <c r="DY134" s="1"/>
      <c r="DZ134" s="1"/>
      <c r="EA134" s="1"/>
      <c r="EB134" s="1"/>
      <c r="EC134" s="1"/>
      <c r="ED134" s="1"/>
      <c r="EE134" s="1"/>
      <c r="EF134" s="1"/>
      <c r="EG134" s="1"/>
      <c r="EH134" s="1"/>
      <c r="EI134" s="1"/>
      <c r="EJ134" s="1"/>
      <c r="EK134" s="1"/>
      <c r="EL134" s="1"/>
      <c r="EM134" s="1"/>
      <c r="EN134" s="1"/>
      <c r="EO134" s="1"/>
      <c r="EP134" s="1"/>
      <c r="EQ134" s="1"/>
      <c r="ER134" s="1"/>
      <c r="ES134" s="1"/>
      <c r="ET134" s="1"/>
      <c r="EU134" s="1"/>
      <c r="EV134" s="1"/>
      <c r="EW134" s="1"/>
      <c r="EX134" s="1"/>
      <c r="EY134" s="1"/>
      <c r="EZ134" s="1"/>
      <c r="FA134" s="1"/>
      <c r="FB134" s="1"/>
      <c r="FC134" s="1"/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1"/>
      <c r="IM134" s="1"/>
      <c r="IN134" s="1"/>
      <c r="IO134" s="1"/>
      <c r="IP134" s="1"/>
      <c r="IQ134" s="1"/>
    </row>
    <row r="135" spans="1:251" x14ac:dyDescent="0.25">
      <c r="A135" s="22" t="s">
        <v>96</v>
      </c>
      <c r="B135" s="22"/>
      <c r="C135" s="22"/>
      <c r="D135" s="22"/>
      <c r="E135" s="41">
        <v>4030</v>
      </c>
      <c r="F135" s="42">
        <f t="shared" si="5"/>
        <v>-47449</v>
      </c>
      <c r="G135" s="42">
        <v>-47449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  <c r="DD135" s="1"/>
      <c r="DE135" s="1"/>
      <c r="DF135" s="1"/>
      <c r="DG135" s="1"/>
      <c r="DH135" s="1"/>
      <c r="DI135" s="1"/>
      <c r="DJ135" s="1"/>
      <c r="DK135" s="1"/>
      <c r="DL135" s="1"/>
      <c r="DM135" s="1"/>
      <c r="DN135" s="1"/>
      <c r="DO135" s="1"/>
      <c r="DP135" s="1"/>
      <c r="DQ135" s="1"/>
      <c r="DR135" s="1"/>
      <c r="DS135" s="1"/>
      <c r="DT135" s="1"/>
      <c r="DU135" s="1"/>
      <c r="DV135" s="1"/>
      <c r="DW135" s="1"/>
      <c r="DX135" s="1"/>
      <c r="DY135" s="1"/>
      <c r="DZ135" s="1"/>
      <c r="EA135" s="1"/>
      <c r="EB135" s="1"/>
      <c r="EC135" s="1"/>
      <c r="ED135" s="1"/>
      <c r="EE135" s="1"/>
      <c r="EF135" s="1"/>
      <c r="EG135" s="1"/>
      <c r="EH135" s="1"/>
      <c r="EI135" s="1"/>
      <c r="EJ135" s="1"/>
      <c r="EK135" s="1"/>
      <c r="EL135" s="1"/>
      <c r="EM135" s="1"/>
      <c r="EN135" s="1"/>
      <c r="EO135" s="1"/>
      <c r="EP135" s="1"/>
      <c r="EQ135" s="1"/>
      <c r="ER135" s="1"/>
      <c r="ES135" s="1"/>
      <c r="ET135" s="1"/>
      <c r="EU135" s="1"/>
      <c r="EV135" s="1"/>
      <c r="EW135" s="1"/>
      <c r="EX135" s="1"/>
      <c r="EY135" s="1"/>
      <c r="EZ135" s="1"/>
      <c r="FA135" s="1"/>
      <c r="FB135" s="1"/>
      <c r="FC135" s="1"/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1"/>
      <c r="IM135" s="1"/>
      <c r="IN135" s="1"/>
      <c r="IO135" s="1"/>
      <c r="IP135" s="1"/>
      <c r="IQ135" s="1"/>
    </row>
    <row r="136" spans="1:251" s="1" customFormat="1" x14ac:dyDescent="0.25">
      <c r="A136" s="22" t="s">
        <v>97</v>
      </c>
      <c r="B136" s="22"/>
      <c r="C136" s="22"/>
      <c r="D136" s="22"/>
      <c r="E136" s="41">
        <v>4040</v>
      </c>
      <c r="F136" s="42">
        <f t="shared" si="5"/>
        <v>227277</v>
      </c>
      <c r="G136" s="42">
        <v>227277</v>
      </c>
    </row>
    <row r="137" spans="1:251" s="1" customFormat="1" x14ac:dyDescent="0.25">
      <c r="A137" s="46" t="s">
        <v>37</v>
      </c>
      <c r="B137" s="46"/>
      <c r="C137" s="47"/>
      <c r="D137" s="46"/>
      <c r="E137" s="47"/>
      <c r="F137" s="48">
        <f t="shared" si="5"/>
        <v>1512454</v>
      </c>
      <c r="G137" s="48">
        <f>SUM(G90,G102,G113,G116,G126,G133)</f>
        <v>1512454</v>
      </c>
    </row>
    <row r="138" spans="1:251" s="1" customFormat="1" ht="16.5" thickBot="1" x14ac:dyDescent="0.3">
      <c r="A138" s="52" t="s">
        <v>38</v>
      </c>
      <c r="B138" s="52"/>
      <c r="C138" s="53"/>
      <c r="D138" s="52"/>
      <c r="E138" s="53"/>
      <c r="F138" s="54">
        <f t="shared" si="5"/>
        <v>3769845</v>
      </c>
      <c r="G138" s="54">
        <f>SUM(G86,G137)</f>
        <v>3769845</v>
      </c>
    </row>
    <row r="139" spans="1:251" s="1" customFormat="1" ht="16.5" thickTop="1" x14ac:dyDescent="0.25">
      <c r="A139" s="31"/>
      <c r="B139" s="31"/>
      <c r="C139" s="25"/>
      <c r="D139" s="31"/>
      <c r="E139" s="25"/>
      <c r="F139" s="75"/>
      <c r="G139" s="75"/>
    </row>
    <row r="140" spans="1:251" s="1" customFormat="1" x14ac:dyDescent="0.25">
      <c r="A140" s="31" t="s">
        <v>98</v>
      </c>
      <c r="B140" s="31"/>
      <c r="C140" s="25"/>
      <c r="D140" s="31"/>
      <c r="E140" s="33" t="s">
        <v>15</v>
      </c>
      <c r="F140" s="34" t="s">
        <v>16</v>
      </c>
      <c r="G140" s="34" t="s">
        <v>17</v>
      </c>
    </row>
    <row r="141" spans="1:251" s="1" customFormat="1" x14ac:dyDescent="0.25">
      <c r="A141" s="55" t="s">
        <v>99</v>
      </c>
      <c r="B141" s="55"/>
      <c r="C141" s="55"/>
      <c r="D141" s="76"/>
      <c r="E141" s="77">
        <v>3100</v>
      </c>
      <c r="F141" s="78">
        <f>SUM(G141)</f>
        <v>20167</v>
      </c>
      <c r="G141" s="78">
        <f>SUM(G142:G142)</f>
        <v>20167</v>
      </c>
    </row>
    <row r="142" spans="1:251" s="1" customFormat="1" x14ac:dyDescent="0.25">
      <c r="A142" s="248" t="s">
        <v>100</v>
      </c>
      <c r="B142" s="248"/>
      <c r="C142" s="248"/>
      <c r="D142" s="248"/>
      <c r="E142" s="79">
        <v>3118</v>
      </c>
      <c r="F142" s="80">
        <f>SUM(G142)</f>
        <v>20167</v>
      </c>
      <c r="G142" s="80">
        <v>20167</v>
      </c>
    </row>
    <row r="143" spans="1:251" s="1" customFormat="1" ht="16.5" thickBot="1" x14ac:dyDescent="0.3">
      <c r="A143" s="81" t="s">
        <v>101</v>
      </c>
      <c r="B143" s="81"/>
      <c r="C143" s="81"/>
      <c r="D143" s="82"/>
      <c r="E143" s="83"/>
      <c r="F143" s="83">
        <f>SUM(G143)</f>
        <v>20167</v>
      </c>
      <c r="G143" s="83">
        <f>SUM(G141)</f>
        <v>20167</v>
      </c>
    </row>
    <row r="144" spans="1:251" s="22" customFormat="1" ht="16.5" thickTop="1" x14ac:dyDescent="0.25">
      <c r="A144" s="31"/>
      <c r="B144" s="31"/>
      <c r="C144" s="25"/>
      <c r="D144" s="31"/>
      <c r="E144" s="25"/>
      <c r="F144" s="75"/>
      <c r="G144" s="75"/>
    </row>
    <row r="145" spans="1:8" s="22" customFormat="1" x14ac:dyDescent="0.25">
      <c r="A145" s="31" t="s">
        <v>39</v>
      </c>
      <c r="E145" s="39">
        <v>6100</v>
      </c>
      <c r="F145" s="44">
        <f t="shared" ref="F145:F171" si="6">SUM(G145)</f>
        <v>5483</v>
      </c>
      <c r="G145" s="44">
        <f>SUM(G146,G148,G151)</f>
        <v>5483</v>
      </c>
    </row>
    <row r="146" spans="1:8" s="22" customFormat="1" x14ac:dyDescent="0.25">
      <c r="A146" s="22" t="s">
        <v>40</v>
      </c>
      <c r="E146" s="58">
        <v>6101</v>
      </c>
      <c r="F146" s="59">
        <f t="shared" si="6"/>
        <v>-100</v>
      </c>
      <c r="G146" s="59">
        <f>SUM(G147:G147)</f>
        <v>-100</v>
      </c>
    </row>
    <row r="147" spans="1:8" s="22" customFormat="1" x14ac:dyDescent="0.25">
      <c r="A147" s="22" t="s">
        <v>22</v>
      </c>
      <c r="E147" s="68">
        <v>6101</v>
      </c>
      <c r="F147" s="45">
        <f t="shared" si="6"/>
        <v>-100</v>
      </c>
      <c r="G147" s="45">
        <v>-100</v>
      </c>
    </row>
    <row r="148" spans="1:8" s="22" customFormat="1" x14ac:dyDescent="0.25">
      <c r="A148" s="22" t="s">
        <v>42</v>
      </c>
      <c r="E148" s="58">
        <v>6102</v>
      </c>
      <c r="F148" s="59">
        <f t="shared" si="6"/>
        <v>5583</v>
      </c>
      <c r="G148" s="59">
        <f>SUM(G149:G150)</f>
        <v>5583</v>
      </c>
    </row>
    <row r="149" spans="1:8" s="31" customFormat="1" x14ac:dyDescent="0.25">
      <c r="A149" s="22" t="s">
        <v>22</v>
      </c>
      <c r="B149" s="22"/>
      <c r="C149" s="22"/>
      <c r="D149" s="22"/>
      <c r="E149" s="68">
        <v>6102</v>
      </c>
      <c r="F149" s="45">
        <f t="shared" si="6"/>
        <v>637</v>
      </c>
      <c r="G149" s="45">
        <v>637</v>
      </c>
    </row>
    <row r="150" spans="1:8" s="31" customFormat="1" x14ac:dyDescent="0.25">
      <c r="A150" s="22" t="s">
        <v>41</v>
      </c>
      <c r="C150" s="22"/>
      <c r="D150" s="22"/>
      <c r="E150" s="68">
        <v>6102</v>
      </c>
      <c r="F150" s="45">
        <f t="shared" si="6"/>
        <v>4946</v>
      </c>
      <c r="G150" s="45">
        <v>4946</v>
      </c>
    </row>
    <row r="151" spans="1:8" s="22" customFormat="1" x14ac:dyDescent="0.25">
      <c r="A151" s="22" t="s">
        <v>43</v>
      </c>
      <c r="E151" s="58">
        <v>6109</v>
      </c>
      <c r="F151" s="44">
        <f t="shared" si="6"/>
        <v>0</v>
      </c>
      <c r="G151" s="44">
        <f>SUM(G152:G167)</f>
        <v>0</v>
      </c>
    </row>
    <row r="152" spans="1:8" s="1" customFormat="1" x14ac:dyDescent="0.25">
      <c r="A152" s="22" t="s">
        <v>22</v>
      </c>
      <c r="B152" s="22"/>
      <c r="C152" s="22"/>
      <c r="D152" s="22"/>
      <c r="E152" s="41">
        <v>6109</v>
      </c>
      <c r="F152" s="45">
        <f t="shared" si="6"/>
        <v>1512377</v>
      </c>
      <c r="G152" s="45">
        <v>1512377</v>
      </c>
    </row>
    <row r="153" spans="1:8" x14ac:dyDescent="0.25">
      <c r="A153" s="22" t="s">
        <v>25</v>
      </c>
      <c r="B153" s="31"/>
      <c r="C153" s="25"/>
      <c r="D153" s="31"/>
      <c r="E153" s="41">
        <v>6109</v>
      </c>
      <c r="F153" s="45">
        <f t="shared" si="6"/>
        <v>-567695</v>
      </c>
      <c r="G153" s="45">
        <v>-567695</v>
      </c>
    </row>
    <row r="154" spans="1:8" x14ac:dyDescent="0.25">
      <c r="A154" s="22" t="s">
        <v>41</v>
      </c>
      <c r="B154" s="22"/>
      <c r="C154" s="22"/>
      <c r="D154" s="22"/>
      <c r="E154" s="41">
        <v>6109</v>
      </c>
      <c r="F154" s="42">
        <f t="shared" si="6"/>
        <v>-215638</v>
      </c>
      <c r="G154" s="60">
        <v>-215638</v>
      </c>
    </row>
    <row r="155" spans="1:8" s="22" customFormat="1" x14ac:dyDescent="0.25">
      <c r="A155" s="22" t="s">
        <v>102</v>
      </c>
      <c r="E155" s="41">
        <v>6109</v>
      </c>
      <c r="F155" s="42">
        <f t="shared" si="6"/>
        <v>-76899</v>
      </c>
      <c r="G155" s="60">
        <v>-76899</v>
      </c>
    </row>
    <row r="156" spans="1:8" s="22" customFormat="1" x14ac:dyDescent="0.25">
      <c r="A156" s="38" t="s">
        <v>44</v>
      </c>
      <c r="C156" s="26"/>
      <c r="E156" s="41">
        <v>6109</v>
      </c>
      <c r="F156" s="45">
        <f t="shared" si="6"/>
        <v>-87444</v>
      </c>
      <c r="G156" s="60">
        <v>-87444</v>
      </c>
      <c r="H156" s="12"/>
    </row>
    <row r="157" spans="1:8" s="22" customFormat="1" x14ac:dyDescent="0.25">
      <c r="A157" s="38" t="s">
        <v>45</v>
      </c>
      <c r="C157" s="26"/>
      <c r="E157" s="41">
        <v>6109</v>
      </c>
      <c r="F157" s="45">
        <f t="shared" si="6"/>
        <v>-28055</v>
      </c>
      <c r="G157" s="45">
        <v>-28055</v>
      </c>
      <c r="H157" s="12"/>
    </row>
    <row r="158" spans="1:8" s="22" customFormat="1" x14ac:dyDescent="0.25">
      <c r="A158" s="38" t="s">
        <v>46</v>
      </c>
      <c r="C158" s="26"/>
      <c r="E158" s="41">
        <v>6109</v>
      </c>
      <c r="F158" s="45">
        <f t="shared" si="6"/>
        <v>-38722</v>
      </c>
      <c r="G158" s="45">
        <v>-38722</v>
      </c>
    </row>
    <row r="159" spans="1:8" s="22" customFormat="1" x14ac:dyDescent="0.25">
      <c r="A159" s="38" t="s">
        <v>47</v>
      </c>
      <c r="C159" s="26"/>
      <c r="E159" s="41">
        <v>6109</v>
      </c>
      <c r="F159" s="45">
        <f t="shared" si="6"/>
        <v>2757</v>
      </c>
      <c r="G159" s="45">
        <v>2757</v>
      </c>
    </row>
    <row r="160" spans="1:8" s="22" customFormat="1" x14ac:dyDescent="0.25">
      <c r="A160" s="38" t="s">
        <v>48</v>
      </c>
      <c r="C160" s="26"/>
      <c r="E160" s="41">
        <v>6109</v>
      </c>
      <c r="F160" s="45">
        <f t="shared" si="6"/>
        <v>-22239</v>
      </c>
      <c r="G160" s="45">
        <v>-22239</v>
      </c>
    </row>
    <row r="161" spans="1:7" s="22" customFormat="1" x14ac:dyDescent="0.25">
      <c r="A161" s="38" t="s">
        <v>103</v>
      </c>
      <c r="C161" s="26"/>
      <c r="E161" s="41">
        <v>6109</v>
      </c>
      <c r="F161" s="45">
        <f t="shared" si="6"/>
        <v>-96484</v>
      </c>
      <c r="G161" s="45">
        <v>-96484</v>
      </c>
    </row>
    <row r="162" spans="1:7" s="22" customFormat="1" x14ac:dyDescent="0.25">
      <c r="A162" s="38" t="s">
        <v>104</v>
      </c>
      <c r="C162" s="26"/>
      <c r="E162" s="41">
        <v>6109</v>
      </c>
      <c r="F162" s="45">
        <f t="shared" si="6"/>
        <v>-104339</v>
      </c>
      <c r="G162" s="45">
        <v>-104339</v>
      </c>
    </row>
    <row r="163" spans="1:7" s="22" customFormat="1" x14ac:dyDescent="0.25">
      <c r="A163" s="38" t="s">
        <v>105</v>
      </c>
      <c r="C163" s="26"/>
      <c r="E163" s="41">
        <v>6109</v>
      </c>
      <c r="F163" s="45">
        <f t="shared" si="6"/>
        <v>-122521</v>
      </c>
      <c r="G163" s="45">
        <v>-122521</v>
      </c>
    </row>
    <row r="164" spans="1:7" s="22" customFormat="1" x14ac:dyDescent="0.25">
      <c r="A164" s="38" t="s">
        <v>90</v>
      </c>
      <c r="C164" s="26"/>
      <c r="E164" s="41">
        <v>6109</v>
      </c>
      <c r="F164" s="45">
        <f t="shared" si="6"/>
        <v>-82360</v>
      </c>
      <c r="G164" s="45">
        <v>-82360</v>
      </c>
    </row>
    <row r="165" spans="1:7" s="22" customFormat="1" x14ac:dyDescent="0.25">
      <c r="A165" s="38" t="s">
        <v>106</v>
      </c>
      <c r="C165" s="26"/>
      <c r="E165" s="41">
        <v>6109</v>
      </c>
      <c r="F165" s="45">
        <f t="shared" si="6"/>
        <v>-15520</v>
      </c>
      <c r="G165" s="45">
        <v>-15520</v>
      </c>
    </row>
    <row r="166" spans="1:7" s="22" customFormat="1" x14ac:dyDescent="0.25">
      <c r="A166" s="38" t="s">
        <v>107</v>
      </c>
      <c r="C166" s="26"/>
      <c r="E166" s="41">
        <v>6109</v>
      </c>
      <c r="F166" s="45">
        <f t="shared" si="6"/>
        <v>-12029</v>
      </c>
      <c r="G166" s="45">
        <v>-12029</v>
      </c>
    </row>
    <row r="167" spans="1:7" s="1" customFormat="1" x14ac:dyDescent="0.25">
      <c r="A167" s="38" t="s">
        <v>108</v>
      </c>
      <c r="B167" s="22"/>
      <c r="C167" s="26"/>
      <c r="D167" s="22"/>
      <c r="E167" s="41">
        <v>6109</v>
      </c>
      <c r="F167" s="45">
        <f t="shared" si="6"/>
        <v>-45189</v>
      </c>
      <c r="G167" s="45">
        <v>-45189</v>
      </c>
    </row>
    <row r="168" spans="1:7" s="1" customFormat="1" x14ac:dyDescent="0.25">
      <c r="A168" s="31" t="s">
        <v>49</v>
      </c>
      <c r="B168" s="31"/>
      <c r="C168" s="25"/>
      <c r="D168" s="31"/>
      <c r="E168" s="35" t="s">
        <v>50</v>
      </c>
      <c r="F168" s="44">
        <f t="shared" si="6"/>
        <v>1169833</v>
      </c>
      <c r="G168" s="44">
        <f>SUM(G169)</f>
        <v>1169833</v>
      </c>
    </row>
    <row r="169" spans="1:7" x14ac:dyDescent="0.25">
      <c r="A169" s="22" t="s">
        <v>51</v>
      </c>
      <c r="B169" s="31"/>
      <c r="C169" s="25"/>
      <c r="D169" s="31"/>
      <c r="E169" s="33" t="s">
        <v>52</v>
      </c>
      <c r="F169" s="59">
        <f t="shared" si="6"/>
        <v>1169833</v>
      </c>
      <c r="G169" s="59">
        <f>SUM(G170:G171)</f>
        <v>1169833</v>
      </c>
    </row>
    <row r="170" spans="1:7" s="1" customFormat="1" x14ac:dyDescent="0.25">
      <c r="A170" s="22" t="s">
        <v>22</v>
      </c>
      <c r="B170" s="22"/>
      <c r="C170" s="26"/>
      <c r="D170" s="22"/>
      <c r="E170" s="69" t="s">
        <v>52</v>
      </c>
      <c r="F170" s="45">
        <f t="shared" si="6"/>
        <v>1169833</v>
      </c>
      <c r="G170" s="45">
        <v>1169833</v>
      </c>
    </row>
    <row r="171" spans="1:7" s="1" customFormat="1" x14ac:dyDescent="0.25">
      <c r="A171" s="22" t="s">
        <v>25</v>
      </c>
      <c r="B171" s="31"/>
      <c r="C171" s="25"/>
      <c r="D171" s="31"/>
      <c r="E171" s="68">
        <v>6202</v>
      </c>
      <c r="F171" s="45">
        <f t="shared" si="6"/>
        <v>0</v>
      </c>
      <c r="G171" s="45"/>
    </row>
    <row r="172" spans="1:7" s="22" customFormat="1" ht="16.5" thickBot="1" x14ac:dyDescent="0.3">
      <c r="A172" s="52" t="s">
        <v>53</v>
      </c>
      <c r="B172" s="52"/>
      <c r="C172" s="52"/>
      <c r="D172" s="52"/>
      <c r="E172" s="61"/>
      <c r="F172" s="62">
        <f>SUM(G172)</f>
        <v>1175316</v>
      </c>
      <c r="G172" s="62">
        <f>SUM(G145,G168)</f>
        <v>1175316</v>
      </c>
    </row>
    <row r="173" spans="1:7" s="22" customFormat="1" ht="16.5" thickTop="1" x14ac:dyDescent="0.25">
      <c r="A173" s="49"/>
      <c r="B173" s="49"/>
      <c r="C173" s="49"/>
      <c r="D173" s="49"/>
      <c r="E173" s="63"/>
      <c r="F173" s="64"/>
      <c r="G173" s="64"/>
    </row>
    <row r="174" spans="1:7" s="31" customFormat="1" x14ac:dyDescent="0.25">
      <c r="A174" s="31" t="s">
        <v>109</v>
      </c>
      <c r="E174" s="33" t="s">
        <v>15</v>
      </c>
      <c r="F174" s="34" t="s">
        <v>16</v>
      </c>
      <c r="G174" s="34" t="s">
        <v>17</v>
      </c>
    </row>
    <row r="175" spans="1:7" s="22" customFormat="1" x14ac:dyDescent="0.25">
      <c r="A175" s="31" t="s">
        <v>110</v>
      </c>
      <c r="B175" s="31"/>
      <c r="C175" s="31"/>
      <c r="D175" s="31"/>
      <c r="E175" s="47" t="s">
        <v>111</v>
      </c>
      <c r="F175" s="48">
        <f t="shared" ref="F175:F181" si="7">SUM(G175)</f>
        <v>0</v>
      </c>
      <c r="G175" s="48">
        <f>SUM(G176:G177)</f>
        <v>0</v>
      </c>
    </row>
    <row r="176" spans="1:7" x14ac:dyDescent="0.25">
      <c r="A176" s="22" t="s">
        <v>22</v>
      </c>
      <c r="B176" s="31"/>
      <c r="C176" s="31"/>
      <c r="D176" s="31"/>
      <c r="E176" s="26"/>
      <c r="F176" s="45">
        <f t="shared" si="7"/>
        <v>-15775</v>
      </c>
      <c r="G176" s="45">
        <v>-15775</v>
      </c>
    </row>
    <row r="177" spans="1:252" x14ac:dyDescent="0.25">
      <c r="A177" s="22" t="s">
        <v>41</v>
      </c>
      <c r="B177" s="22"/>
      <c r="C177" s="22"/>
      <c r="D177" s="22"/>
      <c r="E177" s="41"/>
      <c r="F177" s="42">
        <f t="shared" si="7"/>
        <v>15775</v>
      </c>
      <c r="G177" s="60">
        <v>15775</v>
      </c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  <c r="IL177" s="22"/>
      <c r="IM177" s="22"/>
      <c r="IN177" s="22"/>
      <c r="IO177" s="22"/>
      <c r="IP177" s="22"/>
      <c r="IQ177" s="22"/>
      <c r="IR177" s="22"/>
    </row>
    <row r="178" spans="1:252" s="1" customFormat="1" x14ac:dyDescent="0.25">
      <c r="A178" s="31"/>
      <c r="B178" s="31"/>
      <c r="C178" s="25"/>
      <c r="D178" s="31"/>
      <c r="E178" s="33" t="s">
        <v>15</v>
      </c>
      <c r="F178" s="34" t="s">
        <v>16</v>
      </c>
      <c r="G178" s="34" t="s">
        <v>17</v>
      </c>
    </row>
    <row r="179" spans="1:252" x14ac:dyDescent="0.25">
      <c r="A179" s="31" t="s">
        <v>112</v>
      </c>
      <c r="B179" s="31"/>
      <c r="C179" s="31"/>
      <c r="D179" s="67"/>
      <c r="E179" s="39">
        <v>7600</v>
      </c>
      <c r="F179" s="40">
        <f t="shared" si="7"/>
        <v>1063991</v>
      </c>
      <c r="G179" s="40">
        <f>SUM(G180:G180)</f>
        <v>1063991</v>
      </c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22"/>
      <c r="HB179" s="22"/>
      <c r="HC179" s="22"/>
      <c r="HD179" s="22"/>
      <c r="HE179" s="22"/>
      <c r="HF179" s="22"/>
      <c r="HG179" s="22"/>
      <c r="HH179" s="22"/>
      <c r="HI179" s="22"/>
      <c r="HJ179" s="22"/>
      <c r="HK179" s="22"/>
      <c r="HL179" s="22"/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  <c r="IK179" s="22"/>
      <c r="IL179" s="22"/>
      <c r="IM179" s="22"/>
      <c r="IN179" s="22"/>
      <c r="IO179" s="22"/>
      <c r="IP179" s="22"/>
      <c r="IQ179" s="22"/>
      <c r="IR179" s="22"/>
    </row>
    <row r="180" spans="1:252" s="22" customFormat="1" x14ac:dyDescent="0.25">
      <c r="A180" s="22" t="s">
        <v>22</v>
      </c>
      <c r="D180" s="84"/>
      <c r="E180" s="41"/>
      <c r="F180" s="42">
        <f t="shared" si="7"/>
        <v>1063991</v>
      </c>
      <c r="G180" s="37">
        <v>1063991</v>
      </c>
    </row>
    <row r="181" spans="1:252" s="22" customFormat="1" ht="16.5" thickBot="1" x14ac:dyDescent="0.3">
      <c r="A181" s="52" t="s">
        <v>113</v>
      </c>
      <c r="B181" s="52"/>
      <c r="C181" s="52"/>
      <c r="D181" s="52"/>
      <c r="E181" s="61"/>
      <c r="F181" s="62">
        <f t="shared" si="7"/>
        <v>1063991</v>
      </c>
      <c r="G181" s="62">
        <f>SUM(G175,G179)</f>
        <v>1063991</v>
      </c>
    </row>
    <row r="182" spans="1:252" s="22" customFormat="1" ht="16.5" thickTop="1" x14ac:dyDescent="0.25">
      <c r="A182" s="31"/>
      <c r="B182" s="31"/>
      <c r="C182" s="31"/>
      <c r="D182" s="31"/>
      <c r="E182" s="28"/>
      <c r="F182" s="29"/>
      <c r="G182" s="29"/>
    </row>
    <row r="183" spans="1:252" s="22" customFormat="1" x14ac:dyDescent="0.25">
      <c r="A183" s="30" t="s">
        <v>114</v>
      </c>
      <c r="B183" s="31"/>
      <c r="C183" s="31"/>
      <c r="D183" s="67"/>
      <c r="E183" s="33" t="s">
        <v>15</v>
      </c>
      <c r="F183" s="34" t="s">
        <v>16</v>
      </c>
      <c r="G183" s="34" t="s">
        <v>17</v>
      </c>
    </row>
    <row r="184" spans="1:252" s="22" customFormat="1" x14ac:dyDescent="0.25">
      <c r="A184" s="31" t="s">
        <v>115</v>
      </c>
      <c r="B184" s="31"/>
      <c r="C184" s="31"/>
      <c r="D184" s="67"/>
      <c r="E184" s="39">
        <v>7200</v>
      </c>
      <c r="F184" s="40">
        <f>SUM(G184)</f>
        <v>12000</v>
      </c>
      <c r="G184" s="40">
        <f>SUM(G185)</f>
        <v>12000</v>
      </c>
    </row>
    <row r="185" spans="1:252" s="22" customFormat="1" x14ac:dyDescent="0.25">
      <c r="A185" s="22" t="s">
        <v>116</v>
      </c>
      <c r="D185" s="84"/>
      <c r="E185" s="41">
        <v>7201</v>
      </c>
      <c r="F185" s="42">
        <f>SUM(G185)</f>
        <v>12000</v>
      </c>
      <c r="G185" s="42">
        <v>12000</v>
      </c>
    </row>
    <row r="186" spans="1:252" s="22" customFormat="1" x14ac:dyDescent="0.25">
      <c r="A186" s="43" t="s">
        <v>117</v>
      </c>
      <c r="B186" s="31"/>
      <c r="C186" s="31"/>
      <c r="D186" s="67"/>
      <c r="E186" s="39">
        <v>8300</v>
      </c>
      <c r="F186" s="40">
        <f>SUM(G186)</f>
        <v>-6177128</v>
      </c>
      <c r="G186" s="40">
        <f>SUM(G187:G190)</f>
        <v>-6177128</v>
      </c>
    </row>
    <row r="187" spans="1:252" s="22" customFormat="1" x14ac:dyDescent="0.25">
      <c r="A187" s="85" t="s">
        <v>118</v>
      </c>
      <c r="D187" s="84"/>
      <c r="E187" s="41">
        <v>8311</v>
      </c>
      <c r="F187" s="42">
        <f>SUM(G187)</f>
        <v>-2864694</v>
      </c>
      <c r="G187" s="42">
        <v>-2864694</v>
      </c>
    </row>
    <row r="188" spans="1:252" s="22" customFormat="1" x14ac:dyDescent="0.25">
      <c r="A188" s="85" t="s">
        <v>119</v>
      </c>
      <c r="D188" s="84"/>
      <c r="E188" s="41">
        <v>8312</v>
      </c>
      <c r="F188" s="42">
        <f t="shared" ref="F188:F199" si="8">SUM(G188)</f>
        <v>122523</v>
      </c>
      <c r="G188" s="42">
        <v>122523</v>
      </c>
    </row>
    <row r="189" spans="1:252" s="31" customFormat="1" x14ac:dyDescent="0.25">
      <c r="A189" s="85" t="s">
        <v>120</v>
      </c>
      <c r="B189" s="22"/>
      <c r="C189" s="22"/>
      <c r="D189" s="84"/>
      <c r="E189" s="41">
        <v>8321</v>
      </c>
      <c r="F189" s="42">
        <f t="shared" si="8"/>
        <v>498537</v>
      </c>
      <c r="G189" s="42">
        <v>498537</v>
      </c>
    </row>
    <row r="190" spans="1:252" s="31" customFormat="1" x14ac:dyDescent="0.25">
      <c r="A190" s="85" t="s">
        <v>121</v>
      </c>
      <c r="B190" s="22"/>
      <c r="C190" s="22"/>
      <c r="D190" s="84"/>
      <c r="E190" s="41">
        <v>8372</v>
      </c>
      <c r="F190" s="42">
        <f t="shared" si="8"/>
        <v>-3933494</v>
      </c>
      <c r="G190" s="42">
        <v>-3933494</v>
      </c>
    </row>
    <row r="191" spans="1:252" s="22" customFormat="1" x14ac:dyDescent="0.25">
      <c r="A191" s="31" t="s">
        <v>122</v>
      </c>
      <c r="B191" s="31"/>
      <c r="C191" s="31"/>
      <c r="D191" s="67"/>
      <c r="E191" s="39">
        <v>8800</v>
      </c>
      <c r="F191" s="40">
        <f t="shared" si="8"/>
        <v>698181</v>
      </c>
      <c r="G191" s="40">
        <f>SUM(G192)</f>
        <v>698181</v>
      </c>
    </row>
    <row r="192" spans="1:252" s="22" customFormat="1" x14ac:dyDescent="0.25">
      <c r="A192" s="22" t="s">
        <v>123</v>
      </c>
      <c r="D192" s="84"/>
      <c r="E192" s="41">
        <v>8803</v>
      </c>
      <c r="F192" s="42">
        <f t="shared" si="8"/>
        <v>698181</v>
      </c>
      <c r="G192" s="42">
        <v>698181</v>
      </c>
    </row>
    <row r="193" spans="1:252" x14ac:dyDescent="0.25">
      <c r="A193" s="22" t="s">
        <v>124</v>
      </c>
      <c r="B193" s="22"/>
      <c r="C193" s="22"/>
      <c r="D193" s="22"/>
      <c r="E193" s="39">
        <v>9500</v>
      </c>
      <c r="F193" s="40">
        <f t="shared" si="8"/>
        <v>-11926125</v>
      </c>
      <c r="G193" s="40">
        <f>SUM(G194:G197)</f>
        <v>-11926125</v>
      </c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  <c r="EV193" s="22"/>
      <c r="EW193" s="22"/>
      <c r="EX193" s="22"/>
      <c r="EY193" s="22"/>
      <c r="EZ193" s="22"/>
      <c r="FA193" s="22"/>
      <c r="FB193" s="22"/>
      <c r="FC193" s="22"/>
      <c r="FD193" s="22"/>
      <c r="FE193" s="22"/>
      <c r="FF193" s="22"/>
      <c r="FG193" s="22"/>
      <c r="FH193" s="22"/>
      <c r="FI193" s="22"/>
      <c r="FJ193" s="22"/>
      <c r="FK193" s="22"/>
      <c r="FL193" s="22"/>
      <c r="FM193" s="22"/>
      <c r="FN193" s="22"/>
      <c r="FO193" s="22"/>
      <c r="FP193" s="22"/>
      <c r="FQ193" s="22"/>
      <c r="FR193" s="22"/>
      <c r="FS193" s="22"/>
      <c r="FT193" s="22"/>
      <c r="FU193" s="22"/>
      <c r="FV193" s="22"/>
      <c r="FW193" s="22"/>
      <c r="FX193" s="22"/>
      <c r="FY193" s="22"/>
      <c r="FZ193" s="22"/>
      <c r="GA193" s="22"/>
      <c r="GB193" s="22"/>
      <c r="GC193" s="22"/>
      <c r="GD193" s="22"/>
      <c r="GE193" s="22"/>
      <c r="GF193" s="22"/>
      <c r="GG193" s="22"/>
      <c r="GH193" s="22"/>
      <c r="GI193" s="22"/>
      <c r="GJ193" s="22"/>
      <c r="GK193" s="22"/>
      <c r="GL193" s="22"/>
      <c r="GM193" s="22"/>
      <c r="GN193" s="22"/>
      <c r="GO193" s="22"/>
      <c r="GP193" s="22"/>
      <c r="GQ193" s="22"/>
      <c r="GR193" s="22"/>
      <c r="GS193" s="22"/>
      <c r="GT193" s="22"/>
      <c r="GU193" s="22"/>
      <c r="GV193" s="22"/>
      <c r="GW193" s="22"/>
      <c r="GX193" s="22"/>
      <c r="GY193" s="22"/>
      <c r="GZ193" s="22"/>
      <c r="HA193" s="22"/>
      <c r="HB193" s="22"/>
      <c r="HC193" s="22"/>
      <c r="HD193" s="22"/>
      <c r="HE193" s="22"/>
      <c r="HF193" s="22"/>
      <c r="HG193" s="22"/>
      <c r="HH193" s="22"/>
      <c r="HI193" s="22"/>
      <c r="HJ193" s="22"/>
      <c r="HK193" s="22"/>
      <c r="HL193" s="22"/>
      <c r="HM193" s="22"/>
      <c r="HN193" s="22"/>
      <c r="HO193" s="22"/>
      <c r="HP193" s="22"/>
      <c r="HQ193" s="22"/>
      <c r="HR193" s="22"/>
      <c r="HS193" s="22"/>
      <c r="HT193" s="22"/>
      <c r="HU193" s="22"/>
      <c r="HV193" s="22"/>
      <c r="HW193" s="22"/>
      <c r="HX193" s="22"/>
      <c r="HY193" s="22"/>
      <c r="HZ193" s="22"/>
      <c r="IA193" s="22"/>
      <c r="IB193" s="22"/>
      <c r="IC193" s="22"/>
      <c r="ID193" s="22"/>
      <c r="IE193" s="22"/>
      <c r="IF193" s="22"/>
      <c r="IG193" s="22"/>
      <c r="IH193" s="22"/>
      <c r="II193" s="22"/>
      <c r="IJ193" s="22"/>
      <c r="IK193" s="22"/>
      <c r="IL193" s="22"/>
      <c r="IM193" s="22"/>
      <c r="IN193" s="22"/>
      <c r="IO193" s="22"/>
      <c r="IP193" s="22"/>
      <c r="IQ193" s="22"/>
      <c r="IR193" s="22"/>
    </row>
    <row r="194" spans="1:252" x14ac:dyDescent="0.25">
      <c r="A194" s="12" t="s">
        <v>125</v>
      </c>
      <c r="B194" s="22"/>
      <c r="C194" s="22"/>
      <c r="D194" s="22"/>
      <c r="E194" s="41">
        <v>9507</v>
      </c>
      <c r="F194" s="42">
        <f t="shared" si="8"/>
        <v>-11105947</v>
      </c>
      <c r="G194" s="42">
        <v>-11105947</v>
      </c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  <c r="IL194" s="22"/>
      <c r="IM194" s="22"/>
      <c r="IN194" s="22"/>
      <c r="IO194" s="22"/>
      <c r="IP194" s="22"/>
      <c r="IQ194" s="22"/>
      <c r="IR194" s="22"/>
    </row>
    <row r="195" spans="1:252" x14ac:dyDescent="0.25">
      <c r="A195" s="22" t="s">
        <v>126</v>
      </c>
      <c r="B195" s="22"/>
      <c r="C195" s="22"/>
      <c r="D195" s="22"/>
      <c r="E195" s="41">
        <v>9508</v>
      </c>
      <c r="F195" s="42">
        <f t="shared" si="8"/>
        <v>-76142</v>
      </c>
      <c r="G195" s="42">
        <v>-76142</v>
      </c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  <c r="HK195" s="22"/>
      <c r="HL195" s="22"/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  <c r="IL195" s="22"/>
      <c r="IM195" s="22"/>
      <c r="IN195" s="22"/>
      <c r="IO195" s="22"/>
      <c r="IP195" s="22"/>
      <c r="IQ195" s="22"/>
      <c r="IR195" s="22"/>
    </row>
    <row r="196" spans="1:252" x14ac:dyDescent="0.25">
      <c r="A196" s="22" t="s">
        <v>127</v>
      </c>
      <c r="B196" s="22"/>
      <c r="C196" s="22"/>
      <c r="D196" s="22"/>
      <c r="E196" s="41">
        <v>9509</v>
      </c>
      <c r="F196" s="42">
        <f t="shared" si="8"/>
        <v>-741331</v>
      </c>
      <c r="G196" s="42">
        <v>-741331</v>
      </c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22"/>
      <c r="HB196" s="22"/>
      <c r="HC196" s="22"/>
      <c r="HD196" s="22"/>
      <c r="HE196" s="22"/>
      <c r="HF196" s="22"/>
      <c r="HG196" s="22"/>
      <c r="HH196" s="22"/>
      <c r="HI196" s="22"/>
      <c r="HJ196" s="22"/>
      <c r="HK196" s="22"/>
      <c r="HL196" s="22"/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  <c r="IL196" s="22"/>
      <c r="IM196" s="22"/>
      <c r="IN196" s="22"/>
      <c r="IO196" s="22"/>
      <c r="IP196" s="22"/>
      <c r="IQ196" s="22"/>
      <c r="IR196" s="22"/>
    </row>
    <row r="197" spans="1:252" x14ac:dyDescent="0.25">
      <c r="A197" s="22" t="s">
        <v>128</v>
      </c>
      <c r="B197" s="22"/>
      <c r="C197" s="22"/>
      <c r="D197" s="22"/>
      <c r="E197" s="58">
        <v>9511</v>
      </c>
      <c r="F197" s="74">
        <f t="shared" si="8"/>
        <v>-2705</v>
      </c>
      <c r="G197" s="74">
        <f>SUM(G198:G198)</f>
        <v>-2705</v>
      </c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22"/>
      <c r="EZ197" s="22"/>
      <c r="FA197" s="22"/>
      <c r="FB197" s="22"/>
      <c r="FC197" s="22"/>
      <c r="FD197" s="22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22"/>
      <c r="GB197" s="22"/>
      <c r="GC197" s="22"/>
      <c r="GD197" s="22"/>
      <c r="GE197" s="22"/>
      <c r="GF197" s="22"/>
      <c r="GG197" s="22"/>
      <c r="GH197" s="22"/>
      <c r="GI197" s="22"/>
      <c r="GJ197" s="22"/>
      <c r="GK197" s="22"/>
      <c r="GL197" s="22"/>
      <c r="GM197" s="22"/>
      <c r="GN197" s="22"/>
      <c r="GO197" s="22"/>
      <c r="GP197" s="22"/>
      <c r="GQ197" s="22"/>
      <c r="GR197" s="22"/>
      <c r="GS197" s="22"/>
      <c r="GT197" s="22"/>
      <c r="GU197" s="22"/>
      <c r="GV197" s="22"/>
      <c r="GW197" s="22"/>
      <c r="GX197" s="22"/>
      <c r="GY197" s="22"/>
      <c r="GZ197" s="22"/>
      <c r="HA197" s="22"/>
      <c r="HB197" s="22"/>
      <c r="HC197" s="22"/>
      <c r="HD197" s="22"/>
      <c r="HE197" s="22"/>
      <c r="HF197" s="22"/>
      <c r="HG197" s="22"/>
      <c r="HH197" s="22"/>
      <c r="HI197" s="22"/>
      <c r="HJ197" s="22"/>
      <c r="HK197" s="22"/>
      <c r="HL197" s="22"/>
      <c r="HM197" s="22"/>
      <c r="HN197" s="22"/>
      <c r="HO197" s="22"/>
      <c r="HP197" s="22"/>
      <c r="HQ197" s="22"/>
      <c r="HR197" s="22"/>
      <c r="HS197" s="22"/>
      <c r="HT197" s="22"/>
      <c r="HU197" s="22"/>
      <c r="HV197" s="22"/>
      <c r="HW197" s="22"/>
      <c r="HX197" s="22"/>
      <c r="HY197" s="22"/>
      <c r="HZ197" s="22"/>
      <c r="IA197" s="22"/>
      <c r="IB197" s="22"/>
      <c r="IC197" s="22"/>
      <c r="ID197" s="22"/>
      <c r="IE197" s="22"/>
      <c r="IF197" s="22"/>
      <c r="IG197" s="22"/>
      <c r="IH197" s="22"/>
      <c r="II197" s="22"/>
      <c r="IJ197" s="22"/>
      <c r="IK197" s="22"/>
      <c r="IL197" s="22"/>
      <c r="IM197" s="22"/>
      <c r="IN197" s="22"/>
      <c r="IO197" s="22"/>
      <c r="IP197" s="22"/>
      <c r="IQ197" s="22"/>
      <c r="IR197" s="22"/>
    </row>
    <row r="198" spans="1:252" s="22" customFormat="1" x14ac:dyDescent="0.25">
      <c r="A198" s="22" t="s">
        <v>41</v>
      </c>
      <c r="E198" s="68">
        <v>9511</v>
      </c>
      <c r="F198" s="42">
        <f t="shared" si="8"/>
        <v>-2705</v>
      </c>
      <c r="G198" s="42">
        <v>-2705</v>
      </c>
    </row>
    <row r="199" spans="1:252" s="22" customFormat="1" ht="16.5" thickBot="1" x14ac:dyDescent="0.3">
      <c r="A199" s="52" t="s">
        <v>129</v>
      </c>
      <c r="B199" s="52"/>
      <c r="C199" s="52"/>
      <c r="D199" s="52"/>
      <c r="E199" s="61"/>
      <c r="F199" s="62">
        <f t="shared" si="8"/>
        <v>-17393072</v>
      </c>
      <c r="G199" s="62">
        <f>SUM(G186,G191,G193,G184)</f>
        <v>-17393072</v>
      </c>
    </row>
    <row r="200" spans="1:252" s="22" customFormat="1" ht="17.25" thickTop="1" thickBot="1" x14ac:dyDescent="0.3">
      <c r="A200" s="52"/>
      <c r="B200" s="52"/>
      <c r="C200" s="52"/>
      <c r="D200" s="52"/>
      <c r="E200" s="61"/>
      <c r="F200" s="62"/>
      <c r="G200" s="62"/>
    </row>
    <row r="201" spans="1:252" s="22" customFormat="1" ht="17.25" thickTop="1" thickBot="1" x14ac:dyDescent="0.3">
      <c r="A201" s="65" t="s">
        <v>130</v>
      </c>
      <c r="B201" s="52"/>
      <c r="C201" s="52"/>
      <c r="D201" s="66"/>
      <c r="E201" s="61"/>
      <c r="F201" s="54">
        <f>SUM(G201)</f>
        <v>-11363753</v>
      </c>
      <c r="G201" s="54">
        <f>SUM(G138,G172,G181,G199,G143)</f>
        <v>-11363753</v>
      </c>
    </row>
    <row r="202" spans="1:252" s="22" customFormat="1" ht="17.25" thickTop="1" thickBot="1" x14ac:dyDescent="0.3">
      <c r="A202" s="65"/>
      <c r="B202" s="52"/>
      <c r="C202" s="52"/>
      <c r="D202" s="66"/>
      <c r="E202" s="61"/>
      <c r="F202" s="54"/>
      <c r="G202" s="54"/>
    </row>
    <row r="203" spans="1:252" s="22" customFormat="1" ht="17.25" thickTop="1" thickBot="1" x14ac:dyDescent="0.3">
      <c r="A203" s="65" t="s">
        <v>131</v>
      </c>
      <c r="B203" s="52"/>
      <c r="C203" s="52"/>
      <c r="D203" s="66"/>
      <c r="E203" s="61"/>
      <c r="F203" s="54">
        <f>SUM(G203)</f>
        <v>-11323154</v>
      </c>
      <c r="G203" s="54">
        <f>SUM(G74,G201)</f>
        <v>-11323154</v>
      </c>
      <c r="H203" s="75"/>
      <c r="I203" s="75"/>
      <c r="J203" s="75"/>
      <c r="K203" s="75"/>
    </row>
    <row r="204" spans="1:252" s="16" customFormat="1" ht="16.5" thickTop="1" x14ac:dyDescent="0.25">
      <c r="A204" s="30"/>
      <c r="B204" s="31"/>
      <c r="C204" s="31"/>
      <c r="D204" s="67"/>
      <c r="E204" s="67"/>
      <c r="F204" s="28"/>
      <c r="G204" s="75"/>
    </row>
    <row r="205" spans="1:252" x14ac:dyDescent="0.25">
      <c r="A205" s="86"/>
      <c r="B205" s="86"/>
      <c r="C205" s="86"/>
      <c r="D205" s="86"/>
      <c r="E205" s="86"/>
      <c r="F205" s="86"/>
      <c r="G205" s="86"/>
    </row>
    <row r="206" spans="1:252" x14ac:dyDescent="0.25">
      <c r="A206" s="23" t="s">
        <v>132</v>
      </c>
    </row>
    <row r="207" spans="1:252" x14ac:dyDescent="0.25">
      <c r="A207" s="87" t="s">
        <v>133</v>
      </c>
      <c r="C207" s="2"/>
      <c r="D207" s="2"/>
      <c r="F207" s="2"/>
      <c r="G207" s="2"/>
    </row>
    <row r="208" spans="1:252" x14ac:dyDescent="0.25">
      <c r="A208" s="6" t="s">
        <v>134</v>
      </c>
      <c r="C208" s="6"/>
      <c r="F208" s="6"/>
      <c r="G208" s="88">
        <f>SUM(F209)</f>
        <v>-13606</v>
      </c>
    </row>
    <row r="209" spans="1:7" x14ac:dyDescent="0.25">
      <c r="A209" s="6" t="s">
        <v>135</v>
      </c>
      <c r="C209" s="6"/>
      <c r="F209" s="88">
        <f>SUM(F210:F214)</f>
        <v>-13606</v>
      </c>
      <c r="G209" s="6"/>
    </row>
    <row r="210" spans="1:7" x14ac:dyDescent="0.25">
      <c r="A210" s="2" t="s">
        <v>136</v>
      </c>
      <c r="C210" s="2" t="s">
        <v>22</v>
      </c>
      <c r="D210" s="2"/>
      <c r="F210" s="89">
        <v>-14738</v>
      </c>
      <c r="G210" s="6"/>
    </row>
    <row r="211" spans="1:7" x14ac:dyDescent="0.25">
      <c r="A211" s="2"/>
      <c r="C211" s="2" t="s">
        <v>44</v>
      </c>
      <c r="D211" s="2"/>
      <c r="F211" s="89">
        <v>122</v>
      </c>
      <c r="G211" s="6"/>
    </row>
    <row r="212" spans="1:7" x14ac:dyDescent="0.25">
      <c r="A212" s="2"/>
      <c r="C212" s="2" t="s">
        <v>47</v>
      </c>
      <c r="D212" s="2"/>
      <c r="F212" s="89">
        <v>270</v>
      </c>
      <c r="G212" s="6"/>
    </row>
    <row r="213" spans="1:7" x14ac:dyDescent="0.25">
      <c r="A213" s="2"/>
      <c r="C213" s="2" t="s">
        <v>45</v>
      </c>
      <c r="D213" s="2"/>
      <c r="F213" s="89">
        <v>-171</v>
      </c>
      <c r="G213" s="6"/>
    </row>
    <row r="214" spans="1:7" x14ac:dyDescent="0.25">
      <c r="A214" s="2"/>
      <c r="C214" s="2" t="s">
        <v>48</v>
      </c>
      <c r="D214" s="2"/>
      <c r="F214" s="89">
        <v>911</v>
      </c>
      <c r="G214" s="6"/>
    </row>
    <row r="215" spans="1:7" x14ac:dyDescent="0.25">
      <c r="A215" s="2"/>
      <c r="C215" s="2"/>
      <c r="D215" s="2"/>
      <c r="F215" s="89"/>
      <c r="G215" s="6"/>
    </row>
    <row r="216" spans="1:7" x14ac:dyDescent="0.25">
      <c r="A216" s="6" t="s">
        <v>137</v>
      </c>
      <c r="C216" s="6"/>
      <c r="F216" s="6"/>
      <c r="G216" s="88">
        <f>SUM(F217,F227)</f>
        <v>0</v>
      </c>
    </row>
    <row r="217" spans="1:7" x14ac:dyDescent="0.25">
      <c r="A217" s="6" t="s">
        <v>138</v>
      </c>
      <c r="C217" s="6"/>
      <c r="F217" s="88">
        <f>SUM(F218:F223)</f>
        <v>0</v>
      </c>
      <c r="G217" s="6"/>
    </row>
    <row r="218" spans="1:7" x14ac:dyDescent="0.25">
      <c r="A218" s="2" t="s">
        <v>136</v>
      </c>
      <c r="C218" s="2" t="s">
        <v>22</v>
      </c>
      <c r="D218" s="2"/>
      <c r="F218" s="89">
        <v>144</v>
      </c>
      <c r="G218" s="2"/>
    </row>
    <row r="219" spans="1:7" x14ac:dyDescent="0.25">
      <c r="A219" s="2"/>
      <c r="C219" s="2" t="s">
        <v>44</v>
      </c>
      <c r="D219" s="2"/>
      <c r="F219" s="89">
        <v>-459</v>
      </c>
      <c r="G219" s="6"/>
    </row>
    <row r="220" spans="1:7" x14ac:dyDescent="0.25">
      <c r="A220" s="2"/>
      <c r="C220" s="2" t="s">
        <v>47</v>
      </c>
      <c r="D220" s="2"/>
      <c r="F220" s="89">
        <v>1690</v>
      </c>
      <c r="G220" s="6"/>
    </row>
    <row r="221" spans="1:7" x14ac:dyDescent="0.25">
      <c r="A221" s="2"/>
      <c r="C221" s="2" t="s">
        <v>45</v>
      </c>
      <c r="D221" s="2"/>
      <c r="F221" s="89">
        <v>-726</v>
      </c>
      <c r="G221" s="6"/>
    </row>
    <row r="222" spans="1:7" x14ac:dyDescent="0.25">
      <c r="A222" s="2"/>
      <c r="C222" s="2" t="s">
        <v>46</v>
      </c>
      <c r="D222" s="2"/>
      <c r="F222" s="89">
        <v>-574</v>
      </c>
      <c r="G222" s="6"/>
    </row>
    <row r="223" spans="1:7" x14ac:dyDescent="0.25">
      <c r="A223" s="2"/>
      <c r="C223" s="2" t="s">
        <v>48</v>
      </c>
      <c r="D223" s="2"/>
      <c r="F223" s="89">
        <v>-75</v>
      </c>
      <c r="G223" s="6"/>
    </row>
    <row r="224" spans="1:7" x14ac:dyDescent="0.25">
      <c r="A224" s="2"/>
      <c r="C224" s="2"/>
      <c r="D224" s="2"/>
      <c r="F224" s="89"/>
      <c r="G224" s="2"/>
    </row>
    <row r="225" spans="1:7" x14ac:dyDescent="0.25">
      <c r="A225" s="2"/>
      <c r="C225" s="2"/>
      <c r="D225" s="2"/>
      <c r="F225" s="89"/>
      <c r="G225" s="2"/>
    </row>
    <row r="226" spans="1:7" x14ac:dyDescent="0.25">
      <c r="A226" s="6" t="s">
        <v>139</v>
      </c>
      <c r="C226" s="6"/>
      <c r="G226" s="6"/>
    </row>
    <row r="227" spans="1:7" x14ac:dyDescent="0.25">
      <c r="A227" s="6" t="s">
        <v>140</v>
      </c>
      <c r="C227" s="6"/>
      <c r="F227" s="88">
        <f>SUM(F228:F229)</f>
        <v>0</v>
      </c>
      <c r="G227" s="6"/>
    </row>
    <row r="228" spans="1:7" x14ac:dyDescent="0.25">
      <c r="A228" s="2" t="s">
        <v>136</v>
      </c>
      <c r="C228" s="2" t="s">
        <v>22</v>
      </c>
      <c r="D228" s="2"/>
      <c r="F228" s="89"/>
      <c r="G228" s="2"/>
    </row>
    <row r="229" spans="1:7" x14ac:dyDescent="0.25">
      <c r="A229" s="2"/>
      <c r="C229" s="2" t="s">
        <v>44</v>
      </c>
      <c r="D229" s="2"/>
      <c r="F229" s="89"/>
      <c r="G229" s="6"/>
    </row>
    <row r="230" spans="1:7" x14ac:dyDescent="0.25">
      <c r="A230" s="87"/>
      <c r="C230" s="6"/>
      <c r="D230" s="6"/>
      <c r="F230" s="6"/>
      <c r="G230" s="6"/>
    </row>
    <row r="231" spans="1:7" x14ac:dyDescent="0.25">
      <c r="A231" s="6" t="s">
        <v>141</v>
      </c>
      <c r="C231" s="6"/>
      <c r="F231" s="6"/>
      <c r="G231" s="88">
        <f>SUM(F232:F233)</f>
        <v>31095</v>
      </c>
    </row>
    <row r="232" spans="1:7" x14ac:dyDescent="0.25">
      <c r="A232" s="2" t="s">
        <v>136</v>
      </c>
      <c r="C232" s="2" t="s">
        <v>22</v>
      </c>
      <c r="F232" s="89">
        <v>400</v>
      </c>
      <c r="G232" s="88"/>
    </row>
    <row r="233" spans="1:7" x14ac:dyDescent="0.25">
      <c r="C233" s="2" t="s">
        <v>25</v>
      </c>
      <c r="F233" s="89">
        <v>30695</v>
      </c>
      <c r="G233" s="6"/>
    </row>
    <row r="234" spans="1:7" x14ac:dyDescent="0.25">
      <c r="B234" s="2"/>
      <c r="F234" s="89"/>
      <c r="G234" s="6"/>
    </row>
    <row r="235" spans="1:7" x14ac:dyDescent="0.25">
      <c r="B235" s="2"/>
      <c r="F235" s="89"/>
      <c r="G235" s="6"/>
    </row>
    <row r="236" spans="1:7" x14ac:dyDescent="0.25">
      <c r="B236" s="2"/>
      <c r="F236" s="89"/>
      <c r="G236" s="6"/>
    </row>
    <row r="237" spans="1:7" x14ac:dyDescent="0.25">
      <c r="A237" s="6" t="s">
        <v>142</v>
      </c>
      <c r="C237" s="6"/>
      <c r="F237" s="6"/>
      <c r="G237" s="88">
        <f>SUM(F239)</f>
        <v>0</v>
      </c>
    </row>
    <row r="238" spans="1:7" x14ac:dyDescent="0.25">
      <c r="A238" s="6" t="s">
        <v>143</v>
      </c>
      <c r="C238" s="6"/>
      <c r="G238" s="6"/>
    </row>
    <row r="239" spans="1:7" x14ac:dyDescent="0.25">
      <c r="A239" s="6" t="s">
        <v>144</v>
      </c>
      <c r="C239" s="6"/>
      <c r="F239" s="88">
        <f>SUM(F240:F241)</f>
        <v>0</v>
      </c>
      <c r="G239" s="6"/>
    </row>
    <row r="240" spans="1:7" x14ac:dyDescent="0.25">
      <c r="A240" s="2" t="s">
        <v>136</v>
      </c>
      <c r="C240" s="2" t="s">
        <v>22</v>
      </c>
      <c r="F240" s="89"/>
      <c r="G240" s="2"/>
    </row>
    <row r="241" spans="1:7" x14ac:dyDescent="0.25">
      <c r="A241" s="2"/>
      <c r="C241" s="2" t="s">
        <v>145</v>
      </c>
      <c r="D241" s="2"/>
      <c r="F241" s="89"/>
      <c r="G241" s="2"/>
    </row>
    <row r="242" spans="1:7" x14ac:dyDescent="0.25">
      <c r="A242" s="2"/>
      <c r="C242" s="2"/>
      <c r="D242" s="2"/>
      <c r="F242" s="89"/>
      <c r="G242" s="2"/>
    </row>
    <row r="243" spans="1:7" x14ac:dyDescent="0.25">
      <c r="A243" s="6" t="s">
        <v>146</v>
      </c>
      <c r="C243" s="2"/>
      <c r="D243" s="2"/>
      <c r="F243" s="89"/>
      <c r="G243" s="88">
        <f>SUM(F244,F247)</f>
        <v>23110</v>
      </c>
    </row>
    <row r="244" spans="1:7" x14ac:dyDescent="0.25">
      <c r="A244" s="6" t="s">
        <v>147</v>
      </c>
      <c r="C244" s="2"/>
      <c r="D244" s="2"/>
      <c r="F244" s="88">
        <f>SUM(F245)</f>
        <v>4</v>
      </c>
      <c r="G244" s="88"/>
    </row>
    <row r="245" spans="1:7" x14ac:dyDescent="0.25">
      <c r="A245" s="2" t="s">
        <v>136</v>
      </c>
      <c r="C245" s="2" t="s">
        <v>25</v>
      </c>
      <c r="D245" s="2"/>
      <c r="F245" s="89">
        <v>4</v>
      </c>
      <c r="G245" s="6"/>
    </row>
    <row r="246" spans="1:7" x14ac:dyDescent="0.25">
      <c r="A246" s="2"/>
      <c r="D246" s="2"/>
      <c r="F246" s="89"/>
      <c r="G246" s="6"/>
    </row>
    <row r="247" spans="1:7" x14ac:dyDescent="0.25">
      <c r="A247" s="6" t="s">
        <v>148</v>
      </c>
      <c r="C247" s="2"/>
      <c r="D247" s="2"/>
      <c r="F247" s="88">
        <f>SUM(F248:F248)</f>
        <v>23106</v>
      </c>
      <c r="G247" s="2"/>
    </row>
    <row r="248" spans="1:7" x14ac:dyDescent="0.25">
      <c r="A248" s="2" t="s">
        <v>136</v>
      </c>
      <c r="C248" s="2" t="s">
        <v>41</v>
      </c>
      <c r="D248" s="2"/>
      <c r="F248" s="89">
        <v>23106</v>
      </c>
      <c r="G248" s="2"/>
    </row>
    <row r="249" spans="1:7" x14ac:dyDescent="0.25">
      <c r="A249" s="2"/>
      <c r="C249" s="2"/>
      <c r="D249" s="2"/>
      <c r="F249" s="89"/>
      <c r="G249" s="2"/>
    </row>
    <row r="250" spans="1:7" ht="16.5" thickBot="1" x14ac:dyDescent="0.3">
      <c r="A250" s="90" t="s">
        <v>149</v>
      </c>
      <c r="B250" s="91"/>
      <c r="C250" s="90"/>
      <c r="D250" s="90"/>
      <c r="E250" s="91"/>
      <c r="F250" s="90"/>
      <c r="G250" s="92">
        <f>SUM(G208,G216,G231,G237,G243)</f>
        <v>40599</v>
      </c>
    </row>
    <row r="251" spans="1:7" ht="16.5" thickTop="1" x14ac:dyDescent="0.25">
      <c r="A251" s="93"/>
      <c r="B251" s="22"/>
      <c r="C251" s="93"/>
      <c r="D251" s="93"/>
      <c r="E251" s="22"/>
      <c r="F251" s="93"/>
      <c r="G251" s="94"/>
    </row>
    <row r="252" spans="1:7" x14ac:dyDescent="0.25">
      <c r="A252" s="87" t="s">
        <v>150</v>
      </c>
      <c r="C252" s="6"/>
      <c r="D252" s="6"/>
      <c r="F252" s="6"/>
      <c r="G252" s="6"/>
    </row>
    <row r="253" spans="1:7" x14ac:dyDescent="0.25">
      <c r="A253" s="87" t="s">
        <v>151</v>
      </c>
      <c r="C253" s="6"/>
      <c r="D253" s="6"/>
      <c r="F253" s="6"/>
      <c r="G253" s="6"/>
    </row>
    <row r="254" spans="1:7" x14ac:dyDescent="0.25">
      <c r="A254" s="6" t="s">
        <v>134</v>
      </c>
      <c r="C254" s="6"/>
      <c r="F254" s="6"/>
      <c r="G254" s="88">
        <f>SUM(F255)</f>
        <v>-152094</v>
      </c>
    </row>
    <row r="255" spans="1:7" x14ac:dyDescent="0.25">
      <c r="A255" s="6" t="s">
        <v>135</v>
      </c>
      <c r="C255" s="6"/>
      <c r="F255" s="88">
        <f>SUM(F256:F261)</f>
        <v>-152094</v>
      </c>
      <c r="G255" s="6"/>
    </row>
    <row r="256" spans="1:7" x14ac:dyDescent="0.25">
      <c r="A256" s="2" t="s">
        <v>136</v>
      </c>
      <c r="C256" s="2" t="s">
        <v>22</v>
      </c>
      <c r="D256" s="2"/>
      <c r="F256" s="89">
        <v>-143818</v>
      </c>
      <c r="G256" s="6"/>
    </row>
    <row r="257" spans="1:7" x14ac:dyDescent="0.25">
      <c r="A257" s="2"/>
      <c r="C257" s="2" t="s">
        <v>44</v>
      </c>
      <c r="D257" s="2"/>
      <c r="F257" s="89">
        <v>-359</v>
      </c>
      <c r="G257" s="6"/>
    </row>
    <row r="258" spans="1:7" x14ac:dyDescent="0.25">
      <c r="A258" s="2"/>
      <c r="C258" s="2" t="s">
        <v>47</v>
      </c>
      <c r="D258" s="2"/>
      <c r="F258" s="89">
        <v>4941</v>
      </c>
      <c r="G258" s="6"/>
    </row>
    <row r="259" spans="1:7" x14ac:dyDescent="0.25">
      <c r="A259" s="2"/>
      <c r="C259" s="2" t="s">
        <v>45</v>
      </c>
      <c r="D259" s="2"/>
      <c r="F259" s="89">
        <v>-547</v>
      </c>
      <c r="G259" s="6"/>
    </row>
    <row r="260" spans="1:7" x14ac:dyDescent="0.25">
      <c r="A260" s="2"/>
      <c r="C260" s="2" t="s">
        <v>46</v>
      </c>
      <c r="D260" s="2"/>
      <c r="F260" s="89">
        <v>-12970</v>
      </c>
      <c r="G260" s="6"/>
    </row>
    <row r="261" spans="1:7" x14ac:dyDescent="0.25">
      <c r="A261" s="2"/>
      <c r="C261" s="2" t="s">
        <v>48</v>
      </c>
      <c r="D261" s="2"/>
      <c r="F261" s="89">
        <v>659</v>
      </c>
      <c r="G261" s="6"/>
    </row>
    <row r="262" spans="1:7" x14ac:dyDescent="0.25">
      <c r="A262" s="2"/>
      <c r="C262" s="2"/>
      <c r="D262" s="2"/>
      <c r="G262" s="6"/>
    </row>
    <row r="263" spans="1:7" x14ac:dyDescent="0.25">
      <c r="A263" s="6" t="s">
        <v>137</v>
      </c>
      <c r="C263" s="6"/>
      <c r="F263" s="6"/>
      <c r="G263" s="88">
        <f>SUM(F264,F268)</f>
        <v>-136005</v>
      </c>
    </row>
    <row r="264" spans="1:7" x14ac:dyDescent="0.25">
      <c r="A264" s="6" t="s">
        <v>138</v>
      </c>
      <c r="C264" s="6"/>
      <c r="F264" s="88">
        <f>SUM(F265:F265)</f>
        <v>-45173</v>
      </c>
      <c r="G264" s="6"/>
    </row>
    <row r="265" spans="1:7" x14ac:dyDescent="0.25">
      <c r="A265" s="2" t="s">
        <v>136</v>
      </c>
      <c r="C265" s="2" t="s">
        <v>22</v>
      </c>
      <c r="D265" s="2"/>
      <c r="F265" s="89">
        <v>-45173</v>
      </c>
      <c r="G265" s="2"/>
    </row>
    <row r="266" spans="1:7" x14ac:dyDescent="0.25">
      <c r="A266" s="2"/>
      <c r="C266" s="2"/>
      <c r="D266" s="2"/>
      <c r="F266" s="89"/>
      <c r="G266" s="2"/>
    </row>
    <row r="267" spans="1:7" x14ac:dyDescent="0.25">
      <c r="A267" s="6" t="s">
        <v>139</v>
      </c>
      <c r="C267" s="6"/>
      <c r="G267" s="6"/>
    </row>
    <row r="268" spans="1:7" x14ac:dyDescent="0.25">
      <c r="A268" s="6" t="s">
        <v>140</v>
      </c>
      <c r="C268" s="6"/>
      <c r="F268" s="88">
        <f>SUM(F269:F272)</f>
        <v>-90832</v>
      </c>
      <c r="G268" s="6"/>
    </row>
    <row r="269" spans="1:7" x14ac:dyDescent="0.25">
      <c r="A269" s="2" t="s">
        <v>136</v>
      </c>
      <c r="C269" s="2" t="s">
        <v>22</v>
      </c>
      <c r="D269" s="2"/>
      <c r="F269" s="89">
        <v>-90832</v>
      </c>
      <c r="G269" s="2"/>
    </row>
    <row r="270" spans="1:7" x14ac:dyDescent="0.25">
      <c r="A270" s="2"/>
      <c r="C270" s="2" t="s">
        <v>44</v>
      </c>
      <c r="D270" s="2"/>
      <c r="F270" s="89"/>
      <c r="G270" s="6"/>
    </row>
    <row r="271" spans="1:7" x14ac:dyDescent="0.25">
      <c r="A271" s="2"/>
      <c r="C271" s="2" t="s">
        <v>45</v>
      </c>
      <c r="D271" s="2"/>
      <c r="F271" s="89"/>
      <c r="G271" s="6"/>
    </row>
    <row r="272" spans="1:7" x14ac:dyDescent="0.25">
      <c r="A272" s="2"/>
      <c r="C272" s="2" t="s">
        <v>47</v>
      </c>
      <c r="D272" s="2"/>
      <c r="F272" s="89"/>
      <c r="G272" s="6"/>
    </row>
    <row r="273" spans="1:7" x14ac:dyDescent="0.25">
      <c r="A273" s="87"/>
      <c r="C273" s="6"/>
      <c r="D273" s="6"/>
      <c r="F273" s="6"/>
      <c r="G273" s="6"/>
    </row>
    <row r="274" spans="1:7" x14ac:dyDescent="0.25">
      <c r="A274" s="6" t="s">
        <v>141</v>
      </c>
      <c r="C274" s="6"/>
      <c r="F274" s="6"/>
      <c r="G274" s="88">
        <f>SUM(F275:F276)</f>
        <v>45036</v>
      </c>
    </row>
    <row r="275" spans="1:7" x14ac:dyDescent="0.25">
      <c r="A275" s="2" t="s">
        <v>136</v>
      </c>
      <c r="C275" s="2" t="s">
        <v>22</v>
      </c>
      <c r="D275" s="2"/>
      <c r="F275" s="89">
        <v>-27509</v>
      </c>
      <c r="G275" s="2"/>
    </row>
    <row r="276" spans="1:7" x14ac:dyDescent="0.25">
      <c r="A276" s="2"/>
      <c r="C276" s="2" t="s">
        <v>25</v>
      </c>
      <c r="F276" s="89">
        <v>72545</v>
      </c>
      <c r="G276" s="6"/>
    </row>
    <row r="277" spans="1:7" x14ac:dyDescent="0.25">
      <c r="A277" s="2"/>
      <c r="C277" s="2"/>
      <c r="F277" s="89"/>
      <c r="G277" s="6"/>
    </row>
    <row r="278" spans="1:7" x14ac:dyDescent="0.25">
      <c r="A278" s="6" t="s">
        <v>152</v>
      </c>
      <c r="C278" s="6"/>
      <c r="D278" s="6"/>
      <c r="F278" s="6"/>
      <c r="G278" s="88">
        <f>SUM(F279:F279)</f>
        <v>1398</v>
      </c>
    </row>
    <row r="279" spans="1:7" x14ac:dyDescent="0.25">
      <c r="A279" s="2" t="s">
        <v>136</v>
      </c>
      <c r="C279" s="2" t="s">
        <v>22</v>
      </c>
      <c r="D279" s="2"/>
      <c r="F279" s="89">
        <v>1398</v>
      </c>
      <c r="G279" s="2"/>
    </row>
    <row r="280" spans="1:7" x14ac:dyDescent="0.25">
      <c r="A280" s="2"/>
      <c r="C280" s="2"/>
      <c r="D280" s="2"/>
      <c r="F280" s="89"/>
      <c r="G280" s="2"/>
    </row>
    <row r="281" spans="1:7" x14ac:dyDescent="0.25">
      <c r="A281" s="6" t="s">
        <v>142</v>
      </c>
      <c r="C281" s="6"/>
      <c r="F281" s="6"/>
      <c r="G281" s="88">
        <f>SUM(F283)</f>
        <v>-32497</v>
      </c>
    </row>
    <row r="282" spans="1:7" x14ac:dyDescent="0.25">
      <c r="A282" s="6" t="s">
        <v>143</v>
      </c>
      <c r="C282" s="6"/>
      <c r="G282" s="6"/>
    </row>
    <row r="283" spans="1:7" x14ac:dyDescent="0.25">
      <c r="A283" s="6" t="s">
        <v>144</v>
      </c>
      <c r="C283" s="6"/>
      <c r="F283" s="88">
        <f>SUM(F284:F285)</f>
        <v>-32497</v>
      </c>
      <c r="G283" s="6"/>
    </row>
    <row r="284" spans="1:7" x14ac:dyDescent="0.25">
      <c r="A284" s="2" t="s">
        <v>136</v>
      </c>
      <c r="C284" s="2" t="s">
        <v>22</v>
      </c>
      <c r="D284" s="2"/>
      <c r="F284" s="89">
        <v>-8309</v>
      </c>
      <c r="G284" s="2"/>
    </row>
    <row r="285" spans="1:7" x14ac:dyDescent="0.25">
      <c r="C285" s="2" t="s">
        <v>145</v>
      </c>
      <c r="D285" s="2"/>
      <c r="F285" s="89">
        <v>-24188</v>
      </c>
      <c r="G285" s="2"/>
    </row>
    <row r="286" spans="1:7" x14ac:dyDescent="0.25">
      <c r="C286" s="2"/>
      <c r="D286" s="2"/>
      <c r="F286" s="89"/>
      <c r="G286" s="2"/>
    </row>
    <row r="287" spans="1:7" x14ac:dyDescent="0.25">
      <c r="A287" s="6" t="s">
        <v>146</v>
      </c>
      <c r="C287" s="2"/>
      <c r="D287" s="2"/>
      <c r="F287" s="89"/>
      <c r="G287" s="88">
        <f>SUM(F288)</f>
        <v>-146952</v>
      </c>
    </row>
    <row r="288" spans="1:7" x14ac:dyDescent="0.25">
      <c r="A288" s="6" t="s">
        <v>148</v>
      </c>
      <c r="C288" s="2"/>
      <c r="D288" s="2"/>
      <c r="F288" s="88">
        <f>SUM(F289:F291)</f>
        <v>-146952</v>
      </c>
      <c r="G288" s="2"/>
    </row>
    <row r="289" spans="1:7" x14ac:dyDescent="0.25">
      <c r="A289" s="2" t="s">
        <v>136</v>
      </c>
      <c r="C289" s="2" t="s">
        <v>22</v>
      </c>
      <c r="D289" s="2"/>
      <c r="F289" s="89">
        <v>-5263</v>
      </c>
      <c r="G289" s="2"/>
    </row>
    <row r="290" spans="1:7" x14ac:dyDescent="0.25">
      <c r="A290" s="2"/>
      <c r="C290" s="2" t="s">
        <v>41</v>
      </c>
      <c r="D290" s="2"/>
      <c r="F290" s="89">
        <v>-141713</v>
      </c>
      <c r="G290" s="2"/>
    </row>
    <row r="291" spans="1:7" x14ac:dyDescent="0.25">
      <c r="A291" s="2"/>
      <c r="C291" s="2" t="s">
        <v>48</v>
      </c>
      <c r="D291" s="2"/>
      <c r="F291" s="89">
        <v>24</v>
      </c>
      <c r="G291" s="6"/>
    </row>
    <row r="292" spans="1:7" x14ac:dyDescent="0.25">
      <c r="A292" s="2"/>
      <c r="C292" s="2"/>
      <c r="D292" s="2"/>
      <c r="F292" s="89"/>
      <c r="G292" s="2"/>
    </row>
    <row r="293" spans="1:7" x14ac:dyDescent="0.25">
      <c r="A293" s="95" t="s">
        <v>153</v>
      </c>
      <c r="B293" s="96"/>
      <c r="C293" s="97"/>
      <c r="D293" s="97"/>
      <c r="E293" s="96"/>
      <c r="F293" s="97"/>
      <c r="G293" s="97"/>
    </row>
    <row r="294" spans="1:7" ht="16.5" thickBot="1" x14ac:dyDescent="0.3">
      <c r="A294" s="98" t="s">
        <v>154</v>
      </c>
      <c r="B294" s="99"/>
      <c r="C294" s="100"/>
      <c r="D294" s="100"/>
      <c r="E294" s="99"/>
      <c r="F294" s="100"/>
      <c r="G294" s="101">
        <f>SUM(G254,G263,G274,G281,G287,G278)</f>
        <v>-421114</v>
      </c>
    </row>
    <row r="295" spans="1:7" ht="16.5" thickTop="1" x14ac:dyDescent="0.25">
      <c r="A295" s="2"/>
      <c r="C295" s="2"/>
      <c r="D295" s="2"/>
      <c r="F295" s="89"/>
      <c r="G295" s="2"/>
    </row>
    <row r="296" spans="1:7" x14ac:dyDescent="0.25">
      <c r="A296" s="2"/>
      <c r="C296" s="2"/>
      <c r="D296" s="2"/>
      <c r="F296" s="89"/>
      <c r="G296" s="2"/>
    </row>
    <row r="297" spans="1:7" x14ac:dyDescent="0.25">
      <c r="A297" s="2"/>
      <c r="C297" s="2"/>
      <c r="D297" s="2"/>
      <c r="F297" s="89"/>
      <c r="G297" s="2"/>
    </row>
    <row r="298" spans="1:7" x14ac:dyDescent="0.25">
      <c r="A298" s="87" t="s">
        <v>155</v>
      </c>
      <c r="C298" s="2"/>
      <c r="D298" s="2"/>
      <c r="F298" s="2"/>
      <c r="G298" s="2"/>
    </row>
    <row r="299" spans="1:7" x14ac:dyDescent="0.25">
      <c r="A299" s="87"/>
      <c r="C299" s="2"/>
      <c r="D299" s="2"/>
      <c r="F299" s="2"/>
      <c r="G299" s="2"/>
    </row>
    <row r="300" spans="1:7" x14ac:dyDescent="0.25">
      <c r="A300" s="6" t="s">
        <v>134</v>
      </c>
      <c r="C300" s="6"/>
      <c r="F300" s="6"/>
      <c r="G300" s="88">
        <f>SUM(F301)</f>
        <v>-754680</v>
      </c>
    </row>
    <row r="301" spans="1:7" x14ac:dyDescent="0.25">
      <c r="A301" s="6" t="s">
        <v>135</v>
      </c>
      <c r="C301" s="6"/>
      <c r="F301" s="88">
        <f>SUM(F302:F307)</f>
        <v>-754680</v>
      </c>
      <c r="G301" s="6"/>
    </row>
    <row r="302" spans="1:7" x14ac:dyDescent="0.25">
      <c r="A302" s="2" t="s">
        <v>136</v>
      </c>
      <c r="C302" s="2" t="s">
        <v>22</v>
      </c>
      <c r="D302" s="2"/>
      <c r="F302" s="89">
        <v>-726201</v>
      </c>
      <c r="G302" s="6"/>
    </row>
    <row r="303" spans="1:7" x14ac:dyDescent="0.25">
      <c r="A303" s="2"/>
      <c r="C303" s="2" t="s">
        <v>44</v>
      </c>
      <c r="D303" s="2"/>
      <c r="F303" s="89">
        <v>-11669</v>
      </c>
      <c r="G303" s="6"/>
    </row>
    <row r="304" spans="1:7" x14ac:dyDescent="0.25">
      <c r="A304" s="2"/>
      <c r="C304" s="2" t="s">
        <v>47</v>
      </c>
      <c r="D304" s="2"/>
      <c r="F304" s="89">
        <v>3919</v>
      </c>
      <c r="G304" s="6"/>
    </row>
    <row r="305" spans="1:7" x14ac:dyDescent="0.25">
      <c r="A305" s="2"/>
      <c r="C305" s="2" t="s">
        <v>45</v>
      </c>
      <c r="D305" s="2"/>
      <c r="F305" s="89">
        <v>-11866</v>
      </c>
      <c r="G305" s="6"/>
    </row>
    <row r="306" spans="1:7" x14ac:dyDescent="0.25">
      <c r="A306" s="2"/>
      <c r="C306" s="2" t="s">
        <v>46</v>
      </c>
      <c r="D306" s="2"/>
      <c r="F306" s="89">
        <v>-3143</v>
      </c>
      <c r="G306" s="6"/>
    </row>
    <row r="307" spans="1:7" x14ac:dyDescent="0.25">
      <c r="A307" s="2"/>
      <c r="C307" s="2" t="s">
        <v>48</v>
      </c>
      <c r="D307" s="2"/>
      <c r="F307" s="89">
        <v>-5720</v>
      </c>
      <c r="G307" s="6"/>
    </row>
    <row r="308" spans="1:7" x14ac:dyDescent="0.25">
      <c r="A308" s="2"/>
      <c r="C308" s="2"/>
      <c r="D308" s="2"/>
      <c r="F308" s="89"/>
      <c r="G308" s="6"/>
    </row>
    <row r="309" spans="1:7" x14ac:dyDescent="0.25">
      <c r="A309" s="6" t="s">
        <v>137</v>
      </c>
      <c r="C309" s="6"/>
      <c r="F309" s="6"/>
      <c r="G309" s="88">
        <f>SUM(F312)</f>
        <v>-205004</v>
      </c>
    </row>
    <row r="310" spans="1:7" x14ac:dyDescent="0.25">
      <c r="A310" s="6"/>
      <c r="C310" s="6"/>
      <c r="F310" s="6"/>
      <c r="G310" s="88"/>
    </row>
    <row r="311" spans="1:7" x14ac:dyDescent="0.25">
      <c r="A311" s="6" t="s">
        <v>139</v>
      </c>
      <c r="C311" s="6"/>
      <c r="G311" s="6"/>
    </row>
    <row r="312" spans="1:7" x14ac:dyDescent="0.25">
      <c r="A312" s="6" t="s">
        <v>140</v>
      </c>
      <c r="C312" s="6"/>
      <c r="F312" s="88">
        <f>SUM(F313:F316)</f>
        <v>-205004</v>
      </c>
      <c r="G312" s="6"/>
    </row>
    <row r="313" spans="1:7" x14ac:dyDescent="0.25">
      <c r="A313" s="2" t="s">
        <v>136</v>
      </c>
      <c r="C313" s="2" t="s">
        <v>22</v>
      </c>
      <c r="D313" s="2"/>
      <c r="F313" s="89">
        <v>-184123</v>
      </c>
      <c r="G313" s="2"/>
    </row>
    <row r="314" spans="1:7" x14ac:dyDescent="0.25">
      <c r="A314" s="2"/>
      <c r="C314" s="2" t="s">
        <v>44</v>
      </c>
      <c r="D314" s="2"/>
      <c r="F314" s="89">
        <v>-185</v>
      </c>
      <c r="G314" s="6"/>
    </row>
    <row r="315" spans="1:7" x14ac:dyDescent="0.25">
      <c r="A315" s="2"/>
      <c r="C315" s="2" t="s">
        <v>46</v>
      </c>
      <c r="D315" s="2"/>
      <c r="F315" s="89">
        <v>-952</v>
      </c>
      <c r="G315" s="6"/>
    </row>
    <row r="316" spans="1:7" x14ac:dyDescent="0.25">
      <c r="A316" s="2"/>
      <c r="C316" s="2" t="s">
        <v>47</v>
      </c>
      <c r="D316" s="2"/>
      <c r="F316" s="89">
        <v>-19744</v>
      </c>
      <c r="G316" s="6"/>
    </row>
    <row r="317" spans="1:7" x14ac:dyDescent="0.25">
      <c r="A317" s="2"/>
      <c r="C317" s="38"/>
      <c r="D317" s="2"/>
      <c r="F317" s="89"/>
      <c r="G317" s="2"/>
    </row>
    <row r="318" spans="1:7" x14ac:dyDescent="0.25">
      <c r="A318" s="6" t="s">
        <v>141</v>
      </c>
      <c r="C318" s="6"/>
      <c r="D318" s="6"/>
      <c r="F318" s="6"/>
      <c r="G318" s="88">
        <f>SUM(F319:F320)</f>
        <v>-633033</v>
      </c>
    </row>
    <row r="319" spans="1:7" x14ac:dyDescent="0.25">
      <c r="A319" s="2" t="s">
        <v>136</v>
      </c>
      <c r="C319" s="2" t="s">
        <v>22</v>
      </c>
      <c r="D319" s="2"/>
      <c r="F319" s="89">
        <v>-60712</v>
      </c>
      <c r="G319" s="2"/>
    </row>
    <row r="320" spans="1:7" x14ac:dyDescent="0.25">
      <c r="A320" s="2"/>
      <c r="C320" s="2" t="s">
        <v>25</v>
      </c>
      <c r="D320" s="2"/>
      <c r="F320" s="89">
        <v>-572321</v>
      </c>
      <c r="G320" s="2"/>
    </row>
    <row r="321" spans="1:7" x14ac:dyDescent="0.25">
      <c r="A321" s="2"/>
      <c r="C321" s="2"/>
      <c r="D321" s="2"/>
      <c r="F321" s="89"/>
      <c r="G321" s="2"/>
    </row>
    <row r="322" spans="1:7" x14ac:dyDescent="0.25">
      <c r="A322" s="2"/>
      <c r="C322" s="38"/>
      <c r="D322" s="2"/>
      <c r="F322" s="89"/>
      <c r="G322" s="2"/>
    </row>
    <row r="323" spans="1:7" x14ac:dyDescent="0.25">
      <c r="A323" s="6" t="s">
        <v>152</v>
      </c>
      <c r="C323" s="6"/>
      <c r="D323" s="6"/>
      <c r="F323" s="6"/>
      <c r="G323" s="88">
        <f>SUM(F324:F325)</f>
        <v>-61425</v>
      </c>
    </row>
    <row r="324" spans="1:7" x14ac:dyDescent="0.25">
      <c r="A324" s="2" t="s">
        <v>136</v>
      </c>
      <c r="C324" s="2" t="s">
        <v>22</v>
      </c>
      <c r="D324" s="2"/>
      <c r="F324" s="89">
        <v>-104256</v>
      </c>
      <c r="G324" s="2"/>
    </row>
    <row r="325" spans="1:7" x14ac:dyDescent="0.25">
      <c r="A325" s="2"/>
      <c r="C325" s="2" t="s">
        <v>145</v>
      </c>
      <c r="D325" s="2"/>
      <c r="F325" s="89">
        <v>42831</v>
      </c>
      <c r="G325" s="2"/>
    </row>
    <row r="326" spans="1:7" x14ac:dyDescent="0.25">
      <c r="A326" s="2"/>
      <c r="C326" s="2"/>
      <c r="D326" s="2"/>
      <c r="F326" s="89"/>
      <c r="G326" s="2"/>
    </row>
    <row r="327" spans="1:7" x14ac:dyDescent="0.25">
      <c r="A327" s="6" t="s">
        <v>142</v>
      </c>
      <c r="C327" s="6"/>
      <c r="F327" s="6"/>
      <c r="G327" s="88">
        <f>SUM(F330)</f>
        <v>-183781</v>
      </c>
    </row>
    <row r="328" spans="1:7" x14ac:dyDescent="0.25">
      <c r="A328" s="6"/>
      <c r="C328" s="6"/>
      <c r="F328" s="6"/>
      <c r="G328" s="88"/>
    </row>
    <row r="329" spans="1:7" x14ac:dyDescent="0.25">
      <c r="A329" s="6" t="s">
        <v>143</v>
      </c>
      <c r="C329" s="6"/>
      <c r="G329" s="6"/>
    </row>
    <row r="330" spans="1:7" x14ac:dyDescent="0.25">
      <c r="A330" s="6" t="s">
        <v>144</v>
      </c>
      <c r="C330" s="6"/>
      <c r="F330" s="88">
        <f>SUM(F331:F332)</f>
        <v>-183781</v>
      </c>
      <c r="G330" s="6"/>
    </row>
    <row r="331" spans="1:7" x14ac:dyDescent="0.25">
      <c r="A331" s="2" t="s">
        <v>136</v>
      </c>
      <c r="C331" s="2" t="s">
        <v>22</v>
      </c>
      <c r="D331" s="2"/>
      <c r="F331" s="89">
        <v>-88239</v>
      </c>
      <c r="G331" s="2"/>
    </row>
    <row r="332" spans="1:7" x14ac:dyDescent="0.25">
      <c r="A332" s="2"/>
      <c r="C332" s="2" t="s">
        <v>145</v>
      </c>
      <c r="D332" s="2"/>
      <c r="F332" s="89">
        <v>-95542</v>
      </c>
      <c r="G332" s="2"/>
    </row>
    <row r="333" spans="1:7" x14ac:dyDescent="0.25">
      <c r="A333" s="2"/>
      <c r="C333" s="2"/>
      <c r="D333" s="2"/>
      <c r="F333" s="89"/>
      <c r="G333" s="2"/>
    </row>
    <row r="334" spans="1:7" x14ac:dyDescent="0.25">
      <c r="A334" s="6" t="s">
        <v>156</v>
      </c>
      <c r="C334" s="6"/>
      <c r="D334" s="6"/>
      <c r="F334" s="6"/>
      <c r="G334" s="6"/>
    </row>
    <row r="335" spans="1:7" x14ac:dyDescent="0.25">
      <c r="A335" s="6" t="s">
        <v>157</v>
      </c>
      <c r="C335" s="6"/>
      <c r="D335" s="6"/>
      <c r="F335" s="6"/>
      <c r="G335" s="88">
        <f>SUM(F338,F348)</f>
        <v>-7711443</v>
      </c>
    </row>
    <row r="336" spans="1:7" x14ac:dyDescent="0.25">
      <c r="A336" s="6"/>
      <c r="C336" s="6"/>
      <c r="D336" s="6"/>
      <c r="F336" s="6"/>
      <c r="G336" s="88"/>
    </row>
    <row r="337" spans="1:7" x14ac:dyDescent="0.25">
      <c r="A337" s="1" t="s">
        <v>158</v>
      </c>
      <c r="C337" s="6"/>
      <c r="G337" s="88"/>
    </row>
    <row r="338" spans="1:7" x14ac:dyDescent="0.25">
      <c r="A338" s="1" t="s">
        <v>159</v>
      </c>
      <c r="F338" s="88">
        <f>SUM(F339:F345)</f>
        <v>-7857821</v>
      </c>
      <c r="G338" s="88"/>
    </row>
    <row r="339" spans="1:7" x14ac:dyDescent="0.25">
      <c r="A339" s="2" t="s">
        <v>136</v>
      </c>
      <c r="C339" s="2" t="s">
        <v>22</v>
      </c>
      <c r="F339" s="89">
        <v>-7754813</v>
      </c>
      <c r="G339" s="88"/>
    </row>
    <row r="340" spans="1:7" x14ac:dyDescent="0.25">
      <c r="A340" s="2"/>
      <c r="C340" s="2" t="s">
        <v>44</v>
      </c>
      <c r="D340" s="2"/>
      <c r="F340" s="89">
        <v>-3015</v>
      </c>
      <c r="G340" s="6"/>
    </row>
    <row r="341" spans="1:7" x14ac:dyDescent="0.25">
      <c r="A341" s="2"/>
      <c r="C341" s="38" t="s">
        <v>45</v>
      </c>
      <c r="D341" s="2"/>
      <c r="F341" s="89">
        <v>-668</v>
      </c>
      <c r="G341" s="2"/>
    </row>
    <row r="342" spans="1:7" x14ac:dyDescent="0.25">
      <c r="A342" s="2"/>
      <c r="C342" s="38" t="s">
        <v>46</v>
      </c>
      <c r="D342" s="2"/>
      <c r="F342" s="89">
        <v>-6701</v>
      </c>
      <c r="G342" s="2"/>
    </row>
    <row r="343" spans="1:7" x14ac:dyDescent="0.25">
      <c r="A343" s="2"/>
      <c r="C343" s="38" t="s">
        <v>47</v>
      </c>
      <c r="D343" s="2"/>
      <c r="F343" s="89">
        <v>13898</v>
      </c>
      <c r="G343" s="2"/>
    </row>
    <row r="344" spans="1:7" x14ac:dyDescent="0.25">
      <c r="A344" s="2"/>
      <c r="C344" s="2" t="s">
        <v>48</v>
      </c>
      <c r="D344" s="2"/>
      <c r="F344" s="89">
        <v>-8186</v>
      </c>
      <c r="G344" s="6"/>
    </row>
    <row r="345" spans="1:7" x14ac:dyDescent="0.25">
      <c r="A345" s="2"/>
      <c r="C345" s="38" t="s">
        <v>103</v>
      </c>
      <c r="D345" s="2"/>
      <c r="F345" s="89">
        <v>-98336</v>
      </c>
      <c r="G345" s="2"/>
    </row>
    <row r="346" spans="1:7" x14ac:dyDescent="0.25">
      <c r="A346" s="2"/>
      <c r="C346" s="2"/>
      <c r="D346" s="2"/>
      <c r="F346" s="89"/>
      <c r="G346" s="2"/>
    </row>
    <row r="347" spans="1:7" x14ac:dyDescent="0.25">
      <c r="A347" s="2"/>
      <c r="C347" s="2"/>
      <c r="D347" s="2"/>
      <c r="F347" s="89"/>
      <c r="G347" s="2"/>
    </row>
    <row r="348" spans="1:7" x14ac:dyDescent="0.25">
      <c r="A348" s="1" t="s">
        <v>160</v>
      </c>
      <c r="C348" s="6"/>
      <c r="F348" s="88">
        <f>SUM(F349:F355)</f>
        <v>146378</v>
      </c>
      <c r="G348" s="88"/>
    </row>
    <row r="349" spans="1:7" x14ac:dyDescent="0.25">
      <c r="A349" s="2" t="s">
        <v>136</v>
      </c>
      <c r="C349" s="2" t="s">
        <v>22</v>
      </c>
      <c r="F349" s="89">
        <v>213886</v>
      </c>
      <c r="G349" s="88"/>
    </row>
    <row r="350" spans="1:7" x14ac:dyDescent="0.25">
      <c r="A350" s="2"/>
      <c r="C350" s="2" t="s">
        <v>44</v>
      </c>
      <c r="D350" s="2"/>
      <c r="F350" s="89">
        <v>-34685</v>
      </c>
      <c r="G350" s="6"/>
    </row>
    <row r="351" spans="1:7" x14ac:dyDescent="0.25">
      <c r="A351" s="2"/>
      <c r="C351" s="38" t="s">
        <v>47</v>
      </c>
      <c r="F351" s="89">
        <v>-150</v>
      </c>
      <c r="G351" s="88"/>
    </row>
    <row r="352" spans="1:7" x14ac:dyDescent="0.25">
      <c r="A352" s="2"/>
      <c r="C352" s="38" t="s">
        <v>45</v>
      </c>
      <c r="D352" s="2"/>
      <c r="F352" s="89">
        <v>-12593</v>
      </c>
      <c r="G352" s="2"/>
    </row>
    <row r="353" spans="1:7" x14ac:dyDescent="0.25">
      <c r="A353" s="2"/>
      <c r="C353" s="38" t="s">
        <v>46</v>
      </c>
      <c r="D353" s="2"/>
      <c r="F353" s="89">
        <v>-13754</v>
      </c>
      <c r="G353" s="2"/>
    </row>
    <row r="354" spans="1:7" x14ac:dyDescent="0.25">
      <c r="A354" s="2"/>
      <c r="C354" s="2" t="s">
        <v>48</v>
      </c>
      <c r="D354" s="2"/>
      <c r="F354" s="89">
        <v>-8178</v>
      </c>
      <c r="G354" s="6"/>
    </row>
    <row r="355" spans="1:7" x14ac:dyDescent="0.25">
      <c r="A355" s="2"/>
      <c r="C355" s="38" t="s">
        <v>103</v>
      </c>
      <c r="D355" s="2"/>
      <c r="F355" s="89">
        <v>1852</v>
      </c>
      <c r="G355" s="2"/>
    </row>
    <row r="356" spans="1:7" x14ac:dyDescent="0.25">
      <c r="A356" s="2"/>
      <c r="C356" s="2"/>
      <c r="F356" s="89"/>
      <c r="G356" s="88"/>
    </row>
    <row r="357" spans="1:7" x14ac:dyDescent="0.25">
      <c r="A357" s="2"/>
      <c r="C357" s="2"/>
      <c r="F357" s="89"/>
      <c r="G357" s="88"/>
    </row>
    <row r="358" spans="1:7" x14ac:dyDescent="0.25">
      <c r="A358" s="6" t="s">
        <v>146</v>
      </c>
      <c r="C358" s="2"/>
      <c r="D358" s="2"/>
      <c r="F358" s="89"/>
      <c r="G358" s="88">
        <f>SUM(F360,F363,F373)</f>
        <v>-842192</v>
      </c>
    </row>
    <row r="359" spans="1:7" x14ac:dyDescent="0.25">
      <c r="A359" s="6"/>
      <c r="C359" s="2"/>
      <c r="D359" s="2"/>
      <c r="F359" s="89"/>
      <c r="G359" s="88"/>
    </row>
    <row r="360" spans="1:7" x14ac:dyDescent="0.25">
      <c r="A360" s="6" t="s">
        <v>161</v>
      </c>
      <c r="C360" s="2"/>
      <c r="D360" s="2"/>
      <c r="F360" s="88">
        <f>SUM(F361:F361)</f>
        <v>-4069</v>
      </c>
      <c r="G360" s="88"/>
    </row>
    <row r="361" spans="1:7" x14ac:dyDescent="0.25">
      <c r="A361" s="2" t="s">
        <v>136</v>
      </c>
      <c r="C361" s="2" t="s">
        <v>22</v>
      </c>
      <c r="D361" s="2"/>
      <c r="F361" s="89">
        <v>-4069</v>
      </c>
      <c r="G361" s="6"/>
    </row>
    <row r="362" spans="1:7" x14ac:dyDescent="0.25">
      <c r="A362" s="2"/>
      <c r="C362" s="38"/>
      <c r="D362" s="2"/>
      <c r="F362" s="89"/>
      <c r="G362" s="2"/>
    </row>
    <row r="363" spans="1:7" x14ac:dyDescent="0.25">
      <c r="A363" s="6" t="s">
        <v>147</v>
      </c>
      <c r="C363" s="2"/>
      <c r="D363" s="2"/>
      <c r="F363" s="88">
        <f>SUM(F364:F371)</f>
        <v>-520364</v>
      </c>
      <c r="G363" s="88"/>
    </row>
    <row r="364" spans="1:7" x14ac:dyDescent="0.25">
      <c r="A364" s="2" t="s">
        <v>136</v>
      </c>
      <c r="C364" s="2" t="s">
        <v>22</v>
      </c>
      <c r="D364" s="2"/>
      <c r="F364" s="89">
        <v>-305920</v>
      </c>
      <c r="G364" s="6"/>
    </row>
    <row r="365" spans="1:7" x14ac:dyDescent="0.25">
      <c r="A365" s="2"/>
      <c r="C365" s="2" t="s">
        <v>25</v>
      </c>
      <c r="D365" s="2"/>
      <c r="F365" s="89">
        <v>-71971</v>
      </c>
      <c r="G365" s="6"/>
    </row>
    <row r="366" spans="1:7" x14ac:dyDescent="0.25">
      <c r="A366" s="2"/>
      <c r="C366" s="2" t="s">
        <v>44</v>
      </c>
      <c r="D366" s="2"/>
      <c r="F366" s="89">
        <v>-35784</v>
      </c>
      <c r="G366" s="6"/>
    </row>
    <row r="367" spans="1:7" x14ac:dyDescent="0.25">
      <c r="A367" s="2"/>
      <c r="C367" s="38" t="s">
        <v>47</v>
      </c>
      <c r="D367" s="2"/>
      <c r="F367" s="89">
        <v>-107</v>
      </c>
      <c r="G367" s="2"/>
    </row>
    <row r="368" spans="1:7" x14ac:dyDescent="0.25">
      <c r="A368" s="2"/>
      <c r="C368" s="38" t="s">
        <v>45</v>
      </c>
      <c r="D368" s="2"/>
      <c r="F368" s="89">
        <v>-605</v>
      </c>
      <c r="G368" s="2"/>
    </row>
    <row r="369" spans="1:7" x14ac:dyDescent="0.25">
      <c r="A369" s="2"/>
      <c r="C369" s="38" t="s">
        <v>46</v>
      </c>
      <c r="D369" s="2"/>
      <c r="F369" s="89">
        <v>-800</v>
      </c>
      <c r="G369" s="2"/>
    </row>
    <row r="370" spans="1:7" x14ac:dyDescent="0.25">
      <c r="A370" s="2"/>
      <c r="C370" s="2" t="s">
        <v>48</v>
      </c>
      <c r="D370" s="2"/>
      <c r="F370" s="89">
        <v>-838</v>
      </c>
      <c r="G370" s="6"/>
    </row>
    <row r="371" spans="1:7" x14ac:dyDescent="0.25">
      <c r="A371" s="2"/>
      <c r="C371" s="2" t="s">
        <v>162</v>
      </c>
      <c r="D371" s="2"/>
      <c r="F371" s="89">
        <v>-104339</v>
      </c>
      <c r="G371" s="6"/>
    </row>
    <row r="372" spans="1:7" x14ac:dyDescent="0.25">
      <c r="A372" s="6"/>
      <c r="C372" s="2"/>
      <c r="D372" s="2"/>
      <c r="F372" s="89"/>
      <c r="G372" s="88"/>
    </row>
    <row r="373" spans="1:7" x14ac:dyDescent="0.25">
      <c r="A373" s="6" t="s">
        <v>148</v>
      </c>
      <c r="C373" s="2"/>
      <c r="D373" s="2"/>
      <c r="F373" s="88">
        <f>SUM(F374:F378)</f>
        <v>-317759</v>
      </c>
      <c r="G373" s="2"/>
    </row>
    <row r="374" spans="1:7" x14ac:dyDescent="0.25">
      <c r="A374" s="2" t="s">
        <v>136</v>
      </c>
      <c r="C374" s="2" t="s">
        <v>22</v>
      </c>
      <c r="D374" s="2"/>
      <c r="F374" s="89">
        <v>-61143</v>
      </c>
      <c r="G374" s="2"/>
    </row>
    <row r="375" spans="1:7" x14ac:dyDescent="0.25">
      <c r="A375" s="2"/>
      <c r="C375" s="2" t="s">
        <v>41</v>
      </c>
      <c r="D375" s="2"/>
      <c r="F375" s="89">
        <v>-50979</v>
      </c>
      <c r="G375" s="2"/>
    </row>
    <row r="376" spans="1:7" x14ac:dyDescent="0.25">
      <c r="A376" s="2"/>
      <c r="C376" s="2" t="s">
        <v>44</v>
      </c>
      <c r="D376" s="2"/>
      <c r="F376" s="89">
        <v>-855</v>
      </c>
      <c r="G376" s="6"/>
    </row>
    <row r="377" spans="1:7" x14ac:dyDescent="0.25">
      <c r="A377" s="2"/>
      <c r="C377" s="2" t="s">
        <v>163</v>
      </c>
      <c r="D377" s="2"/>
      <c r="F377" s="89">
        <v>-82261</v>
      </c>
      <c r="G377" s="2"/>
    </row>
    <row r="378" spans="1:7" x14ac:dyDescent="0.25">
      <c r="A378" s="2"/>
      <c r="C378" s="2" t="s">
        <v>164</v>
      </c>
      <c r="D378" s="2"/>
      <c r="F378" s="89">
        <v>-122521</v>
      </c>
      <c r="G378" s="2"/>
    </row>
    <row r="379" spans="1:7" x14ac:dyDescent="0.25">
      <c r="A379" s="2"/>
      <c r="C379" s="2"/>
      <c r="D379" s="2"/>
      <c r="F379" s="89"/>
      <c r="G379" s="2"/>
    </row>
    <row r="380" spans="1:7" x14ac:dyDescent="0.25">
      <c r="A380" s="6" t="s">
        <v>165</v>
      </c>
      <c r="C380" s="6"/>
      <c r="F380" s="6"/>
      <c r="G380" s="88">
        <f>SUM(F381,F385,F390)</f>
        <v>-538870</v>
      </c>
    </row>
    <row r="381" spans="1:7" x14ac:dyDescent="0.25">
      <c r="A381" s="6" t="s">
        <v>166</v>
      </c>
      <c r="C381" s="6"/>
      <c r="F381" s="88">
        <f>SUM(F382:F383)</f>
        <v>-24020</v>
      </c>
      <c r="G381" s="6"/>
    </row>
    <row r="382" spans="1:7" x14ac:dyDescent="0.25">
      <c r="A382" s="2" t="s">
        <v>136</v>
      </c>
      <c r="C382" s="2" t="s">
        <v>22</v>
      </c>
      <c r="D382" s="2"/>
      <c r="F382" s="89">
        <v>-8500</v>
      </c>
      <c r="G382" s="2"/>
    </row>
    <row r="383" spans="1:7" x14ac:dyDescent="0.25">
      <c r="A383" s="2"/>
      <c r="C383" s="2" t="s">
        <v>106</v>
      </c>
      <c r="F383" s="89">
        <v>-15520</v>
      </c>
      <c r="G383" s="6"/>
    </row>
    <row r="384" spans="1:7" x14ac:dyDescent="0.25">
      <c r="A384" s="2"/>
      <c r="C384" s="38"/>
      <c r="F384" s="89"/>
      <c r="G384" s="6"/>
    </row>
    <row r="385" spans="1:7" x14ac:dyDescent="0.25">
      <c r="A385" s="6" t="s">
        <v>167</v>
      </c>
      <c r="C385" s="6"/>
      <c r="F385" s="88">
        <f>SUM(F386:F388)</f>
        <v>-424932</v>
      </c>
      <c r="G385" s="6"/>
    </row>
    <row r="386" spans="1:7" x14ac:dyDescent="0.25">
      <c r="A386" s="2" t="s">
        <v>136</v>
      </c>
      <c r="C386" s="2" t="s">
        <v>22</v>
      </c>
      <c r="F386" s="89">
        <v>-423372</v>
      </c>
      <c r="G386" s="6"/>
    </row>
    <row r="387" spans="1:7" x14ac:dyDescent="0.25">
      <c r="A387" s="2"/>
      <c r="C387" s="2" t="s">
        <v>44</v>
      </c>
      <c r="D387" s="2"/>
      <c r="F387" s="89">
        <v>-1158</v>
      </c>
      <c r="G387" s="2"/>
    </row>
    <row r="388" spans="1:7" x14ac:dyDescent="0.25">
      <c r="A388" s="2"/>
      <c r="C388" s="38" t="s">
        <v>46</v>
      </c>
      <c r="F388" s="89">
        <v>-402</v>
      </c>
      <c r="G388" s="6"/>
    </row>
    <row r="389" spans="1:7" x14ac:dyDescent="0.25">
      <c r="A389" s="2"/>
      <c r="C389" s="38"/>
      <c r="F389" s="89"/>
      <c r="G389" s="6"/>
    </row>
    <row r="390" spans="1:7" x14ac:dyDescent="0.25">
      <c r="A390" s="6" t="s">
        <v>168</v>
      </c>
      <c r="C390" s="6"/>
      <c r="F390" s="88">
        <f>SUM(F391:F395)</f>
        <v>-89918</v>
      </c>
      <c r="G390" s="6"/>
    </row>
    <row r="391" spans="1:7" x14ac:dyDescent="0.25">
      <c r="A391" s="2" t="s">
        <v>136</v>
      </c>
      <c r="C391" s="2" t="s">
        <v>22</v>
      </c>
      <c r="F391" s="89">
        <v>-31190</v>
      </c>
      <c r="G391" s="6"/>
    </row>
    <row r="392" spans="1:7" x14ac:dyDescent="0.25">
      <c r="A392" s="2"/>
      <c r="C392" s="2" t="s">
        <v>44</v>
      </c>
      <c r="D392" s="2"/>
      <c r="F392" s="89">
        <v>266</v>
      </c>
      <c r="G392" s="6"/>
    </row>
    <row r="393" spans="1:7" x14ac:dyDescent="0.25">
      <c r="A393" s="2"/>
      <c r="C393" s="38" t="s">
        <v>45</v>
      </c>
      <c r="D393" s="2"/>
      <c r="F393" s="89">
        <v>-1776</v>
      </c>
      <c r="G393" s="2"/>
    </row>
    <row r="394" spans="1:7" x14ac:dyDescent="0.25">
      <c r="A394" s="2"/>
      <c r="C394" s="38" t="s">
        <v>107</v>
      </c>
      <c r="D394" s="2"/>
      <c r="F394" s="89">
        <v>-12029</v>
      </c>
      <c r="G394" s="2"/>
    </row>
    <row r="395" spans="1:7" x14ac:dyDescent="0.25">
      <c r="A395" s="2"/>
      <c r="C395" s="38" t="s">
        <v>108</v>
      </c>
      <c r="D395" s="2"/>
      <c r="F395" s="89">
        <v>-45189</v>
      </c>
      <c r="G395" s="2"/>
    </row>
    <row r="396" spans="1:7" x14ac:dyDescent="0.25">
      <c r="A396" s="2"/>
      <c r="C396" s="2"/>
      <c r="F396" s="89"/>
      <c r="G396" s="6"/>
    </row>
    <row r="397" spans="1:7" x14ac:dyDescent="0.25">
      <c r="A397" s="6" t="s">
        <v>169</v>
      </c>
      <c r="C397" s="2"/>
      <c r="F397" s="89"/>
      <c r="G397" s="6"/>
    </row>
    <row r="398" spans="1:7" x14ac:dyDescent="0.25">
      <c r="A398" s="6" t="s">
        <v>170</v>
      </c>
      <c r="C398" s="2"/>
      <c r="F398" s="89"/>
      <c r="G398" s="88">
        <f>SUM(F399)</f>
        <v>-12211</v>
      </c>
    </row>
    <row r="399" spans="1:7" x14ac:dyDescent="0.25">
      <c r="A399" s="2" t="s">
        <v>136</v>
      </c>
      <c r="C399" s="2" t="s">
        <v>22</v>
      </c>
      <c r="F399" s="89">
        <v>-12211</v>
      </c>
      <c r="G399" s="6"/>
    </row>
    <row r="400" spans="1:7" x14ac:dyDescent="0.25">
      <c r="A400" s="2"/>
      <c r="C400" s="2"/>
      <c r="F400" s="89"/>
      <c r="G400" s="6"/>
    </row>
    <row r="401" spans="1:10" ht="16.5" thickBot="1" x14ac:dyDescent="0.3">
      <c r="A401" s="90" t="s">
        <v>171</v>
      </c>
      <c r="B401" s="91"/>
      <c r="C401" s="90"/>
      <c r="D401" s="90"/>
      <c r="E401" s="91"/>
      <c r="F401" s="90"/>
      <c r="G401" s="92">
        <f>SUM(G300,G309,G318,G323,G327,G335,G358,G380,G398)</f>
        <v>-10942639</v>
      </c>
    </row>
    <row r="402" spans="1:10" ht="16.5" thickTop="1" x14ac:dyDescent="0.25">
      <c r="A402" s="93"/>
      <c r="C402" s="93"/>
      <c r="D402" s="93"/>
      <c r="E402" s="102"/>
      <c r="F402" s="93"/>
      <c r="G402" s="94"/>
    </row>
    <row r="403" spans="1:10" x14ac:dyDescent="0.25">
      <c r="A403" s="97" t="s">
        <v>172</v>
      </c>
      <c r="B403" s="96"/>
      <c r="C403" s="97"/>
      <c r="D403" s="97"/>
      <c r="E403" s="96"/>
      <c r="F403" s="97"/>
      <c r="G403" s="97"/>
    </row>
    <row r="404" spans="1:10" ht="16.5" thickBot="1" x14ac:dyDescent="0.3">
      <c r="A404" s="100" t="s">
        <v>173</v>
      </c>
      <c r="B404" s="99"/>
      <c r="C404" s="100"/>
      <c r="D404" s="100"/>
      <c r="E404" s="99"/>
      <c r="F404" s="100"/>
      <c r="G404" s="101">
        <f>SUM(G401,G294)</f>
        <v>-11363753</v>
      </c>
    </row>
    <row r="405" spans="1:10" ht="16.5" thickTop="1" x14ac:dyDescent="0.25">
      <c r="A405" s="93"/>
      <c r="C405" s="93"/>
      <c r="D405" s="93"/>
      <c r="E405" s="22"/>
      <c r="F405" s="93"/>
      <c r="G405" s="94"/>
    </row>
    <row r="406" spans="1:10" ht="16.5" thickBot="1" x14ac:dyDescent="0.3">
      <c r="A406" s="90" t="s">
        <v>174</v>
      </c>
      <c r="B406" s="91"/>
      <c r="C406" s="90"/>
      <c r="D406" s="90"/>
      <c r="E406" s="91"/>
      <c r="F406" s="90"/>
      <c r="G406" s="92">
        <f>SUM(G404,G250)</f>
        <v>-11323154</v>
      </c>
    </row>
    <row r="407" spans="1:10" ht="16.5" thickTop="1" x14ac:dyDescent="0.25"/>
    <row r="409" spans="1:10" x14ac:dyDescent="0.25">
      <c r="H409" s="103"/>
      <c r="I409" s="60"/>
      <c r="J409" s="60"/>
    </row>
    <row r="410" spans="1:10" x14ac:dyDescent="0.25">
      <c r="H410" s="103"/>
      <c r="I410" s="60"/>
      <c r="J410" s="60"/>
    </row>
    <row r="411" spans="1:10" x14ac:dyDescent="0.25">
      <c r="H411" s="103"/>
      <c r="I411" s="60"/>
      <c r="J411" s="60"/>
    </row>
    <row r="412" spans="1:10" x14ac:dyDescent="0.25">
      <c r="H412" s="103"/>
      <c r="I412" s="60"/>
      <c r="J412" s="60"/>
    </row>
    <row r="413" spans="1:10" x14ac:dyDescent="0.25">
      <c r="H413" s="103"/>
      <c r="I413" s="60"/>
      <c r="J413" s="60"/>
    </row>
    <row r="414" spans="1:10" x14ac:dyDescent="0.25">
      <c r="H414" s="103"/>
      <c r="I414" s="60"/>
      <c r="J414" s="60"/>
    </row>
    <row r="415" spans="1:10" s="16" customFormat="1" x14ac:dyDescent="0.25">
      <c r="A415" s="23" t="s">
        <v>175</v>
      </c>
      <c r="B415" s="12"/>
      <c r="C415" s="12"/>
      <c r="D415" s="12"/>
      <c r="E415" s="104"/>
      <c r="F415" s="60"/>
      <c r="G415" s="60"/>
      <c r="H415" s="105"/>
    </row>
    <row r="416" spans="1:10" s="16" customFormat="1" x14ac:dyDescent="0.25">
      <c r="A416" s="12"/>
      <c r="C416" s="12"/>
      <c r="D416" s="12"/>
      <c r="E416" s="12"/>
      <c r="F416" s="12"/>
      <c r="H416" s="105"/>
    </row>
    <row r="417" spans="1:248" s="16" customFormat="1" x14ac:dyDescent="0.25">
      <c r="A417" s="12"/>
      <c r="C417" s="12"/>
      <c r="D417" s="12"/>
      <c r="E417" s="12"/>
      <c r="F417" s="12"/>
      <c r="H417" s="105"/>
    </row>
    <row r="418" spans="1:248" s="16" customFormat="1" x14ac:dyDescent="0.25">
      <c r="A418" s="106" t="s">
        <v>176</v>
      </c>
      <c r="B418" s="107"/>
      <c r="C418" s="108"/>
      <c r="D418" s="109"/>
      <c r="E418" s="110" t="s">
        <v>10</v>
      </c>
      <c r="F418" s="110" t="s">
        <v>132</v>
      </c>
      <c r="H418" s="105"/>
    </row>
    <row r="419" spans="1:248" s="16" customFormat="1" x14ac:dyDescent="0.25">
      <c r="A419" s="111" t="s">
        <v>177</v>
      </c>
      <c r="B419" s="107"/>
      <c r="C419" s="108"/>
      <c r="D419" s="109"/>
      <c r="E419" s="112">
        <v>0</v>
      </c>
      <c r="F419" s="112">
        <v>0</v>
      </c>
      <c r="H419" s="105"/>
    </row>
    <row r="420" spans="1:248" s="16" customFormat="1" x14ac:dyDescent="0.25">
      <c r="A420" s="113" t="s">
        <v>178</v>
      </c>
      <c r="B420" s="114"/>
      <c r="C420" s="115"/>
      <c r="D420" s="116"/>
      <c r="E420" s="112">
        <f>6227379-10539011</f>
        <v>-4311632</v>
      </c>
      <c r="F420" s="112">
        <f>6227379-10539011</f>
        <v>-4311632</v>
      </c>
      <c r="H420" s="105"/>
    </row>
    <row r="421" spans="1:248" s="16" customFormat="1" x14ac:dyDescent="0.25">
      <c r="A421" s="113" t="s">
        <v>179</v>
      </c>
      <c r="B421" s="114"/>
      <c r="C421" s="115"/>
      <c r="D421" s="116"/>
      <c r="E421" s="112">
        <v>-248374</v>
      </c>
      <c r="F421" s="112">
        <v>-248374</v>
      </c>
      <c r="H421" s="105"/>
    </row>
    <row r="422" spans="1:248" s="117" customFormat="1" x14ac:dyDescent="0.25">
      <c r="A422" s="113" t="s">
        <v>180</v>
      </c>
      <c r="B422" s="114"/>
      <c r="C422" s="115"/>
      <c r="D422" s="116"/>
      <c r="E422" s="112">
        <f>2112348-9849351</f>
        <v>-7737003</v>
      </c>
      <c r="F422" s="112">
        <f>2112348-9849351</f>
        <v>-7737003</v>
      </c>
      <c r="G422" s="16"/>
      <c r="H422" s="105"/>
    </row>
    <row r="423" spans="1:248" s="16" customFormat="1" x14ac:dyDescent="0.25">
      <c r="A423" s="118" t="s">
        <v>181</v>
      </c>
      <c r="B423" s="119"/>
      <c r="C423" s="46"/>
      <c r="D423" s="120"/>
      <c r="E423" s="121">
        <f>SUM(E419:E422)</f>
        <v>-12297009</v>
      </c>
      <c r="F423" s="121">
        <f>SUM(F419:F422)</f>
        <v>-12297009</v>
      </c>
      <c r="G423" s="117"/>
      <c r="H423" s="105"/>
    </row>
    <row r="424" spans="1:248" s="16" customFormat="1" x14ac:dyDescent="0.25">
      <c r="A424" s="12"/>
      <c r="C424" s="12"/>
      <c r="D424" s="12"/>
      <c r="E424" s="12"/>
      <c r="F424" s="12"/>
      <c r="H424" s="105"/>
    </row>
    <row r="425" spans="1:248" s="16" customFormat="1" x14ac:dyDescent="0.25">
      <c r="A425" s="12"/>
      <c r="C425" s="12"/>
      <c r="D425" s="12"/>
      <c r="E425" s="12"/>
      <c r="F425" s="12"/>
      <c r="H425" s="105"/>
    </row>
    <row r="426" spans="1:248" s="125" customFormat="1" x14ac:dyDescent="0.25">
      <c r="A426" s="16"/>
      <c r="B426" s="122" t="s">
        <v>182</v>
      </c>
      <c r="C426" s="16"/>
      <c r="D426" s="122"/>
      <c r="E426" s="122"/>
      <c r="F426" s="16"/>
      <c r="G426" s="123"/>
      <c r="H426" s="124"/>
    </row>
    <row r="427" spans="1:248" s="125" customFormat="1" x14ac:dyDescent="0.25">
      <c r="A427" s="122" t="s">
        <v>183</v>
      </c>
      <c r="B427" s="16"/>
      <c r="C427" s="16"/>
      <c r="D427" s="122"/>
      <c r="E427" s="122"/>
      <c r="F427" s="16"/>
      <c r="G427" s="123"/>
      <c r="H427" s="124"/>
    </row>
    <row r="428" spans="1:248" x14ac:dyDescent="0.25">
      <c r="B428" s="16"/>
      <c r="G428" s="16"/>
    </row>
    <row r="429" spans="1:248" s="105" customFormat="1" x14ac:dyDescent="0.25">
      <c r="A429" s="12"/>
      <c r="B429" s="12" t="s">
        <v>184</v>
      </c>
      <c r="C429" s="12"/>
      <c r="D429" s="12"/>
      <c r="E429" s="12"/>
      <c r="F429" s="14"/>
      <c r="G429" s="126"/>
      <c r="H429" s="13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  <c r="DG429" s="12"/>
      <c r="DH429" s="12"/>
      <c r="DI429" s="12"/>
      <c r="DJ429" s="12"/>
      <c r="DK429" s="12"/>
      <c r="DL429" s="12"/>
      <c r="DM429" s="12"/>
      <c r="DN429" s="12"/>
      <c r="DO429" s="12"/>
      <c r="DP429" s="12"/>
      <c r="DQ429" s="12"/>
      <c r="DR429" s="12"/>
      <c r="DS429" s="12"/>
      <c r="DT429" s="12"/>
      <c r="DU429" s="12"/>
      <c r="DV429" s="12"/>
      <c r="DW429" s="12"/>
      <c r="DX429" s="12"/>
      <c r="DY429" s="12"/>
      <c r="DZ429" s="12"/>
      <c r="EA429" s="12"/>
      <c r="EB429" s="12"/>
      <c r="EC429" s="12"/>
      <c r="ED429" s="12"/>
      <c r="EE429" s="12"/>
      <c r="EF429" s="12"/>
      <c r="EG429" s="12"/>
      <c r="EH429" s="12"/>
      <c r="EI429" s="12"/>
      <c r="EJ429" s="12"/>
      <c r="EK429" s="12"/>
      <c r="EL429" s="12"/>
      <c r="EM429" s="12"/>
      <c r="EN429" s="12"/>
      <c r="EO429" s="12"/>
      <c r="EP429" s="12"/>
      <c r="EQ429" s="12"/>
      <c r="ER429" s="12"/>
      <c r="ES429" s="12"/>
      <c r="ET429" s="12"/>
      <c r="EU429" s="12"/>
      <c r="EV429" s="12"/>
      <c r="EW429" s="12"/>
      <c r="EX429" s="12"/>
      <c r="EY429" s="12"/>
      <c r="EZ429" s="12"/>
      <c r="FA429" s="12"/>
      <c r="FB429" s="12"/>
      <c r="FC429" s="12"/>
      <c r="FD429" s="12"/>
      <c r="FE429" s="12"/>
      <c r="FF429" s="12"/>
      <c r="FG429" s="12"/>
      <c r="FH429" s="12"/>
      <c r="FI429" s="12"/>
      <c r="FJ429" s="12"/>
      <c r="FK429" s="12"/>
      <c r="FL429" s="12"/>
      <c r="FM429" s="12"/>
      <c r="FN429" s="12"/>
      <c r="FO429" s="12"/>
      <c r="FP429" s="12"/>
      <c r="FQ429" s="12"/>
      <c r="FR429" s="12"/>
      <c r="FS429" s="12"/>
      <c r="FT429" s="12"/>
      <c r="FU429" s="12"/>
      <c r="FV429" s="12"/>
      <c r="FW429" s="12"/>
      <c r="FX429" s="12"/>
      <c r="FY429" s="12"/>
      <c r="FZ429" s="12"/>
      <c r="GA429" s="12"/>
      <c r="GB429" s="12"/>
      <c r="GC429" s="12"/>
      <c r="GD429" s="12"/>
      <c r="GE429" s="12"/>
      <c r="GF429" s="12"/>
      <c r="GG429" s="12"/>
      <c r="GH429" s="12"/>
      <c r="GI429" s="12"/>
      <c r="GJ429" s="12"/>
      <c r="GK429" s="12"/>
      <c r="GL429" s="12"/>
      <c r="GM429" s="12"/>
      <c r="GN429" s="12"/>
      <c r="GO429" s="12"/>
      <c r="GP429" s="12"/>
      <c r="GQ429" s="12"/>
      <c r="GR429" s="12"/>
      <c r="GS429" s="12"/>
      <c r="GT429" s="12"/>
      <c r="GU429" s="12"/>
      <c r="GV429" s="12"/>
      <c r="GW429" s="12"/>
      <c r="GX429" s="12"/>
      <c r="GY429" s="12"/>
      <c r="GZ429" s="12"/>
      <c r="HA429" s="12"/>
      <c r="HB429" s="12"/>
      <c r="HC429" s="12"/>
      <c r="HD429" s="12"/>
      <c r="HE429" s="12"/>
      <c r="HF429" s="12"/>
      <c r="HG429" s="12"/>
      <c r="HH429" s="12"/>
      <c r="HI429" s="12"/>
      <c r="HJ429" s="12"/>
      <c r="HK429" s="12"/>
      <c r="HL429" s="12"/>
      <c r="HM429" s="12"/>
      <c r="HN429" s="12"/>
      <c r="HO429" s="12"/>
      <c r="HP429" s="12"/>
      <c r="HQ429" s="12"/>
      <c r="HR429" s="12"/>
      <c r="HS429" s="12"/>
      <c r="HT429" s="12"/>
      <c r="HU429" s="12"/>
      <c r="HV429" s="12"/>
      <c r="HW429" s="12"/>
      <c r="HX429" s="12"/>
      <c r="HY429" s="12"/>
      <c r="HZ429" s="12"/>
      <c r="IA429" s="12"/>
      <c r="IB429" s="12"/>
      <c r="IC429" s="12"/>
      <c r="ID429" s="12"/>
      <c r="IE429" s="12"/>
      <c r="IF429" s="12"/>
      <c r="IG429" s="12"/>
      <c r="IH429" s="12"/>
      <c r="II429" s="12"/>
      <c r="IJ429" s="12"/>
      <c r="IK429" s="12"/>
      <c r="IL429" s="12"/>
      <c r="IM429" s="12"/>
      <c r="IN429" s="12"/>
    </row>
    <row r="430" spans="1:248" s="105" customFormat="1" x14ac:dyDescent="0.25">
      <c r="A430" s="12" t="s">
        <v>185</v>
      </c>
      <c r="B430" s="12"/>
      <c r="C430" s="12"/>
      <c r="D430" s="12"/>
      <c r="E430" s="12"/>
      <c r="F430" s="14"/>
      <c r="G430" s="126"/>
      <c r="H430" s="13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  <c r="DG430" s="12"/>
      <c r="DH430" s="12"/>
      <c r="DI430" s="12"/>
      <c r="DJ430" s="12"/>
      <c r="DK430" s="12"/>
      <c r="DL430" s="12"/>
      <c r="DM430" s="12"/>
      <c r="DN430" s="12"/>
      <c r="DO430" s="12"/>
      <c r="DP430" s="12"/>
      <c r="DQ430" s="12"/>
      <c r="DR430" s="12"/>
      <c r="DS430" s="12"/>
      <c r="DT430" s="12"/>
      <c r="DU430" s="12"/>
      <c r="DV430" s="12"/>
      <c r="DW430" s="12"/>
      <c r="DX430" s="12"/>
      <c r="DY430" s="12"/>
      <c r="DZ430" s="12"/>
      <c r="EA430" s="12"/>
      <c r="EB430" s="12"/>
      <c r="EC430" s="12"/>
      <c r="ED430" s="12"/>
      <c r="EE430" s="12"/>
      <c r="EF430" s="12"/>
      <c r="EG430" s="12"/>
      <c r="EH430" s="12"/>
      <c r="EI430" s="12"/>
      <c r="EJ430" s="12"/>
      <c r="EK430" s="12"/>
      <c r="EL430" s="12"/>
      <c r="EM430" s="12"/>
      <c r="EN430" s="12"/>
      <c r="EO430" s="12"/>
      <c r="EP430" s="12"/>
      <c r="EQ430" s="12"/>
      <c r="ER430" s="12"/>
      <c r="ES430" s="12"/>
      <c r="ET430" s="12"/>
      <c r="EU430" s="12"/>
      <c r="EV430" s="12"/>
      <c r="EW430" s="12"/>
      <c r="EX430" s="12"/>
      <c r="EY430" s="12"/>
      <c r="EZ430" s="12"/>
      <c r="FA430" s="12"/>
      <c r="FB430" s="12"/>
      <c r="FC430" s="12"/>
      <c r="FD430" s="12"/>
      <c r="FE430" s="12"/>
      <c r="FF430" s="12"/>
      <c r="FG430" s="12"/>
      <c r="FH430" s="12"/>
      <c r="FI430" s="12"/>
      <c r="FJ430" s="12"/>
      <c r="FK430" s="12"/>
      <c r="FL430" s="12"/>
      <c r="FM430" s="12"/>
      <c r="FN430" s="12"/>
      <c r="FO430" s="12"/>
      <c r="FP430" s="12"/>
      <c r="FQ430" s="12"/>
      <c r="FR430" s="12"/>
      <c r="FS430" s="12"/>
      <c r="FT430" s="12"/>
      <c r="FU430" s="12"/>
      <c r="FV430" s="12"/>
      <c r="FW430" s="12"/>
      <c r="FX430" s="12"/>
      <c r="FY430" s="12"/>
      <c r="FZ430" s="12"/>
      <c r="GA430" s="12"/>
      <c r="GB430" s="12"/>
      <c r="GC430" s="12"/>
      <c r="GD430" s="12"/>
      <c r="GE430" s="12"/>
      <c r="GF430" s="12"/>
      <c r="GG430" s="12"/>
      <c r="GH430" s="12"/>
      <c r="GI430" s="12"/>
      <c r="GJ430" s="12"/>
      <c r="GK430" s="12"/>
      <c r="GL430" s="12"/>
      <c r="GM430" s="12"/>
      <c r="GN430" s="12"/>
      <c r="GO430" s="12"/>
      <c r="GP430" s="12"/>
      <c r="GQ430" s="12"/>
      <c r="GR430" s="12"/>
      <c r="GS430" s="12"/>
      <c r="GT430" s="12"/>
      <c r="GU430" s="12"/>
      <c r="GV430" s="12"/>
      <c r="GW430" s="12"/>
      <c r="GX430" s="12"/>
      <c r="GY430" s="12"/>
      <c r="GZ430" s="12"/>
      <c r="HA430" s="12"/>
      <c r="HB430" s="12"/>
      <c r="HC430" s="12"/>
      <c r="HD430" s="12"/>
      <c r="HE430" s="12"/>
      <c r="HF430" s="12"/>
      <c r="HG430" s="12"/>
      <c r="HH430" s="12"/>
      <c r="HI430" s="12"/>
      <c r="HJ430" s="12"/>
      <c r="HK430" s="12"/>
      <c r="HL430" s="12"/>
      <c r="HM430" s="12"/>
      <c r="HN430" s="12"/>
      <c r="HO430" s="12"/>
      <c r="HP430" s="12"/>
      <c r="HQ430" s="12"/>
      <c r="HR430" s="12"/>
      <c r="HS430" s="12"/>
      <c r="HT430" s="12"/>
      <c r="HU430" s="12"/>
      <c r="HV430" s="12"/>
      <c r="HW430" s="12"/>
      <c r="HX430" s="12"/>
      <c r="HY430" s="12"/>
      <c r="HZ430" s="12"/>
      <c r="IA430" s="12"/>
      <c r="IB430" s="12"/>
      <c r="IC430" s="12"/>
      <c r="ID430" s="12"/>
      <c r="IE430" s="12"/>
      <c r="IF430" s="12"/>
      <c r="IG430" s="12"/>
      <c r="IH430" s="12"/>
      <c r="II430" s="12"/>
      <c r="IJ430" s="12"/>
      <c r="IK430" s="12"/>
      <c r="IL430" s="12"/>
      <c r="IM430" s="12"/>
      <c r="IN430" s="12"/>
    </row>
    <row r="431" spans="1:248" x14ac:dyDescent="0.25">
      <c r="B431" s="16"/>
      <c r="G431" s="16"/>
    </row>
    <row r="432" spans="1:248" x14ac:dyDescent="0.25">
      <c r="B432" s="16"/>
      <c r="G432" s="16"/>
    </row>
    <row r="433" spans="1:246" x14ac:dyDescent="0.25">
      <c r="B433" s="16"/>
      <c r="G433" s="16"/>
    </row>
    <row r="434" spans="1:246" x14ac:dyDescent="0.25">
      <c r="A434" s="1" t="s">
        <v>186</v>
      </c>
      <c r="F434" s="14"/>
    </row>
    <row r="435" spans="1:246" x14ac:dyDescent="0.25">
      <c r="A435" s="127" t="s">
        <v>187</v>
      </c>
      <c r="E435" s="127"/>
      <c r="F435" s="128"/>
    </row>
    <row r="436" spans="1:246" x14ac:dyDescent="0.25">
      <c r="A436" s="127"/>
      <c r="E436" s="127"/>
      <c r="F436" s="128"/>
    </row>
    <row r="437" spans="1:246" x14ac:dyDescent="0.25">
      <c r="A437" s="12" t="s">
        <v>188</v>
      </c>
      <c r="F437" s="14"/>
    </row>
    <row r="438" spans="1:246" s="129" customFormat="1" x14ac:dyDescent="0.25">
      <c r="A438" s="1" t="s">
        <v>189</v>
      </c>
      <c r="B438" s="12"/>
      <c r="C438" s="12"/>
      <c r="D438" s="12"/>
      <c r="E438" s="117"/>
      <c r="F438" s="117"/>
      <c r="G438" s="123"/>
      <c r="H438" s="105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  <c r="DG438" s="12"/>
      <c r="DH438" s="12"/>
      <c r="DI438" s="12"/>
      <c r="DJ438" s="12"/>
      <c r="DK438" s="12"/>
      <c r="DL438" s="12"/>
      <c r="DM438" s="12"/>
      <c r="DN438" s="12"/>
      <c r="DO438" s="12"/>
      <c r="DP438" s="12"/>
      <c r="DQ438" s="12"/>
      <c r="DR438" s="12"/>
      <c r="DS438" s="12"/>
      <c r="DT438" s="12"/>
      <c r="DU438" s="12"/>
      <c r="DV438" s="12"/>
      <c r="DW438" s="12"/>
      <c r="DX438" s="12"/>
      <c r="DY438" s="12"/>
      <c r="DZ438" s="12"/>
      <c r="EA438" s="12"/>
      <c r="EB438" s="12"/>
      <c r="EC438" s="12"/>
      <c r="ED438" s="12"/>
      <c r="EE438" s="12"/>
      <c r="EF438" s="12"/>
      <c r="EG438" s="12"/>
      <c r="EH438" s="12"/>
      <c r="EI438" s="12"/>
      <c r="EJ438" s="12"/>
      <c r="EK438" s="12"/>
      <c r="EL438" s="12"/>
      <c r="EM438" s="12"/>
      <c r="EN438" s="12"/>
      <c r="EO438" s="12"/>
      <c r="EP438" s="12"/>
      <c r="EQ438" s="12"/>
      <c r="ER438" s="12"/>
      <c r="ES438" s="12"/>
      <c r="ET438" s="12"/>
      <c r="EU438" s="12"/>
      <c r="EV438" s="12"/>
      <c r="EW438" s="12"/>
      <c r="EX438" s="12"/>
      <c r="EY438" s="12"/>
      <c r="EZ438" s="12"/>
      <c r="FA438" s="12"/>
      <c r="FB438" s="12"/>
      <c r="FC438" s="12"/>
      <c r="FD438" s="12"/>
      <c r="FE438" s="12"/>
      <c r="FF438" s="12"/>
      <c r="FG438" s="12"/>
      <c r="FH438" s="12"/>
      <c r="FI438" s="12"/>
      <c r="FJ438" s="12"/>
      <c r="FK438" s="12"/>
      <c r="FL438" s="12"/>
      <c r="FM438" s="12"/>
      <c r="FN438" s="12"/>
      <c r="FO438" s="12"/>
      <c r="FP438" s="12"/>
      <c r="FQ438" s="12"/>
      <c r="FR438" s="12"/>
      <c r="FS438" s="12"/>
      <c r="FT438" s="12"/>
      <c r="FU438" s="12"/>
      <c r="FV438" s="12"/>
      <c r="FW438" s="12"/>
      <c r="FX438" s="12"/>
      <c r="FY438" s="12"/>
      <c r="FZ438" s="12"/>
      <c r="GA438" s="12"/>
      <c r="GB438" s="12"/>
      <c r="GC438" s="12"/>
      <c r="GD438" s="12"/>
      <c r="GE438" s="12"/>
      <c r="GF438" s="12"/>
      <c r="GG438" s="12"/>
      <c r="GH438" s="12"/>
      <c r="GI438" s="12"/>
      <c r="GJ438" s="12"/>
      <c r="GK438" s="12"/>
      <c r="GL438" s="12"/>
      <c r="GM438" s="12"/>
      <c r="GN438" s="12"/>
      <c r="GO438" s="12"/>
      <c r="GP438" s="12"/>
      <c r="GQ438" s="12"/>
      <c r="GR438" s="12"/>
      <c r="GS438" s="12"/>
      <c r="GT438" s="12"/>
      <c r="GU438" s="12"/>
      <c r="GV438" s="12"/>
      <c r="GW438" s="12"/>
      <c r="GX438" s="12"/>
      <c r="GY438" s="12"/>
      <c r="GZ438" s="12"/>
      <c r="HA438" s="12"/>
      <c r="HB438" s="12"/>
      <c r="HC438" s="12"/>
      <c r="HD438" s="12"/>
      <c r="HE438" s="12"/>
      <c r="HF438" s="12"/>
      <c r="HG438" s="12"/>
      <c r="HH438" s="12"/>
      <c r="HI438" s="12"/>
      <c r="HJ438" s="12"/>
      <c r="HK438" s="12"/>
      <c r="HL438" s="12"/>
      <c r="HM438" s="12"/>
      <c r="HN438" s="12"/>
      <c r="HO438" s="12"/>
      <c r="HP438" s="12"/>
      <c r="HQ438" s="12"/>
      <c r="HR438" s="12"/>
      <c r="HS438" s="12"/>
      <c r="HT438" s="12"/>
      <c r="HU438" s="12"/>
      <c r="HV438" s="12"/>
      <c r="HW438" s="12"/>
      <c r="HX438" s="12"/>
      <c r="HY438" s="12"/>
      <c r="HZ438" s="12"/>
      <c r="IA438" s="12"/>
      <c r="IB438" s="12"/>
      <c r="IC438" s="12"/>
      <c r="ID438" s="12"/>
      <c r="IE438" s="12"/>
      <c r="IF438" s="12"/>
      <c r="IG438" s="12"/>
      <c r="IH438" s="12"/>
      <c r="II438" s="12"/>
      <c r="IJ438" s="12"/>
      <c r="IK438" s="12"/>
      <c r="IL438" s="12"/>
    </row>
    <row r="439" spans="1:246" s="129" customFormat="1" x14ac:dyDescent="0.25">
      <c r="A439" s="127" t="s">
        <v>190</v>
      </c>
      <c r="B439" s="12"/>
      <c r="C439" s="12"/>
      <c r="D439" s="12"/>
      <c r="E439" s="130"/>
      <c r="F439" s="130"/>
      <c r="G439" s="123"/>
      <c r="H439" s="105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  <c r="DG439" s="12"/>
      <c r="DH439" s="12"/>
      <c r="DI439" s="12"/>
      <c r="DJ439" s="12"/>
      <c r="DK439" s="12"/>
      <c r="DL439" s="12"/>
      <c r="DM439" s="12"/>
      <c r="DN439" s="12"/>
      <c r="DO439" s="12"/>
      <c r="DP439" s="12"/>
      <c r="DQ439" s="12"/>
      <c r="DR439" s="12"/>
      <c r="DS439" s="12"/>
      <c r="DT439" s="12"/>
      <c r="DU439" s="12"/>
      <c r="DV439" s="12"/>
      <c r="DW439" s="12"/>
      <c r="DX439" s="12"/>
      <c r="DY439" s="12"/>
      <c r="DZ439" s="12"/>
      <c r="EA439" s="12"/>
      <c r="EB439" s="12"/>
      <c r="EC439" s="12"/>
      <c r="ED439" s="12"/>
      <c r="EE439" s="12"/>
      <c r="EF439" s="12"/>
      <c r="EG439" s="12"/>
      <c r="EH439" s="12"/>
      <c r="EI439" s="12"/>
      <c r="EJ439" s="12"/>
      <c r="EK439" s="12"/>
      <c r="EL439" s="12"/>
      <c r="EM439" s="12"/>
      <c r="EN439" s="12"/>
      <c r="EO439" s="12"/>
      <c r="EP439" s="12"/>
      <c r="EQ439" s="12"/>
      <c r="ER439" s="12"/>
      <c r="ES439" s="12"/>
      <c r="ET439" s="12"/>
      <c r="EU439" s="12"/>
      <c r="EV439" s="12"/>
      <c r="EW439" s="12"/>
      <c r="EX439" s="12"/>
      <c r="EY439" s="12"/>
      <c r="EZ439" s="12"/>
      <c r="FA439" s="12"/>
      <c r="FB439" s="12"/>
      <c r="FC439" s="12"/>
      <c r="FD439" s="12"/>
      <c r="FE439" s="12"/>
      <c r="FF439" s="12"/>
      <c r="FG439" s="12"/>
      <c r="FH439" s="12"/>
      <c r="FI439" s="12"/>
      <c r="FJ439" s="12"/>
      <c r="FK439" s="12"/>
      <c r="FL439" s="12"/>
      <c r="FM439" s="12"/>
      <c r="FN439" s="12"/>
      <c r="FO439" s="12"/>
      <c r="FP439" s="12"/>
      <c r="FQ439" s="12"/>
      <c r="FR439" s="12"/>
      <c r="FS439" s="12"/>
      <c r="FT439" s="12"/>
      <c r="FU439" s="12"/>
      <c r="FV439" s="12"/>
      <c r="FW439" s="12"/>
      <c r="FX439" s="12"/>
      <c r="FY439" s="12"/>
      <c r="FZ439" s="12"/>
      <c r="GA439" s="12"/>
      <c r="GB439" s="12"/>
      <c r="GC439" s="12"/>
      <c r="GD439" s="12"/>
      <c r="GE439" s="12"/>
      <c r="GF439" s="12"/>
      <c r="GG439" s="12"/>
      <c r="GH439" s="12"/>
      <c r="GI439" s="12"/>
      <c r="GJ439" s="12"/>
      <c r="GK439" s="12"/>
      <c r="GL439" s="12"/>
      <c r="GM439" s="12"/>
      <c r="GN439" s="12"/>
      <c r="GO439" s="12"/>
      <c r="GP439" s="12"/>
      <c r="GQ439" s="12"/>
      <c r="GR439" s="12"/>
      <c r="GS439" s="12"/>
      <c r="GT439" s="12"/>
      <c r="GU439" s="12"/>
      <c r="GV439" s="12"/>
      <c r="GW439" s="12"/>
      <c r="GX439" s="12"/>
      <c r="GY439" s="12"/>
      <c r="GZ439" s="12"/>
      <c r="HA439" s="12"/>
      <c r="HB439" s="12"/>
      <c r="HC439" s="12"/>
      <c r="HD439" s="12"/>
      <c r="HE439" s="12"/>
      <c r="HF439" s="12"/>
      <c r="HG439" s="12"/>
      <c r="HH439" s="12"/>
      <c r="HI439" s="12"/>
      <c r="HJ439" s="12"/>
      <c r="HK439" s="12"/>
      <c r="HL439" s="12"/>
      <c r="HM439" s="12"/>
      <c r="HN439" s="12"/>
      <c r="HO439" s="12"/>
      <c r="HP439" s="12"/>
      <c r="HQ439" s="12"/>
      <c r="HR439" s="12"/>
      <c r="HS439" s="12"/>
      <c r="HT439" s="12"/>
      <c r="HU439" s="12"/>
      <c r="HV439" s="12"/>
      <c r="HW439" s="12"/>
      <c r="HX439" s="12"/>
      <c r="HY439" s="12"/>
      <c r="HZ439" s="12"/>
      <c r="IA439" s="12"/>
      <c r="IB439" s="12"/>
      <c r="IC439" s="12"/>
      <c r="ID439" s="12"/>
      <c r="IE439" s="12"/>
      <c r="IF439" s="12"/>
      <c r="IG439" s="12"/>
      <c r="IH439" s="12"/>
      <c r="II439" s="12"/>
      <c r="IJ439" s="12"/>
      <c r="IK439" s="12"/>
      <c r="IL439" s="12"/>
    </row>
    <row r="440" spans="1:246" s="129" customFormat="1" x14ac:dyDescent="0.25">
      <c r="A440" s="127"/>
      <c r="B440" s="12"/>
      <c r="C440" s="12"/>
      <c r="D440" s="12"/>
      <c r="E440" s="130"/>
      <c r="F440" s="130"/>
      <c r="G440" s="123"/>
      <c r="H440" s="105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  <c r="DG440" s="12"/>
      <c r="DH440" s="12"/>
      <c r="DI440" s="12"/>
      <c r="DJ440" s="12"/>
      <c r="DK440" s="12"/>
      <c r="DL440" s="12"/>
      <c r="DM440" s="12"/>
      <c r="DN440" s="12"/>
      <c r="DO440" s="12"/>
      <c r="DP440" s="12"/>
      <c r="DQ440" s="12"/>
      <c r="DR440" s="12"/>
      <c r="DS440" s="12"/>
      <c r="DT440" s="12"/>
      <c r="DU440" s="12"/>
      <c r="DV440" s="12"/>
      <c r="DW440" s="12"/>
      <c r="DX440" s="12"/>
      <c r="DY440" s="12"/>
      <c r="DZ440" s="12"/>
      <c r="EA440" s="12"/>
      <c r="EB440" s="12"/>
      <c r="EC440" s="12"/>
      <c r="ED440" s="12"/>
      <c r="EE440" s="12"/>
      <c r="EF440" s="12"/>
      <c r="EG440" s="12"/>
      <c r="EH440" s="12"/>
      <c r="EI440" s="12"/>
      <c r="EJ440" s="12"/>
      <c r="EK440" s="12"/>
      <c r="EL440" s="12"/>
      <c r="EM440" s="12"/>
      <c r="EN440" s="12"/>
      <c r="EO440" s="12"/>
      <c r="EP440" s="12"/>
      <c r="EQ440" s="12"/>
      <c r="ER440" s="12"/>
      <c r="ES440" s="12"/>
      <c r="ET440" s="12"/>
      <c r="EU440" s="12"/>
      <c r="EV440" s="12"/>
      <c r="EW440" s="12"/>
      <c r="EX440" s="12"/>
      <c r="EY440" s="12"/>
      <c r="EZ440" s="12"/>
      <c r="FA440" s="12"/>
      <c r="FB440" s="12"/>
      <c r="FC440" s="12"/>
      <c r="FD440" s="12"/>
      <c r="FE440" s="12"/>
      <c r="FF440" s="12"/>
      <c r="FG440" s="12"/>
      <c r="FH440" s="12"/>
      <c r="FI440" s="12"/>
      <c r="FJ440" s="12"/>
      <c r="FK440" s="12"/>
      <c r="FL440" s="12"/>
      <c r="FM440" s="12"/>
      <c r="FN440" s="12"/>
      <c r="FO440" s="12"/>
      <c r="FP440" s="12"/>
      <c r="FQ440" s="12"/>
      <c r="FR440" s="12"/>
      <c r="FS440" s="12"/>
      <c r="FT440" s="12"/>
      <c r="FU440" s="12"/>
      <c r="FV440" s="12"/>
      <c r="FW440" s="12"/>
      <c r="FX440" s="12"/>
      <c r="FY440" s="12"/>
      <c r="FZ440" s="12"/>
      <c r="GA440" s="12"/>
      <c r="GB440" s="12"/>
      <c r="GC440" s="12"/>
      <c r="GD440" s="12"/>
      <c r="GE440" s="12"/>
      <c r="GF440" s="12"/>
      <c r="GG440" s="12"/>
      <c r="GH440" s="12"/>
      <c r="GI440" s="12"/>
      <c r="GJ440" s="12"/>
      <c r="GK440" s="12"/>
      <c r="GL440" s="12"/>
      <c r="GM440" s="12"/>
      <c r="GN440" s="12"/>
      <c r="GO440" s="12"/>
      <c r="GP440" s="12"/>
      <c r="GQ440" s="12"/>
      <c r="GR440" s="12"/>
      <c r="GS440" s="12"/>
      <c r="GT440" s="12"/>
      <c r="GU440" s="12"/>
      <c r="GV440" s="12"/>
      <c r="GW440" s="12"/>
      <c r="GX440" s="12"/>
      <c r="GY440" s="12"/>
      <c r="GZ440" s="12"/>
      <c r="HA440" s="12"/>
      <c r="HB440" s="12"/>
      <c r="HC440" s="12"/>
      <c r="HD440" s="12"/>
      <c r="HE440" s="12"/>
      <c r="HF440" s="12"/>
      <c r="HG440" s="12"/>
      <c r="HH440" s="12"/>
      <c r="HI440" s="12"/>
      <c r="HJ440" s="12"/>
      <c r="HK440" s="12"/>
      <c r="HL440" s="12"/>
      <c r="HM440" s="12"/>
      <c r="HN440" s="12"/>
      <c r="HO440" s="12"/>
      <c r="HP440" s="12"/>
      <c r="HQ440" s="12"/>
      <c r="HR440" s="12"/>
      <c r="HS440" s="12"/>
      <c r="HT440" s="12"/>
      <c r="HU440" s="12"/>
      <c r="HV440" s="12"/>
      <c r="HW440" s="12"/>
      <c r="HX440" s="12"/>
      <c r="HY440" s="12"/>
      <c r="HZ440" s="12"/>
      <c r="IA440" s="12"/>
      <c r="IB440" s="12"/>
      <c r="IC440" s="12"/>
      <c r="ID440" s="12"/>
      <c r="IE440" s="12"/>
      <c r="IF440" s="12"/>
      <c r="IG440" s="12"/>
      <c r="IH440" s="12"/>
      <c r="II440" s="12"/>
      <c r="IJ440" s="12"/>
      <c r="IK440" s="12"/>
      <c r="IL440" s="12"/>
    </row>
    <row r="441" spans="1:246" x14ac:dyDescent="0.25">
      <c r="A441" s="1" t="s">
        <v>191</v>
      </c>
      <c r="E441" s="131"/>
      <c r="F441" s="132"/>
    </row>
    <row r="442" spans="1:246" x14ac:dyDescent="0.25">
      <c r="A442" s="127" t="s">
        <v>192</v>
      </c>
      <c r="E442" s="133"/>
      <c r="F442" s="134"/>
    </row>
    <row r="443" spans="1:246" x14ac:dyDescent="0.25">
      <c r="A443" s="127"/>
      <c r="E443" s="133"/>
      <c r="F443" s="134"/>
    </row>
    <row r="444" spans="1:246" x14ac:dyDescent="0.25">
      <c r="A444" s="135" t="s">
        <v>193</v>
      </c>
      <c r="F444" s="14"/>
      <c r="G444" s="13"/>
      <c r="H444" s="13"/>
    </row>
    <row r="445" spans="1:246" x14ac:dyDescent="0.25">
      <c r="A445" s="136" t="s">
        <v>194</v>
      </c>
      <c r="F445" s="14"/>
      <c r="G445" s="13"/>
      <c r="H445" s="13"/>
    </row>
    <row r="446" spans="1:246" x14ac:dyDescent="0.25">
      <c r="F446" s="14"/>
    </row>
    <row r="447" spans="1:246" x14ac:dyDescent="0.25">
      <c r="A447" s="1" t="s">
        <v>195</v>
      </c>
      <c r="F447" s="14"/>
    </row>
    <row r="448" spans="1:246" x14ac:dyDescent="0.25">
      <c r="A448" s="127" t="s">
        <v>196</v>
      </c>
      <c r="F448" s="14"/>
    </row>
    <row r="449" spans="1:8" x14ac:dyDescent="0.25">
      <c r="F449" s="14"/>
    </row>
    <row r="450" spans="1:8" s="16" customFormat="1" x14ac:dyDescent="0.25">
      <c r="A450" s="137" t="s">
        <v>197</v>
      </c>
      <c r="B450" s="12"/>
      <c r="C450" s="12"/>
      <c r="D450" s="12"/>
      <c r="E450" s="12"/>
      <c r="F450" s="14"/>
      <c r="G450" s="12"/>
    </row>
    <row r="451" spans="1:8" s="16" customFormat="1" x14ac:dyDescent="0.25">
      <c r="A451" s="138" t="s">
        <v>198</v>
      </c>
      <c r="C451" s="12"/>
      <c r="D451" s="12"/>
      <c r="E451" s="12"/>
      <c r="F451" s="14"/>
    </row>
    <row r="452" spans="1:8" s="16" customFormat="1" x14ac:dyDescent="0.25">
      <c r="A452" s="127" t="s">
        <v>199</v>
      </c>
      <c r="F452" s="14"/>
      <c r="H452" s="105"/>
    </row>
    <row r="453" spans="1:8" x14ac:dyDescent="0.25">
      <c r="B453" s="16"/>
      <c r="G453" s="16"/>
    </row>
  </sheetData>
  <autoFilter ref="A3:IR453"/>
  <mergeCells count="1">
    <mergeCell ref="A142:D1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GO468"/>
  <sheetViews>
    <sheetView zoomScaleNormal="100" workbookViewId="0">
      <pane ySplit="8" topLeftCell="A15" activePane="bottomLeft" state="frozen"/>
      <selection activeCell="K24" sqref="K24"/>
      <selection pane="bottomLeft" activeCell="K24" sqref="K24"/>
    </sheetView>
  </sheetViews>
  <sheetFormatPr defaultColWidth="15.5703125" defaultRowHeight="15.75" x14ac:dyDescent="0.25"/>
  <cols>
    <col min="1" max="1" width="58.140625" style="139" customWidth="1"/>
    <col min="2" max="3" width="5.5703125" style="139" customWidth="1"/>
    <col min="4" max="4" width="5.7109375" style="139" customWidth="1"/>
    <col min="5" max="6" width="11.28515625" style="140" customWidth="1"/>
    <col min="7" max="7" width="12" style="140" bestFit="1" customWidth="1"/>
    <col min="8" max="10" width="10.28515625" style="140" customWidth="1"/>
    <col min="11" max="13" width="16" style="140" customWidth="1"/>
    <col min="14" max="16" width="12" style="140" customWidth="1"/>
    <col min="17" max="19" width="14.7109375" style="140" customWidth="1"/>
    <col min="20" max="22" width="10.85546875" style="140" customWidth="1"/>
    <col min="23" max="25" width="16.28515625" style="140" customWidth="1"/>
    <col min="26" max="26" width="12.85546875" style="140" customWidth="1"/>
    <col min="27" max="27" width="12.7109375" style="140" customWidth="1"/>
    <col min="28" max="28" width="13.140625" style="140" customWidth="1"/>
    <col min="29" max="29" width="12.7109375" style="140" customWidth="1"/>
    <col min="30" max="30" width="13.140625" style="140" customWidth="1"/>
    <col min="31" max="31" width="12.42578125" style="140" customWidth="1"/>
    <col min="32" max="172" width="29.28515625" style="140" customWidth="1"/>
    <col min="173" max="173" width="42.42578125" style="140" customWidth="1"/>
    <col min="174" max="176" width="12.42578125" style="140" customWidth="1"/>
    <col min="177" max="179" width="10.85546875" style="140" customWidth="1"/>
    <col min="180" max="182" width="14.5703125" style="140" bestFit="1" customWidth="1"/>
    <col min="183" max="185" width="11" style="140" customWidth="1"/>
    <col min="186" max="188" width="14.5703125" style="140" customWidth="1"/>
    <col min="189" max="191" width="15.28515625" style="140" customWidth="1"/>
    <col min="192" max="192" width="15.5703125" style="140"/>
    <col min="193" max="193" width="44.5703125" style="140" customWidth="1"/>
    <col min="194" max="194" width="13.85546875" style="140" customWidth="1"/>
    <col min="195" max="195" width="10.85546875" style="140" customWidth="1"/>
    <col min="196" max="196" width="14.5703125" style="140" customWidth="1"/>
    <col min="197" max="197" width="11" style="140" customWidth="1"/>
    <col min="198" max="198" width="10.85546875" style="140" customWidth="1"/>
    <col min="199" max="199" width="14.5703125" style="140" customWidth="1"/>
    <col min="200" max="201" width="15.5703125" style="140" customWidth="1"/>
    <col min="202" max="202" width="17.7109375" style="140" customWidth="1"/>
    <col min="203" max="428" width="29.28515625" style="140" customWidth="1"/>
    <col min="429" max="429" width="42.42578125" style="140" customWidth="1"/>
    <col min="430" max="432" width="12.42578125" style="140" customWidth="1"/>
    <col min="433" max="435" width="10.85546875" style="140" customWidth="1"/>
    <col min="436" max="438" width="14.5703125" style="140" bestFit="1" customWidth="1"/>
    <col min="439" max="441" width="11" style="140" customWidth="1"/>
    <col min="442" max="444" width="14.5703125" style="140" customWidth="1"/>
    <col min="445" max="447" width="15.28515625" style="140" customWidth="1"/>
    <col min="448" max="448" width="15.5703125" style="140"/>
    <col min="449" max="449" width="44.5703125" style="140" customWidth="1"/>
    <col min="450" max="450" width="13.85546875" style="140" customWidth="1"/>
    <col min="451" max="451" width="10.85546875" style="140" customWidth="1"/>
    <col min="452" max="452" width="14.5703125" style="140" customWidth="1"/>
    <col min="453" max="453" width="11" style="140" customWidth="1"/>
    <col min="454" max="454" width="10.85546875" style="140" customWidth="1"/>
    <col min="455" max="455" width="14.5703125" style="140" customWidth="1"/>
    <col min="456" max="457" width="15.5703125" style="140" customWidth="1"/>
    <col min="458" max="458" width="17.7109375" style="140" customWidth="1"/>
    <col min="459" max="684" width="29.28515625" style="140" customWidth="1"/>
    <col min="685" max="685" width="42.42578125" style="140" customWidth="1"/>
    <col min="686" max="688" width="12.42578125" style="140" customWidth="1"/>
    <col min="689" max="691" width="10.85546875" style="140" customWidth="1"/>
    <col min="692" max="694" width="14.5703125" style="140" bestFit="1" customWidth="1"/>
    <col min="695" max="697" width="11" style="140" customWidth="1"/>
    <col min="698" max="700" width="14.5703125" style="140" customWidth="1"/>
    <col min="701" max="703" width="15.28515625" style="140" customWidth="1"/>
    <col min="704" max="704" width="15.5703125" style="140"/>
    <col min="705" max="705" width="44.5703125" style="140" customWidth="1"/>
    <col min="706" max="706" width="13.85546875" style="140" customWidth="1"/>
    <col min="707" max="707" width="10.85546875" style="140" customWidth="1"/>
    <col min="708" max="708" width="14.5703125" style="140" customWidth="1"/>
    <col min="709" max="709" width="11" style="140" customWidth="1"/>
    <col min="710" max="710" width="10.85546875" style="140" customWidth="1"/>
    <col min="711" max="711" width="14.5703125" style="140" customWidth="1"/>
    <col min="712" max="713" width="15.5703125" style="140" customWidth="1"/>
    <col min="714" max="714" width="17.7109375" style="140" customWidth="1"/>
    <col min="715" max="940" width="29.28515625" style="140" customWidth="1"/>
    <col min="941" max="941" width="42.42578125" style="140" customWidth="1"/>
    <col min="942" max="944" width="12.42578125" style="140" customWidth="1"/>
    <col min="945" max="947" width="10.85546875" style="140" customWidth="1"/>
    <col min="948" max="950" width="14.5703125" style="140" bestFit="1" customWidth="1"/>
    <col min="951" max="953" width="11" style="140" customWidth="1"/>
    <col min="954" max="956" width="14.5703125" style="140" customWidth="1"/>
    <col min="957" max="959" width="15.28515625" style="140" customWidth="1"/>
    <col min="960" max="960" width="15.5703125" style="140"/>
    <col min="961" max="961" width="44.5703125" style="140" customWidth="1"/>
    <col min="962" max="962" width="13.85546875" style="140" customWidth="1"/>
    <col min="963" max="963" width="10.85546875" style="140" customWidth="1"/>
    <col min="964" max="964" width="14.5703125" style="140" customWidth="1"/>
    <col min="965" max="965" width="11" style="140" customWidth="1"/>
    <col min="966" max="966" width="10.85546875" style="140" customWidth="1"/>
    <col min="967" max="967" width="14.5703125" style="140" customWidth="1"/>
    <col min="968" max="969" width="15.5703125" style="140" customWidth="1"/>
    <col min="970" max="970" width="17.7109375" style="140" customWidth="1"/>
    <col min="971" max="1196" width="29.28515625" style="140" customWidth="1"/>
    <col min="1197" max="1197" width="42.42578125" style="140" customWidth="1"/>
    <col min="1198" max="1200" width="12.42578125" style="140" customWidth="1"/>
    <col min="1201" max="1203" width="10.85546875" style="140" customWidth="1"/>
    <col min="1204" max="1206" width="14.5703125" style="140" bestFit="1" customWidth="1"/>
    <col min="1207" max="1209" width="11" style="140" customWidth="1"/>
    <col min="1210" max="1212" width="14.5703125" style="140" customWidth="1"/>
    <col min="1213" max="1215" width="15.28515625" style="140" customWidth="1"/>
    <col min="1216" max="1216" width="15.5703125" style="140"/>
    <col min="1217" max="1217" width="44.5703125" style="140" customWidth="1"/>
    <col min="1218" max="1218" width="13.85546875" style="140" customWidth="1"/>
    <col min="1219" max="1219" width="10.85546875" style="140" customWidth="1"/>
    <col min="1220" max="1220" width="14.5703125" style="140" customWidth="1"/>
    <col min="1221" max="1221" width="11" style="140" customWidth="1"/>
    <col min="1222" max="1222" width="10.85546875" style="140" customWidth="1"/>
    <col min="1223" max="1223" width="14.5703125" style="140" customWidth="1"/>
    <col min="1224" max="1225" width="15.5703125" style="140" customWidth="1"/>
    <col min="1226" max="1226" width="17.7109375" style="140" customWidth="1"/>
    <col min="1227" max="1452" width="29.28515625" style="140" customWidth="1"/>
    <col min="1453" max="1453" width="42.42578125" style="140" customWidth="1"/>
    <col min="1454" max="1456" width="12.42578125" style="140" customWidth="1"/>
    <col min="1457" max="1459" width="10.85546875" style="140" customWidth="1"/>
    <col min="1460" max="1462" width="14.5703125" style="140" bestFit="1" customWidth="1"/>
    <col min="1463" max="1465" width="11" style="140" customWidth="1"/>
    <col min="1466" max="1468" width="14.5703125" style="140" customWidth="1"/>
    <col min="1469" max="1471" width="15.28515625" style="140" customWidth="1"/>
    <col min="1472" max="1472" width="15.5703125" style="140"/>
    <col min="1473" max="1473" width="44.5703125" style="140" customWidth="1"/>
    <col min="1474" max="1474" width="13.85546875" style="140" customWidth="1"/>
    <col min="1475" max="1475" width="10.85546875" style="140" customWidth="1"/>
    <col min="1476" max="1476" width="14.5703125" style="140" customWidth="1"/>
    <col min="1477" max="1477" width="11" style="140" customWidth="1"/>
    <col min="1478" max="1478" width="10.85546875" style="140" customWidth="1"/>
    <col min="1479" max="1479" width="14.5703125" style="140" customWidth="1"/>
    <col min="1480" max="1481" width="15.5703125" style="140" customWidth="1"/>
    <col min="1482" max="1482" width="17.7109375" style="140" customWidth="1"/>
    <col min="1483" max="1708" width="29.28515625" style="140" customWidth="1"/>
    <col min="1709" max="1709" width="42.42578125" style="140" customWidth="1"/>
    <col min="1710" max="1712" width="12.42578125" style="140" customWidth="1"/>
    <col min="1713" max="1715" width="10.85546875" style="140" customWidth="1"/>
    <col min="1716" max="1718" width="14.5703125" style="140" bestFit="1" customWidth="1"/>
    <col min="1719" max="1721" width="11" style="140" customWidth="1"/>
    <col min="1722" max="1724" width="14.5703125" style="140" customWidth="1"/>
    <col min="1725" max="1727" width="15.28515625" style="140" customWidth="1"/>
    <col min="1728" max="1728" width="15.5703125" style="140"/>
    <col min="1729" max="1729" width="44.5703125" style="140" customWidth="1"/>
    <col min="1730" max="1730" width="13.85546875" style="140" customWidth="1"/>
    <col min="1731" max="1731" width="10.85546875" style="140" customWidth="1"/>
    <col min="1732" max="1732" width="14.5703125" style="140" customWidth="1"/>
    <col min="1733" max="1733" width="11" style="140" customWidth="1"/>
    <col min="1734" max="1734" width="10.85546875" style="140" customWidth="1"/>
    <col min="1735" max="1735" width="14.5703125" style="140" customWidth="1"/>
    <col min="1736" max="1737" width="15.5703125" style="140" customWidth="1"/>
    <col min="1738" max="1738" width="17.7109375" style="140" customWidth="1"/>
    <col min="1739" max="1964" width="29.28515625" style="140" customWidth="1"/>
    <col min="1965" max="1965" width="42.42578125" style="140" customWidth="1"/>
    <col min="1966" max="1968" width="12.42578125" style="140" customWidth="1"/>
    <col min="1969" max="1971" width="10.85546875" style="140" customWidth="1"/>
    <col min="1972" max="1974" width="14.5703125" style="140" bestFit="1" customWidth="1"/>
    <col min="1975" max="1977" width="11" style="140" customWidth="1"/>
    <col min="1978" max="1980" width="14.5703125" style="140" customWidth="1"/>
    <col min="1981" max="1983" width="15.28515625" style="140" customWidth="1"/>
    <col min="1984" max="1984" width="15.5703125" style="140"/>
    <col min="1985" max="1985" width="44.5703125" style="140" customWidth="1"/>
    <col min="1986" max="1986" width="13.85546875" style="140" customWidth="1"/>
    <col min="1987" max="1987" width="10.85546875" style="140" customWidth="1"/>
    <col min="1988" max="1988" width="14.5703125" style="140" customWidth="1"/>
    <col min="1989" max="1989" width="11" style="140" customWidth="1"/>
    <col min="1990" max="1990" width="10.85546875" style="140" customWidth="1"/>
    <col min="1991" max="1991" width="14.5703125" style="140" customWidth="1"/>
    <col min="1992" max="1993" width="15.5703125" style="140" customWidth="1"/>
    <col min="1994" max="1994" width="17.7109375" style="140" customWidth="1"/>
    <col min="1995" max="2220" width="29.28515625" style="140" customWidth="1"/>
    <col min="2221" max="2221" width="42.42578125" style="140" customWidth="1"/>
    <col min="2222" max="2224" width="12.42578125" style="140" customWidth="1"/>
    <col min="2225" max="2227" width="10.85546875" style="140" customWidth="1"/>
    <col min="2228" max="2230" width="14.5703125" style="140" bestFit="1" customWidth="1"/>
    <col min="2231" max="2233" width="11" style="140" customWidth="1"/>
    <col min="2234" max="2236" width="14.5703125" style="140" customWidth="1"/>
    <col min="2237" max="2239" width="15.28515625" style="140" customWidth="1"/>
    <col min="2240" max="2240" width="15.5703125" style="140"/>
    <col min="2241" max="2241" width="44.5703125" style="140" customWidth="1"/>
    <col min="2242" max="2242" width="13.85546875" style="140" customWidth="1"/>
    <col min="2243" max="2243" width="10.85546875" style="140" customWidth="1"/>
    <col min="2244" max="2244" width="14.5703125" style="140" customWidth="1"/>
    <col min="2245" max="2245" width="11" style="140" customWidth="1"/>
    <col min="2246" max="2246" width="10.85546875" style="140" customWidth="1"/>
    <col min="2247" max="2247" width="14.5703125" style="140" customWidth="1"/>
    <col min="2248" max="2249" width="15.5703125" style="140" customWidth="1"/>
    <col min="2250" max="2250" width="17.7109375" style="140" customWidth="1"/>
    <col min="2251" max="2476" width="29.28515625" style="140" customWidth="1"/>
    <col min="2477" max="2477" width="42.42578125" style="140" customWidth="1"/>
    <col min="2478" max="2480" width="12.42578125" style="140" customWidth="1"/>
    <col min="2481" max="2483" width="10.85546875" style="140" customWidth="1"/>
    <col min="2484" max="2486" width="14.5703125" style="140" bestFit="1" customWidth="1"/>
    <col min="2487" max="2489" width="11" style="140" customWidth="1"/>
    <col min="2490" max="2492" width="14.5703125" style="140" customWidth="1"/>
    <col min="2493" max="2495" width="15.28515625" style="140" customWidth="1"/>
    <col min="2496" max="2496" width="15.5703125" style="140"/>
    <col min="2497" max="2497" width="44.5703125" style="140" customWidth="1"/>
    <col min="2498" max="2498" width="13.85546875" style="140" customWidth="1"/>
    <col min="2499" max="2499" width="10.85546875" style="140" customWidth="1"/>
    <col min="2500" max="2500" width="14.5703125" style="140" customWidth="1"/>
    <col min="2501" max="2501" width="11" style="140" customWidth="1"/>
    <col min="2502" max="2502" width="10.85546875" style="140" customWidth="1"/>
    <col min="2503" max="2503" width="14.5703125" style="140" customWidth="1"/>
    <col min="2504" max="2505" width="15.5703125" style="140" customWidth="1"/>
    <col min="2506" max="2506" width="17.7109375" style="140" customWidth="1"/>
    <col min="2507" max="2732" width="29.28515625" style="140" customWidth="1"/>
    <col min="2733" max="2733" width="42.42578125" style="140" customWidth="1"/>
    <col min="2734" max="2736" width="12.42578125" style="140" customWidth="1"/>
    <col min="2737" max="2739" width="10.85546875" style="140" customWidth="1"/>
    <col min="2740" max="2742" width="14.5703125" style="140" bestFit="1" customWidth="1"/>
    <col min="2743" max="2745" width="11" style="140" customWidth="1"/>
    <col min="2746" max="2748" width="14.5703125" style="140" customWidth="1"/>
    <col min="2749" max="2751" width="15.28515625" style="140" customWidth="1"/>
    <col min="2752" max="2752" width="15.5703125" style="140"/>
    <col min="2753" max="2753" width="44.5703125" style="140" customWidth="1"/>
    <col min="2754" max="2754" width="13.85546875" style="140" customWidth="1"/>
    <col min="2755" max="2755" width="10.85546875" style="140" customWidth="1"/>
    <col min="2756" max="2756" width="14.5703125" style="140" customWidth="1"/>
    <col min="2757" max="2757" width="11" style="140" customWidth="1"/>
    <col min="2758" max="2758" width="10.85546875" style="140" customWidth="1"/>
    <col min="2759" max="2759" width="14.5703125" style="140" customWidth="1"/>
    <col min="2760" max="2761" width="15.5703125" style="140" customWidth="1"/>
    <col min="2762" max="2762" width="17.7109375" style="140" customWidth="1"/>
    <col min="2763" max="2988" width="29.28515625" style="140" customWidth="1"/>
    <col min="2989" max="2989" width="42.42578125" style="140" customWidth="1"/>
    <col min="2990" max="2992" width="12.42578125" style="140" customWidth="1"/>
    <col min="2993" max="2995" width="10.85546875" style="140" customWidth="1"/>
    <col min="2996" max="2998" width="14.5703125" style="140" bestFit="1" customWidth="1"/>
    <col min="2999" max="3001" width="11" style="140" customWidth="1"/>
    <col min="3002" max="3004" width="14.5703125" style="140" customWidth="1"/>
    <col min="3005" max="3007" width="15.28515625" style="140" customWidth="1"/>
    <col min="3008" max="3008" width="15.5703125" style="140"/>
    <col min="3009" max="3009" width="44.5703125" style="140" customWidth="1"/>
    <col min="3010" max="3010" width="13.85546875" style="140" customWidth="1"/>
    <col min="3011" max="3011" width="10.85546875" style="140" customWidth="1"/>
    <col min="3012" max="3012" width="14.5703125" style="140" customWidth="1"/>
    <col min="3013" max="3013" width="11" style="140" customWidth="1"/>
    <col min="3014" max="3014" width="10.85546875" style="140" customWidth="1"/>
    <col min="3015" max="3015" width="14.5703125" style="140" customWidth="1"/>
    <col min="3016" max="3017" width="15.5703125" style="140" customWidth="1"/>
    <col min="3018" max="3018" width="17.7109375" style="140" customWidth="1"/>
    <col min="3019" max="3244" width="29.28515625" style="140" customWidth="1"/>
    <col min="3245" max="3245" width="42.42578125" style="140" customWidth="1"/>
    <col min="3246" max="3248" width="12.42578125" style="140" customWidth="1"/>
    <col min="3249" max="3251" width="10.85546875" style="140" customWidth="1"/>
    <col min="3252" max="3254" width="14.5703125" style="140" bestFit="1" customWidth="1"/>
    <col min="3255" max="3257" width="11" style="140" customWidth="1"/>
    <col min="3258" max="3260" width="14.5703125" style="140" customWidth="1"/>
    <col min="3261" max="3263" width="15.28515625" style="140" customWidth="1"/>
    <col min="3264" max="3264" width="15.5703125" style="140"/>
    <col min="3265" max="3265" width="44.5703125" style="140" customWidth="1"/>
    <col min="3266" max="3266" width="13.85546875" style="140" customWidth="1"/>
    <col min="3267" max="3267" width="10.85546875" style="140" customWidth="1"/>
    <col min="3268" max="3268" width="14.5703125" style="140" customWidth="1"/>
    <col min="3269" max="3269" width="11" style="140" customWidth="1"/>
    <col min="3270" max="3270" width="10.85546875" style="140" customWidth="1"/>
    <col min="3271" max="3271" width="14.5703125" style="140" customWidth="1"/>
    <col min="3272" max="3273" width="15.5703125" style="140" customWidth="1"/>
    <col min="3274" max="3274" width="17.7109375" style="140" customWidth="1"/>
    <col min="3275" max="3500" width="29.28515625" style="140" customWidth="1"/>
    <col min="3501" max="3501" width="42.42578125" style="140" customWidth="1"/>
    <col min="3502" max="3504" width="12.42578125" style="140" customWidth="1"/>
    <col min="3505" max="3507" width="10.85546875" style="140" customWidth="1"/>
    <col min="3508" max="3510" width="14.5703125" style="140" bestFit="1" customWidth="1"/>
    <col min="3511" max="3513" width="11" style="140" customWidth="1"/>
    <col min="3514" max="3516" width="14.5703125" style="140" customWidth="1"/>
    <col min="3517" max="3519" width="15.28515625" style="140" customWidth="1"/>
    <col min="3520" max="3520" width="15.5703125" style="140"/>
    <col min="3521" max="3521" width="44.5703125" style="140" customWidth="1"/>
    <col min="3522" max="3522" width="13.85546875" style="140" customWidth="1"/>
    <col min="3523" max="3523" width="10.85546875" style="140" customWidth="1"/>
    <col min="3524" max="3524" width="14.5703125" style="140" customWidth="1"/>
    <col min="3525" max="3525" width="11" style="140" customWidth="1"/>
    <col min="3526" max="3526" width="10.85546875" style="140" customWidth="1"/>
    <col min="3527" max="3527" width="14.5703125" style="140" customWidth="1"/>
    <col min="3528" max="3529" width="15.5703125" style="140" customWidth="1"/>
    <col min="3530" max="3530" width="17.7109375" style="140" customWidth="1"/>
    <col min="3531" max="3756" width="29.28515625" style="140" customWidth="1"/>
    <col min="3757" max="3757" width="42.42578125" style="140" customWidth="1"/>
    <col min="3758" max="3760" width="12.42578125" style="140" customWidth="1"/>
    <col min="3761" max="3763" width="10.85546875" style="140" customWidth="1"/>
    <col min="3764" max="3766" width="14.5703125" style="140" bestFit="1" customWidth="1"/>
    <col min="3767" max="3769" width="11" style="140" customWidth="1"/>
    <col min="3770" max="3772" width="14.5703125" style="140" customWidth="1"/>
    <col min="3773" max="3775" width="15.28515625" style="140" customWidth="1"/>
    <col min="3776" max="3776" width="15.5703125" style="140"/>
    <col min="3777" max="3777" width="44.5703125" style="140" customWidth="1"/>
    <col min="3778" max="3778" width="13.85546875" style="140" customWidth="1"/>
    <col min="3779" max="3779" width="10.85546875" style="140" customWidth="1"/>
    <col min="3780" max="3780" width="14.5703125" style="140" customWidth="1"/>
    <col min="3781" max="3781" width="11" style="140" customWidth="1"/>
    <col min="3782" max="3782" width="10.85546875" style="140" customWidth="1"/>
    <col min="3783" max="3783" width="14.5703125" style="140" customWidth="1"/>
    <col min="3784" max="3785" width="15.5703125" style="140" customWidth="1"/>
    <col min="3786" max="3786" width="17.7109375" style="140" customWidth="1"/>
    <col min="3787" max="4012" width="29.28515625" style="140" customWidth="1"/>
    <col min="4013" max="4013" width="42.42578125" style="140" customWidth="1"/>
    <col min="4014" max="4016" width="12.42578125" style="140" customWidth="1"/>
    <col min="4017" max="4019" width="10.85546875" style="140" customWidth="1"/>
    <col min="4020" max="4022" width="14.5703125" style="140" bestFit="1" customWidth="1"/>
    <col min="4023" max="4025" width="11" style="140" customWidth="1"/>
    <col min="4026" max="4028" width="14.5703125" style="140" customWidth="1"/>
    <col min="4029" max="4031" width="15.28515625" style="140" customWidth="1"/>
    <col min="4032" max="4032" width="15.5703125" style="140"/>
    <col min="4033" max="4033" width="44.5703125" style="140" customWidth="1"/>
    <col min="4034" max="4034" width="13.85546875" style="140" customWidth="1"/>
    <col min="4035" max="4035" width="10.85546875" style="140" customWidth="1"/>
    <col min="4036" max="4036" width="14.5703125" style="140" customWidth="1"/>
    <col min="4037" max="4037" width="11" style="140" customWidth="1"/>
    <col min="4038" max="4038" width="10.85546875" style="140" customWidth="1"/>
    <col min="4039" max="4039" width="14.5703125" style="140" customWidth="1"/>
    <col min="4040" max="4041" width="15.5703125" style="140" customWidth="1"/>
    <col min="4042" max="4042" width="17.7109375" style="140" customWidth="1"/>
    <col min="4043" max="4268" width="29.28515625" style="140" customWidth="1"/>
    <col min="4269" max="4269" width="42.42578125" style="140" customWidth="1"/>
    <col min="4270" max="4272" width="12.42578125" style="140" customWidth="1"/>
    <col min="4273" max="4275" width="10.85546875" style="140" customWidth="1"/>
    <col min="4276" max="4278" width="14.5703125" style="140" bestFit="1" customWidth="1"/>
    <col min="4279" max="4281" width="11" style="140" customWidth="1"/>
    <col min="4282" max="4284" width="14.5703125" style="140" customWidth="1"/>
    <col min="4285" max="4287" width="15.28515625" style="140" customWidth="1"/>
    <col min="4288" max="4288" width="15.5703125" style="140"/>
    <col min="4289" max="4289" width="44.5703125" style="140" customWidth="1"/>
    <col min="4290" max="4290" width="13.85546875" style="140" customWidth="1"/>
    <col min="4291" max="4291" width="10.85546875" style="140" customWidth="1"/>
    <col min="4292" max="4292" width="14.5703125" style="140" customWidth="1"/>
    <col min="4293" max="4293" width="11" style="140" customWidth="1"/>
    <col min="4294" max="4294" width="10.85546875" style="140" customWidth="1"/>
    <col min="4295" max="4295" width="14.5703125" style="140" customWidth="1"/>
    <col min="4296" max="4297" width="15.5703125" style="140" customWidth="1"/>
    <col min="4298" max="4298" width="17.7109375" style="140" customWidth="1"/>
    <col min="4299" max="4524" width="29.28515625" style="140" customWidth="1"/>
    <col min="4525" max="4525" width="42.42578125" style="140" customWidth="1"/>
    <col min="4526" max="4528" width="12.42578125" style="140" customWidth="1"/>
    <col min="4529" max="4531" width="10.85546875" style="140" customWidth="1"/>
    <col min="4532" max="4534" width="14.5703125" style="140" bestFit="1" customWidth="1"/>
    <col min="4535" max="4537" width="11" style="140" customWidth="1"/>
    <col min="4538" max="4540" width="14.5703125" style="140" customWidth="1"/>
    <col min="4541" max="4543" width="15.28515625" style="140" customWidth="1"/>
    <col min="4544" max="4544" width="15.5703125" style="140"/>
    <col min="4545" max="4545" width="44.5703125" style="140" customWidth="1"/>
    <col min="4546" max="4546" width="13.85546875" style="140" customWidth="1"/>
    <col min="4547" max="4547" width="10.85546875" style="140" customWidth="1"/>
    <col min="4548" max="4548" width="14.5703125" style="140" customWidth="1"/>
    <col min="4549" max="4549" width="11" style="140" customWidth="1"/>
    <col min="4550" max="4550" width="10.85546875" style="140" customWidth="1"/>
    <col min="4551" max="4551" width="14.5703125" style="140" customWidth="1"/>
    <col min="4552" max="4553" width="15.5703125" style="140" customWidth="1"/>
    <col min="4554" max="4554" width="17.7109375" style="140" customWidth="1"/>
    <col min="4555" max="4780" width="29.28515625" style="140" customWidth="1"/>
    <col min="4781" max="4781" width="42.42578125" style="140" customWidth="1"/>
    <col min="4782" max="4784" width="12.42578125" style="140" customWidth="1"/>
    <col min="4785" max="4787" width="10.85546875" style="140" customWidth="1"/>
    <col min="4788" max="4790" width="14.5703125" style="140" bestFit="1" customWidth="1"/>
    <col min="4791" max="4793" width="11" style="140" customWidth="1"/>
    <col min="4794" max="4796" width="14.5703125" style="140" customWidth="1"/>
    <col min="4797" max="4799" width="15.28515625" style="140" customWidth="1"/>
    <col min="4800" max="4800" width="15.5703125" style="140"/>
    <col min="4801" max="4801" width="44.5703125" style="140" customWidth="1"/>
    <col min="4802" max="4802" width="13.85546875" style="140" customWidth="1"/>
    <col min="4803" max="4803" width="10.85546875" style="140" customWidth="1"/>
    <col min="4804" max="4804" width="14.5703125" style="140" customWidth="1"/>
    <col min="4805" max="4805" width="11" style="140" customWidth="1"/>
    <col min="4806" max="4806" width="10.85546875" style="140" customWidth="1"/>
    <col min="4807" max="4807" width="14.5703125" style="140" customWidth="1"/>
    <col min="4808" max="4809" width="15.5703125" style="140" customWidth="1"/>
    <col min="4810" max="4810" width="17.7109375" style="140" customWidth="1"/>
    <col min="4811" max="5036" width="29.28515625" style="140" customWidth="1"/>
    <col min="5037" max="5037" width="42.42578125" style="140" customWidth="1"/>
    <col min="5038" max="5040" width="12.42578125" style="140" customWidth="1"/>
    <col min="5041" max="5043" width="10.85546875" style="140" customWidth="1"/>
    <col min="5044" max="5046" width="14.5703125" style="140" bestFit="1" customWidth="1"/>
    <col min="5047" max="5049" width="11" style="140" customWidth="1"/>
    <col min="5050" max="5052" width="14.5703125" style="140" customWidth="1"/>
    <col min="5053" max="5055" width="15.28515625" style="140" customWidth="1"/>
    <col min="5056" max="5056" width="15.5703125" style="140"/>
    <col min="5057" max="5057" width="44.5703125" style="140" customWidth="1"/>
    <col min="5058" max="5058" width="13.85546875" style="140" customWidth="1"/>
    <col min="5059" max="5059" width="10.85546875" style="140" customWidth="1"/>
    <col min="5060" max="5060" width="14.5703125" style="140" customWidth="1"/>
    <col min="5061" max="5061" width="11" style="140" customWidth="1"/>
    <col min="5062" max="5062" width="10.85546875" style="140" customWidth="1"/>
    <col min="5063" max="5063" width="14.5703125" style="140" customWidth="1"/>
    <col min="5064" max="5065" width="15.5703125" style="140" customWidth="1"/>
    <col min="5066" max="5066" width="17.7109375" style="140" customWidth="1"/>
    <col min="5067" max="5292" width="29.28515625" style="140" customWidth="1"/>
    <col min="5293" max="5293" width="42.42578125" style="140" customWidth="1"/>
    <col min="5294" max="5296" width="12.42578125" style="140" customWidth="1"/>
    <col min="5297" max="5299" width="10.85546875" style="140" customWidth="1"/>
    <col min="5300" max="5302" width="14.5703125" style="140" bestFit="1" customWidth="1"/>
    <col min="5303" max="5305" width="11" style="140" customWidth="1"/>
    <col min="5306" max="5308" width="14.5703125" style="140" customWidth="1"/>
    <col min="5309" max="5311" width="15.28515625" style="140" customWidth="1"/>
    <col min="5312" max="5312" width="15.5703125" style="140"/>
    <col min="5313" max="5313" width="44.5703125" style="140" customWidth="1"/>
    <col min="5314" max="5314" width="13.85546875" style="140" customWidth="1"/>
    <col min="5315" max="5315" width="10.85546875" style="140" customWidth="1"/>
    <col min="5316" max="5316" width="14.5703125" style="140" customWidth="1"/>
    <col min="5317" max="5317" width="11" style="140" customWidth="1"/>
    <col min="5318" max="5318" width="10.85546875" style="140" customWidth="1"/>
    <col min="5319" max="5319" width="14.5703125" style="140" customWidth="1"/>
    <col min="5320" max="5321" width="15.5703125" style="140" customWidth="1"/>
    <col min="5322" max="5322" width="17.7109375" style="140" customWidth="1"/>
    <col min="5323" max="5548" width="29.28515625" style="140" customWidth="1"/>
    <col min="5549" max="5549" width="42.42578125" style="140" customWidth="1"/>
    <col min="5550" max="5552" width="12.42578125" style="140" customWidth="1"/>
    <col min="5553" max="5555" width="10.85546875" style="140" customWidth="1"/>
    <col min="5556" max="5558" width="14.5703125" style="140" bestFit="1" customWidth="1"/>
    <col min="5559" max="5561" width="11" style="140" customWidth="1"/>
    <col min="5562" max="5564" width="14.5703125" style="140" customWidth="1"/>
    <col min="5565" max="5567" width="15.28515625" style="140" customWidth="1"/>
    <col min="5568" max="5568" width="15.5703125" style="140"/>
    <col min="5569" max="5569" width="44.5703125" style="140" customWidth="1"/>
    <col min="5570" max="5570" width="13.85546875" style="140" customWidth="1"/>
    <col min="5571" max="5571" width="10.85546875" style="140" customWidth="1"/>
    <col min="5572" max="5572" width="14.5703125" style="140" customWidth="1"/>
    <col min="5573" max="5573" width="11" style="140" customWidth="1"/>
    <col min="5574" max="5574" width="10.85546875" style="140" customWidth="1"/>
    <col min="5575" max="5575" width="14.5703125" style="140" customWidth="1"/>
    <col min="5576" max="5577" width="15.5703125" style="140" customWidth="1"/>
    <col min="5578" max="5578" width="17.7109375" style="140" customWidth="1"/>
    <col min="5579" max="5804" width="29.28515625" style="140" customWidth="1"/>
    <col min="5805" max="5805" width="42.42578125" style="140" customWidth="1"/>
    <col min="5806" max="5808" width="12.42578125" style="140" customWidth="1"/>
    <col min="5809" max="5811" width="10.85546875" style="140" customWidth="1"/>
    <col min="5812" max="5814" width="14.5703125" style="140" bestFit="1" customWidth="1"/>
    <col min="5815" max="5817" width="11" style="140" customWidth="1"/>
    <col min="5818" max="5820" width="14.5703125" style="140" customWidth="1"/>
    <col min="5821" max="5823" width="15.28515625" style="140" customWidth="1"/>
    <col min="5824" max="5824" width="15.5703125" style="140"/>
    <col min="5825" max="5825" width="44.5703125" style="140" customWidth="1"/>
    <col min="5826" max="5826" width="13.85546875" style="140" customWidth="1"/>
    <col min="5827" max="5827" width="10.85546875" style="140" customWidth="1"/>
    <col min="5828" max="5828" width="14.5703125" style="140" customWidth="1"/>
    <col min="5829" max="5829" width="11" style="140" customWidth="1"/>
    <col min="5830" max="5830" width="10.85546875" style="140" customWidth="1"/>
    <col min="5831" max="5831" width="14.5703125" style="140" customWidth="1"/>
    <col min="5832" max="5833" width="15.5703125" style="140" customWidth="1"/>
    <col min="5834" max="5834" width="17.7109375" style="140" customWidth="1"/>
    <col min="5835" max="6060" width="29.28515625" style="140" customWidth="1"/>
    <col min="6061" max="6061" width="42.42578125" style="140" customWidth="1"/>
    <col min="6062" max="6064" width="12.42578125" style="140" customWidth="1"/>
    <col min="6065" max="6067" width="10.85546875" style="140" customWidth="1"/>
    <col min="6068" max="6070" width="14.5703125" style="140" bestFit="1" customWidth="1"/>
    <col min="6071" max="6073" width="11" style="140" customWidth="1"/>
    <col min="6074" max="6076" width="14.5703125" style="140" customWidth="1"/>
    <col min="6077" max="6079" width="15.28515625" style="140" customWidth="1"/>
    <col min="6080" max="6080" width="15.5703125" style="140"/>
    <col min="6081" max="6081" width="44.5703125" style="140" customWidth="1"/>
    <col min="6082" max="6082" width="13.85546875" style="140" customWidth="1"/>
    <col min="6083" max="6083" width="10.85546875" style="140" customWidth="1"/>
    <col min="6084" max="6084" width="14.5703125" style="140" customWidth="1"/>
    <col min="6085" max="6085" width="11" style="140" customWidth="1"/>
    <col min="6086" max="6086" width="10.85546875" style="140" customWidth="1"/>
    <col min="6087" max="6087" width="14.5703125" style="140" customWidth="1"/>
    <col min="6088" max="6089" width="15.5703125" style="140" customWidth="1"/>
    <col min="6090" max="6090" width="17.7109375" style="140" customWidth="1"/>
    <col min="6091" max="6316" width="29.28515625" style="140" customWidth="1"/>
    <col min="6317" max="6317" width="42.42578125" style="140" customWidth="1"/>
    <col min="6318" max="6320" width="12.42578125" style="140" customWidth="1"/>
    <col min="6321" max="6323" width="10.85546875" style="140" customWidth="1"/>
    <col min="6324" max="6326" width="14.5703125" style="140" bestFit="1" customWidth="1"/>
    <col min="6327" max="6329" width="11" style="140" customWidth="1"/>
    <col min="6330" max="6332" width="14.5703125" style="140" customWidth="1"/>
    <col min="6333" max="6335" width="15.28515625" style="140" customWidth="1"/>
    <col min="6336" max="6336" width="15.5703125" style="140"/>
    <col min="6337" max="6337" width="44.5703125" style="140" customWidth="1"/>
    <col min="6338" max="6338" width="13.85546875" style="140" customWidth="1"/>
    <col min="6339" max="6339" width="10.85546875" style="140" customWidth="1"/>
    <col min="6340" max="6340" width="14.5703125" style="140" customWidth="1"/>
    <col min="6341" max="6341" width="11" style="140" customWidth="1"/>
    <col min="6342" max="6342" width="10.85546875" style="140" customWidth="1"/>
    <col min="6343" max="6343" width="14.5703125" style="140" customWidth="1"/>
    <col min="6344" max="6345" width="15.5703125" style="140" customWidth="1"/>
    <col min="6346" max="6346" width="17.7109375" style="140" customWidth="1"/>
    <col min="6347" max="6572" width="29.28515625" style="140" customWidth="1"/>
    <col min="6573" max="6573" width="42.42578125" style="140" customWidth="1"/>
    <col min="6574" max="6576" width="12.42578125" style="140" customWidth="1"/>
    <col min="6577" max="6579" width="10.85546875" style="140" customWidth="1"/>
    <col min="6580" max="6582" width="14.5703125" style="140" bestFit="1" customWidth="1"/>
    <col min="6583" max="6585" width="11" style="140" customWidth="1"/>
    <col min="6586" max="6588" width="14.5703125" style="140" customWidth="1"/>
    <col min="6589" max="6591" width="15.28515625" style="140" customWidth="1"/>
    <col min="6592" max="6592" width="15.5703125" style="140"/>
    <col min="6593" max="6593" width="44.5703125" style="140" customWidth="1"/>
    <col min="6594" max="6594" width="13.85546875" style="140" customWidth="1"/>
    <col min="6595" max="6595" width="10.85546875" style="140" customWidth="1"/>
    <col min="6596" max="6596" width="14.5703125" style="140" customWidth="1"/>
    <col min="6597" max="6597" width="11" style="140" customWidth="1"/>
    <col min="6598" max="6598" width="10.85546875" style="140" customWidth="1"/>
    <col min="6599" max="6599" width="14.5703125" style="140" customWidth="1"/>
    <col min="6600" max="6601" width="15.5703125" style="140" customWidth="1"/>
    <col min="6602" max="6602" width="17.7109375" style="140" customWidth="1"/>
    <col min="6603" max="6828" width="29.28515625" style="140" customWidth="1"/>
    <col min="6829" max="6829" width="42.42578125" style="140" customWidth="1"/>
    <col min="6830" max="6832" width="12.42578125" style="140" customWidth="1"/>
    <col min="6833" max="6835" width="10.85546875" style="140" customWidth="1"/>
    <col min="6836" max="6838" width="14.5703125" style="140" bestFit="1" customWidth="1"/>
    <col min="6839" max="6841" width="11" style="140" customWidth="1"/>
    <col min="6842" max="6844" width="14.5703125" style="140" customWidth="1"/>
    <col min="6845" max="6847" width="15.28515625" style="140" customWidth="1"/>
    <col min="6848" max="6848" width="15.5703125" style="140"/>
    <col min="6849" max="6849" width="44.5703125" style="140" customWidth="1"/>
    <col min="6850" max="6850" width="13.85546875" style="140" customWidth="1"/>
    <col min="6851" max="6851" width="10.85546875" style="140" customWidth="1"/>
    <col min="6852" max="6852" width="14.5703125" style="140" customWidth="1"/>
    <col min="6853" max="6853" width="11" style="140" customWidth="1"/>
    <col min="6854" max="6854" width="10.85546875" style="140" customWidth="1"/>
    <col min="6855" max="6855" width="14.5703125" style="140" customWidth="1"/>
    <col min="6856" max="6857" width="15.5703125" style="140" customWidth="1"/>
    <col min="6858" max="6858" width="17.7109375" style="140" customWidth="1"/>
    <col min="6859" max="7084" width="29.28515625" style="140" customWidth="1"/>
    <col min="7085" max="7085" width="42.42578125" style="140" customWidth="1"/>
    <col min="7086" max="7088" width="12.42578125" style="140" customWidth="1"/>
    <col min="7089" max="7091" width="10.85546875" style="140" customWidth="1"/>
    <col min="7092" max="7094" width="14.5703125" style="140" bestFit="1" customWidth="1"/>
    <col min="7095" max="7097" width="11" style="140" customWidth="1"/>
    <col min="7098" max="7100" width="14.5703125" style="140" customWidth="1"/>
    <col min="7101" max="7103" width="15.28515625" style="140" customWidth="1"/>
    <col min="7104" max="7104" width="15.5703125" style="140"/>
    <col min="7105" max="7105" width="44.5703125" style="140" customWidth="1"/>
    <col min="7106" max="7106" width="13.85546875" style="140" customWidth="1"/>
    <col min="7107" max="7107" width="10.85546875" style="140" customWidth="1"/>
    <col min="7108" max="7108" width="14.5703125" style="140" customWidth="1"/>
    <col min="7109" max="7109" width="11" style="140" customWidth="1"/>
    <col min="7110" max="7110" width="10.85546875" style="140" customWidth="1"/>
    <col min="7111" max="7111" width="14.5703125" style="140" customWidth="1"/>
    <col min="7112" max="7113" width="15.5703125" style="140" customWidth="1"/>
    <col min="7114" max="7114" width="17.7109375" style="140" customWidth="1"/>
    <col min="7115" max="7340" width="29.28515625" style="140" customWidth="1"/>
    <col min="7341" max="7341" width="42.42578125" style="140" customWidth="1"/>
    <col min="7342" max="7344" width="12.42578125" style="140" customWidth="1"/>
    <col min="7345" max="7347" width="10.85546875" style="140" customWidth="1"/>
    <col min="7348" max="7350" width="14.5703125" style="140" bestFit="1" customWidth="1"/>
    <col min="7351" max="7353" width="11" style="140" customWidth="1"/>
    <col min="7354" max="7356" width="14.5703125" style="140" customWidth="1"/>
    <col min="7357" max="7359" width="15.28515625" style="140" customWidth="1"/>
    <col min="7360" max="7360" width="15.5703125" style="140"/>
    <col min="7361" max="7361" width="44.5703125" style="140" customWidth="1"/>
    <col min="7362" max="7362" width="13.85546875" style="140" customWidth="1"/>
    <col min="7363" max="7363" width="10.85546875" style="140" customWidth="1"/>
    <col min="7364" max="7364" width="14.5703125" style="140" customWidth="1"/>
    <col min="7365" max="7365" width="11" style="140" customWidth="1"/>
    <col min="7366" max="7366" width="10.85546875" style="140" customWidth="1"/>
    <col min="7367" max="7367" width="14.5703125" style="140" customWidth="1"/>
    <col min="7368" max="7369" width="15.5703125" style="140" customWidth="1"/>
    <col min="7370" max="7370" width="17.7109375" style="140" customWidth="1"/>
    <col min="7371" max="7596" width="29.28515625" style="140" customWidth="1"/>
    <col min="7597" max="7597" width="42.42578125" style="140" customWidth="1"/>
    <col min="7598" max="7600" width="12.42578125" style="140" customWidth="1"/>
    <col min="7601" max="7603" width="10.85546875" style="140" customWidth="1"/>
    <col min="7604" max="7606" width="14.5703125" style="140" bestFit="1" customWidth="1"/>
    <col min="7607" max="7609" width="11" style="140" customWidth="1"/>
    <col min="7610" max="7612" width="14.5703125" style="140" customWidth="1"/>
    <col min="7613" max="7615" width="15.28515625" style="140" customWidth="1"/>
    <col min="7616" max="7616" width="15.5703125" style="140"/>
    <col min="7617" max="7617" width="44.5703125" style="140" customWidth="1"/>
    <col min="7618" max="7618" width="13.85546875" style="140" customWidth="1"/>
    <col min="7619" max="7619" width="10.85546875" style="140" customWidth="1"/>
    <col min="7620" max="7620" width="14.5703125" style="140" customWidth="1"/>
    <col min="7621" max="7621" width="11" style="140" customWidth="1"/>
    <col min="7622" max="7622" width="10.85546875" style="140" customWidth="1"/>
    <col min="7623" max="7623" width="14.5703125" style="140" customWidth="1"/>
    <col min="7624" max="7625" width="15.5703125" style="140" customWidth="1"/>
    <col min="7626" max="7626" width="17.7109375" style="140" customWidth="1"/>
    <col min="7627" max="7852" width="29.28515625" style="140" customWidth="1"/>
    <col min="7853" max="7853" width="42.42578125" style="140" customWidth="1"/>
    <col min="7854" max="7856" width="12.42578125" style="140" customWidth="1"/>
    <col min="7857" max="7859" width="10.85546875" style="140" customWidth="1"/>
    <col min="7860" max="7862" width="14.5703125" style="140" bestFit="1" customWidth="1"/>
    <col min="7863" max="7865" width="11" style="140" customWidth="1"/>
    <col min="7866" max="7868" width="14.5703125" style="140" customWidth="1"/>
    <col min="7869" max="7871" width="15.28515625" style="140" customWidth="1"/>
    <col min="7872" max="7872" width="15.5703125" style="140"/>
    <col min="7873" max="7873" width="44.5703125" style="140" customWidth="1"/>
    <col min="7874" max="7874" width="13.85546875" style="140" customWidth="1"/>
    <col min="7875" max="7875" width="10.85546875" style="140" customWidth="1"/>
    <col min="7876" max="7876" width="14.5703125" style="140" customWidth="1"/>
    <col min="7877" max="7877" width="11" style="140" customWidth="1"/>
    <col min="7878" max="7878" width="10.85546875" style="140" customWidth="1"/>
    <col min="7879" max="7879" width="14.5703125" style="140" customWidth="1"/>
    <col min="7880" max="7881" width="15.5703125" style="140" customWidth="1"/>
    <col min="7882" max="7882" width="17.7109375" style="140" customWidth="1"/>
    <col min="7883" max="8108" width="29.28515625" style="140" customWidth="1"/>
    <col min="8109" max="8109" width="42.42578125" style="140" customWidth="1"/>
    <col min="8110" max="8112" width="12.42578125" style="140" customWidth="1"/>
    <col min="8113" max="8115" width="10.85546875" style="140" customWidth="1"/>
    <col min="8116" max="8118" width="14.5703125" style="140" bestFit="1" customWidth="1"/>
    <col min="8119" max="8121" width="11" style="140" customWidth="1"/>
    <col min="8122" max="8124" width="14.5703125" style="140" customWidth="1"/>
    <col min="8125" max="8127" width="15.28515625" style="140" customWidth="1"/>
    <col min="8128" max="8128" width="15.5703125" style="140"/>
    <col min="8129" max="8129" width="44.5703125" style="140" customWidth="1"/>
    <col min="8130" max="8130" width="13.85546875" style="140" customWidth="1"/>
    <col min="8131" max="8131" width="10.85546875" style="140" customWidth="1"/>
    <col min="8132" max="8132" width="14.5703125" style="140" customWidth="1"/>
    <col min="8133" max="8133" width="11" style="140" customWidth="1"/>
    <col min="8134" max="8134" width="10.85546875" style="140" customWidth="1"/>
    <col min="8135" max="8135" width="14.5703125" style="140" customWidth="1"/>
    <col min="8136" max="8137" width="15.5703125" style="140" customWidth="1"/>
    <col min="8138" max="8138" width="17.7109375" style="140" customWidth="1"/>
    <col min="8139" max="8364" width="29.28515625" style="140" customWidth="1"/>
    <col min="8365" max="8365" width="42.42578125" style="140" customWidth="1"/>
    <col min="8366" max="8368" width="12.42578125" style="140" customWidth="1"/>
    <col min="8369" max="8371" width="10.85546875" style="140" customWidth="1"/>
    <col min="8372" max="8374" width="14.5703125" style="140" bestFit="1" customWidth="1"/>
    <col min="8375" max="8377" width="11" style="140" customWidth="1"/>
    <col min="8378" max="8380" width="14.5703125" style="140" customWidth="1"/>
    <col min="8381" max="8383" width="15.28515625" style="140" customWidth="1"/>
    <col min="8384" max="8384" width="15.5703125" style="140"/>
    <col min="8385" max="8385" width="44.5703125" style="140" customWidth="1"/>
    <col min="8386" max="8386" width="13.85546875" style="140" customWidth="1"/>
    <col min="8387" max="8387" width="10.85546875" style="140" customWidth="1"/>
    <col min="8388" max="8388" width="14.5703125" style="140" customWidth="1"/>
    <col min="8389" max="8389" width="11" style="140" customWidth="1"/>
    <col min="8390" max="8390" width="10.85546875" style="140" customWidth="1"/>
    <col min="8391" max="8391" width="14.5703125" style="140" customWidth="1"/>
    <col min="8392" max="8393" width="15.5703125" style="140" customWidth="1"/>
    <col min="8394" max="8394" width="17.7109375" style="140" customWidth="1"/>
    <col min="8395" max="8620" width="29.28515625" style="140" customWidth="1"/>
    <col min="8621" max="8621" width="42.42578125" style="140" customWidth="1"/>
    <col min="8622" max="8624" width="12.42578125" style="140" customWidth="1"/>
    <col min="8625" max="8627" width="10.85546875" style="140" customWidth="1"/>
    <col min="8628" max="8630" width="14.5703125" style="140" bestFit="1" customWidth="1"/>
    <col min="8631" max="8633" width="11" style="140" customWidth="1"/>
    <col min="8634" max="8636" width="14.5703125" style="140" customWidth="1"/>
    <col min="8637" max="8639" width="15.28515625" style="140" customWidth="1"/>
    <col min="8640" max="8640" width="15.5703125" style="140"/>
    <col min="8641" max="8641" width="44.5703125" style="140" customWidth="1"/>
    <col min="8642" max="8642" width="13.85546875" style="140" customWidth="1"/>
    <col min="8643" max="8643" width="10.85546875" style="140" customWidth="1"/>
    <col min="8644" max="8644" width="14.5703125" style="140" customWidth="1"/>
    <col min="8645" max="8645" width="11" style="140" customWidth="1"/>
    <col min="8646" max="8646" width="10.85546875" style="140" customWidth="1"/>
    <col min="8647" max="8647" width="14.5703125" style="140" customWidth="1"/>
    <col min="8648" max="8649" width="15.5703125" style="140" customWidth="1"/>
    <col min="8650" max="8650" width="17.7109375" style="140" customWidth="1"/>
    <col min="8651" max="8876" width="29.28515625" style="140" customWidth="1"/>
    <col min="8877" max="8877" width="42.42578125" style="140" customWidth="1"/>
    <col min="8878" max="8880" width="12.42578125" style="140" customWidth="1"/>
    <col min="8881" max="8883" width="10.85546875" style="140" customWidth="1"/>
    <col min="8884" max="8886" width="14.5703125" style="140" bestFit="1" customWidth="1"/>
    <col min="8887" max="8889" width="11" style="140" customWidth="1"/>
    <col min="8890" max="8892" width="14.5703125" style="140" customWidth="1"/>
    <col min="8893" max="8895" width="15.28515625" style="140" customWidth="1"/>
    <col min="8896" max="8896" width="15.5703125" style="140"/>
    <col min="8897" max="8897" width="44.5703125" style="140" customWidth="1"/>
    <col min="8898" max="8898" width="13.85546875" style="140" customWidth="1"/>
    <col min="8899" max="8899" width="10.85546875" style="140" customWidth="1"/>
    <col min="8900" max="8900" width="14.5703125" style="140" customWidth="1"/>
    <col min="8901" max="8901" width="11" style="140" customWidth="1"/>
    <col min="8902" max="8902" width="10.85546875" style="140" customWidth="1"/>
    <col min="8903" max="8903" width="14.5703125" style="140" customWidth="1"/>
    <col min="8904" max="8905" width="15.5703125" style="140" customWidth="1"/>
    <col min="8906" max="8906" width="17.7109375" style="140" customWidth="1"/>
    <col min="8907" max="9132" width="29.28515625" style="140" customWidth="1"/>
    <col min="9133" max="9133" width="42.42578125" style="140" customWidth="1"/>
    <col min="9134" max="9136" width="12.42578125" style="140" customWidth="1"/>
    <col min="9137" max="9139" width="10.85546875" style="140" customWidth="1"/>
    <col min="9140" max="9142" width="14.5703125" style="140" bestFit="1" customWidth="1"/>
    <col min="9143" max="9145" width="11" style="140" customWidth="1"/>
    <col min="9146" max="9148" width="14.5703125" style="140" customWidth="1"/>
    <col min="9149" max="9151" width="15.28515625" style="140" customWidth="1"/>
    <col min="9152" max="9152" width="15.5703125" style="140"/>
    <col min="9153" max="9153" width="44.5703125" style="140" customWidth="1"/>
    <col min="9154" max="9154" width="13.85546875" style="140" customWidth="1"/>
    <col min="9155" max="9155" width="10.85546875" style="140" customWidth="1"/>
    <col min="9156" max="9156" width="14.5703125" style="140" customWidth="1"/>
    <col min="9157" max="9157" width="11" style="140" customWidth="1"/>
    <col min="9158" max="9158" width="10.85546875" style="140" customWidth="1"/>
    <col min="9159" max="9159" width="14.5703125" style="140" customWidth="1"/>
    <col min="9160" max="9161" width="15.5703125" style="140" customWidth="1"/>
    <col min="9162" max="9162" width="17.7109375" style="140" customWidth="1"/>
    <col min="9163" max="9388" width="29.28515625" style="140" customWidth="1"/>
    <col min="9389" max="9389" width="42.42578125" style="140" customWidth="1"/>
    <col min="9390" max="9392" width="12.42578125" style="140" customWidth="1"/>
    <col min="9393" max="9395" width="10.85546875" style="140" customWidth="1"/>
    <col min="9396" max="9398" width="14.5703125" style="140" bestFit="1" customWidth="1"/>
    <col min="9399" max="9401" width="11" style="140" customWidth="1"/>
    <col min="9402" max="9404" width="14.5703125" style="140" customWidth="1"/>
    <col min="9405" max="9407" width="15.28515625" style="140" customWidth="1"/>
    <col min="9408" max="9408" width="15.5703125" style="140"/>
    <col min="9409" max="9409" width="44.5703125" style="140" customWidth="1"/>
    <col min="9410" max="9410" width="13.85546875" style="140" customWidth="1"/>
    <col min="9411" max="9411" width="10.85546875" style="140" customWidth="1"/>
    <col min="9412" max="9412" width="14.5703125" style="140" customWidth="1"/>
    <col min="9413" max="9413" width="11" style="140" customWidth="1"/>
    <col min="9414" max="9414" width="10.85546875" style="140" customWidth="1"/>
    <col min="9415" max="9415" width="14.5703125" style="140" customWidth="1"/>
    <col min="9416" max="9417" width="15.5703125" style="140" customWidth="1"/>
    <col min="9418" max="9418" width="17.7109375" style="140" customWidth="1"/>
    <col min="9419" max="9644" width="29.28515625" style="140" customWidth="1"/>
    <col min="9645" max="9645" width="42.42578125" style="140" customWidth="1"/>
    <col min="9646" max="9648" width="12.42578125" style="140" customWidth="1"/>
    <col min="9649" max="9651" width="10.85546875" style="140" customWidth="1"/>
    <col min="9652" max="9654" width="14.5703125" style="140" bestFit="1" customWidth="1"/>
    <col min="9655" max="9657" width="11" style="140" customWidth="1"/>
    <col min="9658" max="9660" width="14.5703125" style="140" customWidth="1"/>
    <col min="9661" max="9663" width="15.28515625" style="140" customWidth="1"/>
    <col min="9664" max="9664" width="15.5703125" style="140"/>
    <col min="9665" max="9665" width="44.5703125" style="140" customWidth="1"/>
    <col min="9666" max="9666" width="13.85546875" style="140" customWidth="1"/>
    <col min="9667" max="9667" width="10.85546875" style="140" customWidth="1"/>
    <col min="9668" max="9668" width="14.5703125" style="140" customWidth="1"/>
    <col min="9669" max="9669" width="11" style="140" customWidth="1"/>
    <col min="9670" max="9670" width="10.85546875" style="140" customWidth="1"/>
    <col min="9671" max="9671" width="14.5703125" style="140" customWidth="1"/>
    <col min="9672" max="9673" width="15.5703125" style="140" customWidth="1"/>
    <col min="9674" max="9674" width="17.7109375" style="140" customWidth="1"/>
    <col min="9675" max="9900" width="29.28515625" style="140" customWidth="1"/>
    <col min="9901" max="9901" width="42.42578125" style="140" customWidth="1"/>
    <col min="9902" max="9904" width="12.42578125" style="140" customWidth="1"/>
    <col min="9905" max="9907" width="10.85546875" style="140" customWidth="1"/>
    <col min="9908" max="9910" width="14.5703125" style="140" bestFit="1" customWidth="1"/>
    <col min="9911" max="9913" width="11" style="140" customWidth="1"/>
    <col min="9914" max="9916" width="14.5703125" style="140" customWidth="1"/>
    <col min="9917" max="9919" width="15.28515625" style="140" customWidth="1"/>
    <col min="9920" max="9920" width="15.5703125" style="140"/>
    <col min="9921" max="9921" width="44.5703125" style="140" customWidth="1"/>
    <col min="9922" max="9922" width="13.85546875" style="140" customWidth="1"/>
    <col min="9923" max="9923" width="10.85546875" style="140" customWidth="1"/>
    <col min="9924" max="9924" width="14.5703125" style="140" customWidth="1"/>
    <col min="9925" max="9925" width="11" style="140" customWidth="1"/>
    <col min="9926" max="9926" width="10.85546875" style="140" customWidth="1"/>
    <col min="9927" max="9927" width="14.5703125" style="140" customWidth="1"/>
    <col min="9928" max="9929" width="15.5703125" style="140" customWidth="1"/>
    <col min="9930" max="9930" width="17.7109375" style="140" customWidth="1"/>
    <col min="9931" max="10156" width="29.28515625" style="140" customWidth="1"/>
    <col min="10157" max="10157" width="42.42578125" style="140" customWidth="1"/>
    <col min="10158" max="10160" width="12.42578125" style="140" customWidth="1"/>
    <col min="10161" max="10163" width="10.85546875" style="140" customWidth="1"/>
    <col min="10164" max="10166" width="14.5703125" style="140" bestFit="1" customWidth="1"/>
    <col min="10167" max="10169" width="11" style="140" customWidth="1"/>
    <col min="10170" max="10172" width="14.5703125" style="140" customWidth="1"/>
    <col min="10173" max="10175" width="15.28515625" style="140" customWidth="1"/>
    <col min="10176" max="10176" width="15.5703125" style="140"/>
    <col min="10177" max="10177" width="44.5703125" style="140" customWidth="1"/>
    <col min="10178" max="10178" width="13.85546875" style="140" customWidth="1"/>
    <col min="10179" max="10179" width="10.85546875" style="140" customWidth="1"/>
    <col min="10180" max="10180" width="14.5703125" style="140" customWidth="1"/>
    <col min="10181" max="10181" width="11" style="140" customWidth="1"/>
    <col min="10182" max="10182" width="10.85546875" style="140" customWidth="1"/>
    <col min="10183" max="10183" width="14.5703125" style="140" customWidth="1"/>
    <col min="10184" max="10185" width="15.5703125" style="140" customWidth="1"/>
    <col min="10186" max="10186" width="17.7109375" style="140" customWidth="1"/>
    <col min="10187" max="10412" width="29.28515625" style="140" customWidth="1"/>
    <col min="10413" max="10413" width="42.42578125" style="140" customWidth="1"/>
    <col min="10414" max="10416" width="12.42578125" style="140" customWidth="1"/>
    <col min="10417" max="10419" width="10.85546875" style="140" customWidth="1"/>
    <col min="10420" max="10422" width="14.5703125" style="140" bestFit="1" customWidth="1"/>
    <col min="10423" max="10425" width="11" style="140" customWidth="1"/>
    <col min="10426" max="10428" width="14.5703125" style="140" customWidth="1"/>
    <col min="10429" max="10431" width="15.28515625" style="140" customWidth="1"/>
    <col min="10432" max="10432" width="15.5703125" style="140"/>
    <col min="10433" max="10433" width="44.5703125" style="140" customWidth="1"/>
    <col min="10434" max="10434" width="13.85546875" style="140" customWidth="1"/>
    <col min="10435" max="10435" width="10.85546875" style="140" customWidth="1"/>
    <col min="10436" max="10436" width="14.5703125" style="140" customWidth="1"/>
    <col min="10437" max="10437" width="11" style="140" customWidth="1"/>
    <col min="10438" max="10438" width="10.85546875" style="140" customWidth="1"/>
    <col min="10439" max="10439" width="14.5703125" style="140" customWidth="1"/>
    <col min="10440" max="10441" width="15.5703125" style="140" customWidth="1"/>
    <col min="10442" max="10442" width="17.7109375" style="140" customWidth="1"/>
    <col min="10443" max="10668" width="29.28515625" style="140" customWidth="1"/>
    <col min="10669" max="10669" width="42.42578125" style="140" customWidth="1"/>
    <col min="10670" max="10672" width="12.42578125" style="140" customWidth="1"/>
    <col min="10673" max="10675" width="10.85546875" style="140" customWidth="1"/>
    <col min="10676" max="10678" width="14.5703125" style="140" bestFit="1" customWidth="1"/>
    <col min="10679" max="10681" width="11" style="140" customWidth="1"/>
    <col min="10682" max="10684" width="14.5703125" style="140" customWidth="1"/>
    <col min="10685" max="10687" width="15.28515625" style="140" customWidth="1"/>
    <col min="10688" max="10688" width="15.5703125" style="140"/>
    <col min="10689" max="10689" width="44.5703125" style="140" customWidth="1"/>
    <col min="10690" max="10690" width="13.85546875" style="140" customWidth="1"/>
    <col min="10691" max="10691" width="10.85546875" style="140" customWidth="1"/>
    <col min="10692" max="10692" width="14.5703125" style="140" customWidth="1"/>
    <col min="10693" max="10693" width="11" style="140" customWidth="1"/>
    <col min="10694" max="10694" width="10.85546875" style="140" customWidth="1"/>
    <col min="10695" max="10695" width="14.5703125" style="140" customWidth="1"/>
    <col min="10696" max="10697" width="15.5703125" style="140" customWidth="1"/>
    <col min="10698" max="10698" width="17.7109375" style="140" customWidth="1"/>
    <col min="10699" max="10924" width="29.28515625" style="140" customWidth="1"/>
    <col min="10925" max="10925" width="42.42578125" style="140" customWidth="1"/>
    <col min="10926" max="10928" width="12.42578125" style="140" customWidth="1"/>
    <col min="10929" max="10931" width="10.85546875" style="140" customWidth="1"/>
    <col min="10932" max="10934" width="14.5703125" style="140" bestFit="1" customWidth="1"/>
    <col min="10935" max="10937" width="11" style="140" customWidth="1"/>
    <col min="10938" max="10940" width="14.5703125" style="140" customWidth="1"/>
    <col min="10941" max="10943" width="15.28515625" style="140" customWidth="1"/>
    <col min="10944" max="10944" width="15.5703125" style="140"/>
    <col min="10945" max="10945" width="44.5703125" style="140" customWidth="1"/>
    <col min="10946" max="10946" width="13.85546875" style="140" customWidth="1"/>
    <col min="10947" max="10947" width="10.85546875" style="140" customWidth="1"/>
    <col min="10948" max="10948" width="14.5703125" style="140" customWidth="1"/>
    <col min="10949" max="10949" width="11" style="140" customWidth="1"/>
    <col min="10950" max="10950" width="10.85546875" style="140" customWidth="1"/>
    <col min="10951" max="10951" width="14.5703125" style="140" customWidth="1"/>
    <col min="10952" max="10953" width="15.5703125" style="140" customWidth="1"/>
    <col min="10954" max="10954" width="17.7109375" style="140" customWidth="1"/>
    <col min="10955" max="11180" width="29.28515625" style="140" customWidth="1"/>
    <col min="11181" max="11181" width="42.42578125" style="140" customWidth="1"/>
    <col min="11182" max="11184" width="12.42578125" style="140" customWidth="1"/>
    <col min="11185" max="11187" width="10.85546875" style="140" customWidth="1"/>
    <col min="11188" max="11190" width="14.5703125" style="140" bestFit="1" customWidth="1"/>
    <col min="11191" max="11193" width="11" style="140" customWidth="1"/>
    <col min="11194" max="11196" width="14.5703125" style="140" customWidth="1"/>
    <col min="11197" max="11199" width="15.28515625" style="140" customWidth="1"/>
    <col min="11200" max="11200" width="15.5703125" style="140"/>
    <col min="11201" max="11201" width="44.5703125" style="140" customWidth="1"/>
    <col min="11202" max="11202" width="13.85546875" style="140" customWidth="1"/>
    <col min="11203" max="11203" width="10.85546875" style="140" customWidth="1"/>
    <col min="11204" max="11204" width="14.5703125" style="140" customWidth="1"/>
    <col min="11205" max="11205" width="11" style="140" customWidth="1"/>
    <col min="11206" max="11206" width="10.85546875" style="140" customWidth="1"/>
    <col min="11207" max="11207" width="14.5703125" style="140" customWidth="1"/>
    <col min="11208" max="11209" width="15.5703125" style="140" customWidth="1"/>
    <col min="11210" max="11210" width="17.7109375" style="140" customWidth="1"/>
    <col min="11211" max="11436" width="29.28515625" style="140" customWidth="1"/>
    <col min="11437" max="11437" width="42.42578125" style="140" customWidth="1"/>
    <col min="11438" max="11440" width="12.42578125" style="140" customWidth="1"/>
    <col min="11441" max="11443" width="10.85546875" style="140" customWidth="1"/>
    <col min="11444" max="11446" width="14.5703125" style="140" bestFit="1" customWidth="1"/>
    <col min="11447" max="11449" width="11" style="140" customWidth="1"/>
    <col min="11450" max="11452" width="14.5703125" style="140" customWidth="1"/>
    <col min="11453" max="11455" width="15.28515625" style="140" customWidth="1"/>
    <col min="11456" max="11456" width="15.5703125" style="140"/>
    <col min="11457" max="11457" width="44.5703125" style="140" customWidth="1"/>
    <col min="11458" max="11458" width="13.85546875" style="140" customWidth="1"/>
    <col min="11459" max="11459" width="10.85546875" style="140" customWidth="1"/>
    <col min="11460" max="11460" width="14.5703125" style="140" customWidth="1"/>
    <col min="11461" max="11461" width="11" style="140" customWidth="1"/>
    <col min="11462" max="11462" width="10.85546875" style="140" customWidth="1"/>
    <col min="11463" max="11463" width="14.5703125" style="140" customWidth="1"/>
    <col min="11464" max="11465" width="15.5703125" style="140" customWidth="1"/>
    <col min="11466" max="11466" width="17.7109375" style="140" customWidth="1"/>
    <col min="11467" max="11692" width="29.28515625" style="140" customWidth="1"/>
    <col min="11693" max="11693" width="42.42578125" style="140" customWidth="1"/>
    <col min="11694" max="11696" width="12.42578125" style="140" customWidth="1"/>
    <col min="11697" max="11699" width="10.85546875" style="140" customWidth="1"/>
    <col min="11700" max="11702" width="14.5703125" style="140" bestFit="1" customWidth="1"/>
    <col min="11703" max="11705" width="11" style="140" customWidth="1"/>
    <col min="11706" max="11708" width="14.5703125" style="140" customWidth="1"/>
    <col min="11709" max="11711" width="15.28515625" style="140" customWidth="1"/>
    <col min="11712" max="11712" width="15.5703125" style="140"/>
    <col min="11713" max="11713" width="44.5703125" style="140" customWidth="1"/>
    <col min="11714" max="11714" width="13.85546875" style="140" customWidth="1"/>
    <col min="11715" max="11715" width="10.85546875" style="140" customWidth="1"/>
    <col min="11716" max="11716" width="14.5703125" style="140" customWidth="1"/>
    <col min="11717" max="11717" width="11" style="140" customWidth="1"/>
    <col min="11718" max="11718" width="10.85546875" style="140" customWidth="1"/>
    <col min="11719" max="11719" width="14.5703125" style="140" customWidth="1"/>
    <col min="11720" max="11721" width="15.5703125" style="140" customWidth="1"/>
    <col min="11722" max="11722" width="17.7109375" style="140" customWidth="1"/>
    <col min="11723" max="11948" width="29.28515625" style="140" customWidth="1"/>
    <col min="11949" max="11949" width="42.42578125" style="140" customWidth="1"/>
    <col min="11950" max="11952" width="12.42578125" style="140" customWidth="1"/>
    <col min="11953" max="11955" width="10.85546875" style="140" customWidth="1"/>
    <col min="11956" max="11958" width="14.5703125" style="140" bestFit="1" customWidth="1"/>
    <col min="11959" max="11961" width="11" style="140" customWidth="1"/>
    <col min="11962" max="11964" width="14.5703125" style="140" customWidth="1"/>
    <col min="11965" max="11967" width="15.28515625" style="140" customWidth="1"/>
    <col min="11968" max="11968" width="15.5703125" style="140"/>
    <col min="11969" max="11969" width="44.5703125" style="140" customWidth="1"/>
    <col min="11970" max="11970" width="13.85546875" style="140" customWidth="1"/>
    <col min="11971" max="11971" width="10.85546875" style="140" customWidth="1"/>
    <col min="11972" max="11972" width="14.5703125" style="140" customWidth="1"/>
    <col min="11973" max="11973" width="11" style="140" customWidth="1"/>
    <col min="11974" max="11974" width="10.85546875" style="140" customWidth="1"/>
    <col min="11975" max="11975" width="14.5703125" style="140" customWidth="1"/>
    <col min="11976" max="11977" width="15.5703125" style="140" customWidth="1"/>
    <col min="11978" max="11978" width="17.7109375" style="140" customWidth="1"/>
    <col min="11979" max="12204" width="29.28515625" style="140" customWidth="1"/>
    <col min="12205" max="12205" width="42.42578125" style="140" customWidth="1"/>
    <col min="12206" max="12208" width="12.42578125" style="140" customWidth="1"/>
    <col min="12209" max="12211" width="10.85546875" style="140" customWidth="1"/>
    <col min="12212" max="12214" width="14.5703125" style="140" bestFit="1" customWidth="1"/>
    <col min="12215" max="12217" width="11" style="140" customWidth="1"/>
    <col min="12218" max="12220" width="14.5703125" style="140" customWidth="1"/>
    <col min="12221" max="12223" width="15.28515625" style="140" customWidth="1"/>
    <col min="12224" max="12224" width="15.5703125" style="140"/>
    <col min="12225" max="12225" width="44.5703125" style="140" customWidth="1"/>
    <col min="12226" max="12226" width="13.85546875" style="140" customWidth="1"/>
    <col min="12227" max="12227" width="10.85546875" style="140" customWidth="1"/>
    <col min="12228" max="12228" width="14.5703125" style="140" customWidth="1"/>
    <col min="12229" max="12229" width="11" style="140" customWidth="1"/>
    <col min="12230" max="12230" width="10.85546875" style="140" customWidth="1"/>
    <col min="12231" max="12231" width="14.5703125" style="140" customWidth="1"/>
    <col min="12232" max="12233" width="15.5703125" style="140" customWidth="1"/>
    <col min="12234" max="12234" width="17.7109375" style="140" customWidth="1"/>
    <col min="12235" max="12460" width="29.28515625" style="140" customWidth="1"/>
    <col min="12461" max="12461" width="42.42578125" style="140" customWidth="1"/>
    <col min="12462" max="12464" width="12.42578125" style="140" customWidth="1"/>
    <col min="12465" max="12467" width="10.85546875" style="140" customWidth="1"/>
    <col min="12468" max="12470" width="14.5703125" style="140" bestFit="1" customWidth="1"/>
    <col min="12471" max="12473" width="11" style="140" customWidth="1"/>
    <col min="12474" max="12476" width="14.5703125" style="140" customWidth="1"/>
    <col min="12477" max="12479" width="15.28515625" style="140" customWidth="1"/>
    <col min="12480" max="12480" width="15.5703125" style="140"/>
    <col min="12481" max="12481" width="44.5703125" style="140" customWidth="1"/>
    <col min="12482" max="12482" width="13.85546875" style="140" customWidth="1"/>
    <col min="12483" max="12483" width="10.85546875" style="140" customWidth="1"/>
    <col min="12484" max="12484" width="14.5703125" style="140" customWidth="1"/>
    <col min="12485" max="12485" width="11" style="140" customWidth="1"/>
    <col min="12486" max="12486" width="10.85546875" style="140" customWidth="1"/>
    <col min="12487" max="12487" width="14.5703125" style="140" customWidth="1"/>
    <col min="12488" max="12489" width="15.5703125" style="140" customWidth="1"/>
    <col min="12490" max="12490" width="17.7109375" style="140" customWidth="1"/>
    <col min="12491" max="12716" width="29.28515625" style="140" customWidth="1"/>
    <col min="12717" max="12717" width="42.42578125" style="140" customWidth="1"/>
    <col min="12718" max="12720" width="12.42578125" style="140" customWidth="1"/>
    <col min="12721" max="12723" width="10.85546875" style="140" customWidth="1"/>
    <col min="12724" max="12726" width="14.5703125" style="140" bestFit="1" customWidth="1"/>
    <col min="12727" max="12729" width="11" style="140" customWidth="1"/>
    <col min="12730" max="12732" width="14.5703125" style="140" customWidth="1"/>
    <col min="12733" max="12735" width="15.28515625" style="140" customWidth="1"/>
    <col min="12736" max="12736" width="15.5703125" style="140"/>
    <col min="12737" max="12737" width="44.5703125" style="140" customWidth="1"/>
    <col min="12738" max="12738" width="13.85546875" style="140" customWidth="1"/>
    <col min="12739" max="12739" width="10.85546875" style="140" customWidth="1"/>
    <col min="12740" max="12740" width="14.5703125" style="140" customWidth="1"/>
    <col min="12741" max="12741" width="11" style="140" customWidth="1"/>
    <col min="12742" max="12742" width="10.85546875" style="140" customWidth="1"/>
    <col min="12743" max="12743" width="14.5703125" style="140" customWidth="1"/>
    <col min="12744" max="12745" width="15.5703125" style="140" customWidth="1"/>
    <col min="12746" max="12746" width="17.7109375" style="140" customWidth="1"/>
    <col min="12747" max="12972" width="29.28515625" style="140" customWidth="1"/>
    <col min="12973" max="12973" width="42.42578125" style="140" customWidth="1"/>
    <col min="12974" max="12976" width="12.42578125" style="140" customWidth="1"/>
    <col min="12977" max="12979" width="10.85546875" style="140" customWidth="1"/>
    <col min="12980" max="12982" width="14.5703125" style="140" bestFit="1" customWidth="1"/>
    <col min="12983" max="12985" width="11" style="140" customWidth="1"/>
    <col min="12986" max="12988" width="14.5703125" style="140" customWidth="1"/>
    <col min="12989" max="12991" width="15.28515625" style="140" customWidth="1"/>
    <col min="12992" max="12992" width="15.5703125" style="140"/>
    <col min="12993" max="12993" width="44.5703125" style="140" customWidth="1"/>
    <col min="12994" max="12994" width="13.85546875" style="140" customWidth="1"/>
    <col min="12995" max="12995" width="10.85546875" style="140" customWidth="1"/>
    <col min="12996" max="12996" width="14.5703125" style="140" customWidth="1"/>
    <col min="12997" max="12997" width="11" style="140" customWidth="1"/>
    <col min="12998" max="12998" width="10.85546875" style="140" customWidth="1"/>
    <col min="12999" max="12999" width="14.5703125" style="140" customWidth="1"/>
    <col min="13000" max="13001" width="15.5703125" style="140" customWidth="1"/>
    <col min="13002" max="13002" width="17.7109375" style="140" customWidth="1"/>
    <col min="13003" max="13228" width="29.28515625" style="140" customWidth="1"/>
    <col min="13229" max="13229" width="42.42578125" style="140" customWidth="1"/>
    <col min="13230" max="13232" width="12.42578125" style="140" customWidth="1"/>
    <col min="13233" max="13235" width="10.85546875" style="140" customWidth="1"/>
    <col min="13236" max="13238" width="14.5703125" style="140" bestFit="1" customWidth="1"/>
    <col min="13239" max="13241" width="11" style="140" customWidth="1"/>
    <col min="13242" max="13244" width="14.5703125" style="140" customWidth="1"/>
    <col min="13245" max="13247" width="15.28515625" style="140" customWidth="1"/>
    <col min="13248" max="13248" width="15.5703125" style="140"/>
    <col min="13249" max="13249" width="44.5703125" style="140" customWidth="1"/>
    <col min="13250" max="13250" width="13.85546875" style="140" customWidth="1"/>
    <col min="13251" max="13251" width="10.85546875" style="140" customWidth="1"/>
    <col min="13252" max="13252" width="14.5703125" style="140" customWidth="1"/>
    <col min="13253" max="13253" width="11" style="140" customWidth="1"/>
    <col min="13254" max="13254" width="10.85546875" style="140" customWidth="1"/>
    <col min="13255" max="13255" width="14.5703125" style="140" customWidth="1"/>
    <col min="13256" max="13257" width="15.5703125" style="140" customWidth="1"/>
    <col min="13258" max="13258" width="17.7109375" style="140" customWidth="1"/>
    <col min="13259" max="13484" width="29.28515625" style="140" customWidth="1"/>
    <col min="13485" max="13485" width="42.42578125" style="140" customWidth="1"/>
    <col min="13486" max="13488" width="12.42578125" style="140" customWidth="1"/>
    <col min="13489" max="13491" width="10.85546875" style="140" customWidth="1"/>
    <col min="13492" max="13494" width="14.5703125" style="140" bestFit="1" customWidth="1"/>
    <col min="13495" max="13497" width="11" style="140" customWidth="1"/>
    <col min="13498" max="13500" width="14.5703125" style="140" customWidth="1"/>
    <col min="13501" max="13503" width="15.28515625" style="140" customWidth="1"/>
    <col min="13504" max="13504" width="15.5703125" style="140"/>
    <col min="13505" max="13505" width="44.5703125" style="140" customWidth="1"/>
    <col min="13506" max="13506" width="13.85546875" style="140" customWidth="1"/>
    <col min="13507" max="13507" width="10.85546875" style="140" customWidth="1"/>
    <col min="13508" max="13508" width="14.5703125" style="140" customWidth="1"/>
    <col min="13509" max="13509" width="11" style="140" customWidth="1"/>
    <col min="13510" max="13510" width="10.85546875" style="140" customWidth="1"/>
    <col min="13511" max="13511" width="14.5703125" style="140" customWidth="1"/>
    <col min="13512" max="13513" width="15.5703125" style="140" customWidth="1"/>
    <col min="13514" max="13514" width="17.7109375" style="140" customWidth="1"/>
    <col min="13515" max="13740" width="29.28515625" style="140" customWidth="1"/>
    <col min="13741" max="13741" width="42.42578125" style="140" customWidth="1"/>
    <col min="13742" max="13744" width="12.42578125" style="140" customWidth="1"/>
    <col min="13745" max="13747" width="10.85546875" style="140" customWidth="1"/>
    <col min="13748" max="13750" width="14.5703125" style="140" bestFit="1" customWidth="1"/>
    <col min="13751" max="13753" width="11" style="140" customWidth="1"/>
    <col min="13754" max="13756" width="14.5703125" style="140" customWidth="1"/>
    <col min="13757" max="13759" width="15.28515625" style="140" customWidth="1"/>
    <col min="13760" max="13760" width="15.5703125" style="140"/>
    <col min="13761" max="13761" width="44.5703125" style="140" customWidth="1"/>
    <col min="13762" max="13762" width="13.85546875" style="140" customWidth="1"/>
    <col min="13763" max="13763" width="10.85546875" style="140" customWidth="1"/>
    <col min="13764" max="13764" width="14.5703125" style="140" customWidth="1"/>
    <col min="13765" max="13765" width="11" style="140" customWidth="1"/>
    <col min="13766" max="13766" width="10.85546875" style="140" customWidth="1"/>
    <col min="13767" max="13767" width="14.5703125" style="140" customWidth="1"/>
    <col min="13768" max="13769" width="15.5703125" style="140" customWidth="1"/>
    <col min="13770" max="13770" width="17.7109375" style="140" customWidth="1"/>
    <col min="13771" max="13996" width="29.28515625" style="140" customWidth="1"/>
    <col min="13997" max="13997" width="42.42578125" style="140" customWidth="1"/>
    <col min="13998" max="14000" width="12.42578125" style="140" customWidth="1"/>
    <col min="14001" max="14003" width="10.85546875" style="140" customWidth="1"/>
    <col min="14004" max="14006" width="14.5703125" style="140" bestFit="1" customWidth="1"/>
    <col min="14007" max="14009" width="11" style="140" customWidth="1"/>
    <col min="14010" max="14012" width="14.5703125" style="140" customWidth="1"/>
    <col min="14013" max="14015" width="15.28515625" style="140" customWidth="1"/>
    <col min="14016" max="14016" width="15.5703125" style="140"/>
    <col min="14017" max="14017" width="44.5703125" style="140" customWidth="1"/>
    <col min="14018" max="14018" width="13.85546875" style="140" customWidth="1"/>
    <col min="14019" max="14019" width="10.85546875" style="140" customWidth="1"/>
    <col min="14020" max="14020" width="14.5703125" style="140" customWidth="1"/>
    <col min="14021" max="14021" width="11" style="140" customWidth="1"/>
    <col min="14022" max="14022" width="10.85546875" style="140" customWidth="1"/>
    <col min="14023" max="14023" width="14.5703125" style="140" customWidth="1"/>
    <col min="14024" max="14025" width="15.5703125" style="140" customWidth="1"/>
    <col min="14026" max="14026" width="17.7109375" style="140" customWidth="1"/>
    <col min="14027" max="14252" width="29.28515625" style="140" customWidth="1"/>
    <col min="14253" max="14253" width="42.42578125" style="140" customWidth="1"/>
    <col min="14254" max="14256" width="12.42578125" style="140" customWidth="1"/>
    <col min="14257" max="14259" width="10.85546875" style="140" customWidth="1"/>
    <col min="14260" max="14262" width="14.5703125" style="140" bestFit="1" customWidth="1"/>
    <col min="14263" max="14265" width="11" style="140" customWidth="1"/>
    <col min="14266" max="14268" width="14.5703125" style="140" customWidth="1"/>
    <col min="14269" max="14271" width="15.28515625" style="140" customWidth="1"/>
    <col min="14272" max="14272" width="15.5703125" style="140"/>
    <col min="14273" max="14273" width="44.5703125" style="140" customWidth="1"/>
    <col min="14274" max="14274" width="13.85546875" style="140" customWidth="1"/>
    <col min="14275" max="14275" width="10.85546875" style="140" customWidth="1"/>
    <col min="14276" max="14276" width="14.5703125" style="140" customWidth="1"/>
    <col min="14277" max="14277" width="11" style="140" customWidth="1"/>
    <col min="14278" max="14278" width="10.85546875" style="140" customWidth="1"/>
    <col min="14279" max="14279" width="14.5703125" style="140" customWidth="1"/>
    <col min="14280" max="14281" width="15.5703125" style="140" customWidth="1"/>
    <col min="14282" max="14282" width="17.7109375" style="140" customWidth="1"/>
    <col min="14283" max="14508" width="29.28515625" style="140" customWidth="1"/>
    <col min="14509" max="14509" width="42.42578125" style="140" customWidth="1"/>
    <col min="14510" max="14512" width="12.42578125" style="140" customWidth="1"/>
    <col min="14513" max="14515" width="10.85546875" style="140" customWidth="1"/>
    <col min="14516" max="14518" width="14.5703125" style="140" bestFit="1" customWidth="1"/>
    <col min="14519" max="14521" width="11" style="140" customWidth="1"/>
    <col min="14522" max="14524" width="14.5703125" style="140" customWidth="1"/>
    <col min="14525" max="14527" width="15.28515625" style="140" customWidth="1"/>
    <col min="14528" max="14528" width="15.5703125" style="140"/>
    <col min="14529" max="14529" width="44.5703125" style="140" customWidth="1"/>
    <col min="14530" max="14530" width="13.85546875" style="140" customWidth="1"/>
    <col min="14531" max="14531" width="10.85546875" style="140" customWidth="1"/>
    <col min="14532" max="14532" width="14.5703125" style="140" customWidth="1"/>
    <col min="14533" max="14533" width="11" style="140" customWidth="1"/>
    <col min="14534" max="14534" width="10.85546875" style="140" customWidth="1"/>
    <col min="14535" max="14535" width="14.5703125" style="140" customWidth="1"/>
    <col min="14536" max="14537" width="15.5703125" style="140" customWidth="1"/>
    <col min="14538" max="14538" width="17.7109375" style="140" customWidth="1"/>
    <col min="14539" max="14764" width="29.28515625" style="140" customWidth="1"/>
    <col min="14765" max="14765" width="42.42578125" style="140" customWidth="1"/>
    <col min="14766" max="14768" width="12.42578125" style="140" customWidth="1"/>
    <col min="14769" max="14771" width="10.85546875" style="140" customWidth="1"/>
    <col min="14772" max="14774" width="14.5703125" style="140" bestFit="1" customWidth="1"/>
    <col min="14775" max="14777" width="11" style="140" customWidth="1"/>
    <col min="14778" max="14780" width="14.5703125" style="140" customWidth="1"/>
    <col min="14781" max="14783" width="15.28515625" style="140" customWidth="1"/>
    <col min="14784" max="14784" width="15.5703125" style="140"/>
    <col min="14785" max="14785" width="44.5703125" style="140" customWidth="1"/>
    <col min="14786" max="14786" width="13.85546875" style="140" customWidth="1"/>
    <col min="14787" max="14787" width="10.85546875" style="140" customWidth="1"/>
    <col min="14788" max="14788" width="14.5703125" style="140" customWidth="1"/>
    <col min="14789" max="14789" width="11" style="140" customWidth="1"/>
    <col min="14790" max="14790" width="10.85546875" style="140" customWidth="1"/>
    <col min="14791" max="14791" width="14.5703125" style="140" customWidth="1"/>
    <col min="14792" max="14793" width="15.5703125" style="140" customWidth="1"/>
    <col min="14794" max="14794" width="17.7109375" style="140" customWidth="1"/>
    <col min="14795" max="15020" width="29.28515625" style="140" customWidth="1"/>
    <col min="15021" max="15021" width="42.42578125" style="140" customWidth="1"/>
    <col min="15022" max="15024" width="12.42578125" style="140" customWidth="1"/>
    <col min="15025" max="15027" width="10.85546875" style="140" customWidth="1"/>
    <col min="15028" max="15030" width="14.5703125" style="140" bestFit="1" customWidth="1"/>
    <col min="15031" max="15033" width="11" style="140" customWidth="1"/>
    <col min="15034" max="15036" width="14.5703125" style="140" customWidth="1"/>
    <col min="15037" max="15039" width="15.28515625" style="140" customWidth="1"/>
    <col min="15040" max="15040" width="15.5703125" style="140"/>
    <col min="15041" max="15041" width="44.5703125" style="140" customWidth="1"/>
    <col min="15042" max="15042" width="13.85546875" style="140" customWidth="1"/>
    <col min="15043" max="15043" width="10.85546875" style="140" customWidth="1"/>
    <col min="15044" max="15044" width="14.5703125" style="140" customWidth="1"/>
    <col min="15045" max="15045" width="11" style="140" customWidth="1"/>
    <col min="15046" max="15046" width="10.85546875" style="140" customWidth="1"/>
    <col min="15047" max="15047" width="14.5703125" style="140" customWidth="1"/>
    <col min="15048" max="15049" width="15.5703125" style="140" customWidth="1"/>
    <col min="15050" max="15050" width="17.7109375" style="140" customWidth="1"/>
    <col min="15051" max="15276" width="29.28515625" style="140" customWidth="1"/>
    <col min="15277" max="15277" width="42.42578125" style="140" customWidth="1"/>
    <col min="15278" max="15280" width="12.42578125" style="140" customWidth="1"/>
    <col min="15281" max="15283" width="10.85546875" style="140" customWidth="1"/>
    <col min="15284" max="15286" width="14.5703125" style="140" bestFit="1" customWidth="1"/>
    <col min="15287" max="15289" width="11" style="140" customWidth="1"/>
    <col min="15290" max="15292" width="14.5703125" style="140" customWidth="1"/>
    <col min="15293" max="15295" width="15.28515625" style="140" customWidth="1"/>
    <col min="15296" max="15296" width="15.5703125" style="140"/>
    <col min="15297" max="15297" width="44.5703125" style="140" customWidth="1"/>
    <col min="15298" max="15298" width="13.85546875" style="140" customWidth="1"/>
    <col min="15299" max="15299" width="10.85546875" style="140" customWidth="1"/>
    <col min="15300" max="15300" width="14.5703125" style="140" customWidth="1"/>
    <col min="15301" max="15301" width="11" style="140" customWidth="1"/>
    <col min="15302" max="15302" width="10.85546875" style="140" customWidth="1"/>
    <col min="15303" max="15303" width="14.5703125" style="140" customWidth="1"/>
    <col min="15304" max="15305" width="15.5703125" style="140" customWidth="1"/>
    <col min="15306" max="15306" width="17.7109375" style="140" customWidth="1"/>
    <col min="15307" max="15532" width="29.28515625" style="140" customWidth="1"/>
    <col min="15533" max="15533" width="42.42578125" style="140" customWidth="1"/>
    <col min="15534" max="15536" width="12.42578125" style="140" customWidth="1"/>
    <col min="15537" max="15539" width="10.85546875" style="140" customWidth="1"/>
    <col min="15540" max="15542" width="14.5703125" style="140" bestFit="1" customWidth="1"/>
    <col min="15543" max="15545" width="11" style="140" customWidth="1"/>
    <col min="15546" max="15548" width="14.5703125" style="140" customWidth="1"/>
    <col min="15549" max="15551" width="15.28515625" style="140" customWidth="1"/>
    <col min="15552" max="15552" width="15.5703125" style="140"/>
    <col min="15553" max="15553" width="44.5703125" style="140" customWidth="1"/>
    <col min="15554" max="15554" width="13.85546875" style="140" customWidth="1"/>
    <col min="15555" max="15555" width="10.85546875" style="140" customWidth="1"/>
    <col min="15556" max="15556" width="14.5703125" style="140" customWidth="1"/>
    <col min="15557" max="15557" width="11" style="140" customWidth="1"/>
    <col min="15558" max="15558" width="10.85546875" style="140" customWidth="1"/>
    <col min="15559" max="15559" width="14.5703125" style="140" customWidth="1"/>
    <col min="15560" max="15561" width="15.5703125" style="140" customWidth="1"/>
    <col min="15562" max="15562" width="17.7109375" style="140" customWidth="1"/>
    <col min="15563" max="15788" width="29.28515625" style="140" customWidth="1"/>
    <col min="15789" max="15789" width="42.42578125" style="140" customWidth="1"/>
    <col min="15790" max="15792" width="12.42578125" style="140" customWidth="1"/>
    <col min="15793" max="15795" width="10.85546875" style="140" customWidth="1"/>
    <col min="15796" max="15798" width="14.5703125" style="140" bestFit="1" customWidth="1"/>
    <col min="15799" max="15801" width="11" style="140" customWidth="1"/>
    <col min="15802" max="15804" width="14.5703125" style="140" customWidth="1"/>
    <col min="15805" max="15807" width="15.28515625" style="140" customWidth="1"/>
    <col min="15808" max="15808" width="15.5703125" style="140"/>
    <col min="15809" max="15809" width="44.5703125" style="140" customWidth="1"/>
    <col min="15810" max="15810" width="13.85546875" style="140" customWidth="1"/>
    <col min="15811" max="15811" width="10.85546875" style="140" customWidth="1"/>
    <col min="15812" max="15812" width="14.5703125" style="140" customWidth="1"/>
    <col min="15813" max="15813" width="11" style="140" customWidth="1"/>
    <col min="15814" max="15814" width="10.85546875" style="140" customWidth="1"/>
    <col min="15815" max="15815" width="14.5703125" style="140" customWidth="1"/>
    <col min="15816" max="15817" width="15.5703125" style="140" customWidth="1"/>
    <col min="15818" max="15818" width="17.7109375" style="140" customWidth="1"/>
    <col min="15819" max="16044" width="29.28515625" style="140" customWidth="1"/>
    <col min="16045" max="16045" width="42.42578125" style="140" customWidth="1"/>
    <col min="16046" max="16048" width="12.42578125" style="140" customWidth="1"/>
    <col min="16049" max="16051" width="10.85546875" style="140" customWidth="1"/>
    <col min="16052" max="16054" width="14.5703125" style="140" bestFit="1" customWidth="1"/>
    <col min="16055" max="16057" width="11" style="140" customWidth="1"/>
    <col min="16058" max="16060" width="14.5703125" style="140" customWidth="1"/>
    <col min="16061" max="16063" width="15.28515625" style="140" customWidth="1"/>
    <col min="16064" max="16064" width="15.5703125" style="140"/>
    <col min="16065" max="16065" width="44.5703125" style="140" customWidth="1"/>
    <col min="16066" max="16066" width="13.85546875" style="140" customWidth="1"/>
    <col min="16067" max="16067" width="10.85546875" style="140" customWidth="1"/>
    <col min="16068" max="16068" width="14.5703125" style="140" customWidth="1"/>
    <col min="16069" max="16069" width="11" style="140" customWidth="1"/>
    <col min="16070" max="16070" width="10.85546875" style="140" customWidth="1"/>
    <col min="16071" max="16071" width="14.5703125" style="140" customWidth="1"/>
    <col min="16072" max="16073" width="15.5703125" style="140" customWidth="1"/>
    <col min="16074" max="16074" width="17.7109375" style="140" customWidth="1"/>
    <col min="16075" max="16300" width="29.28515625" style="140" customWidth="1"/>
    <col min="16301" max="16301" width="42.42578125" style="140" customWidth="1"/>
    <col min="16302" max="16384" width="12.42578125" style="140" customWidth="1"/>
  </cols>
  <sheetData>
    <row r="1" spans="1:192" x14ac:dyDescent="0.25">
      <c r="W1" s="141"/>
      <c r="X1" s="141"/>
      <c r="Y1" s="141"/>
      <c r="Z1" s="141"/>
      <c r="AA1" s="141"/>
      <c r="AB1" s="141"/>
      <c r="AC1" s="142"/>
      <c r="AD1" s="141"/>
      <c r="AE1" s="142" t="s">
        <v>200</v>
      </c>
    </row>
    <row r="2" spans="1:192" x14ac:dyDescent="0.25">
      <c r="AC2" s="143"/>
    </row>
    <row r="3" spans="1:192" x14ac:dyDescent="0.25">
      <c r="A3" s="144" t="s">
        <v>201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143"/>
      <c r="FE3" s="143"/>
      <c r="FF3" s="143"/>
      <c r="FG3" s="143"/>
      <c r="FH3" s="143"/>
      <c r="FI3" s="143"/>
      <c r="FJ3" s="143"/>
      <c r="FK3" s="143"/>
      <c r="FL3" s="143"/>
      <c r="FM3" s="143"/>
      <c r="FN3" s="143"/>
      <c r="FO3" s="143"/>
      <c r="FP3" s="143"/>
      <c r="FQ3" s="143"/>
      <c r="FR3" s="143"/>
      <c r="FS3" s="143"/>
      <c r="FT3" s="143"/>
      <c r="FU3" s="143"/>
      <c r="FV3" s="143"/>
      <c r="FW3" s="143"/>
      <c r="FX3" s="143"/>
      <c r="FY3" s="143"/>
      <c r="FZ3" s="143"/>
      <c r="GA3" s="143"/>
      <c r="GB3" s="143"/>
      <c r="GC3" s="143"/>
      <c r="GD3" s="143"/>
      <c r="GE3" s="143"/>
      <c r="GF3" s="143"/>
      <c r="GG3" s="143"/>
      <c r="GH3" s="143"/>
      <c r="GI3" s="143"/>
      <c r="GJ3" s="143"/>
    </row>
    <row r="4" spans="1:192" s="143" customFormat="1" x14ac:dyDescent="0.25">
      <c r="A4" s="145" t="s">
        <v>202</v>
      </c>
      <c r="B4" s="145"/>
      <c r="C4" s="145"/>
      <c r="D4" s="14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</row>
    <row r="5" spans="1:192" s="143" customFormat="1" x14ac:dyDescent="0.25">
      <c r="A5" s="145"/>
      <c r="B5" s="145"/>
      <c r="C5" s="145"/>
      <c r="D5" s="145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</row>
    <row r="6" spans="1:192" s="150" customFormat="1" ht="63" x14ac:dyDescent="0.25">
      <c r="A6" s="146" t="s">
        <v>203</v>
      </c>
      <c r="B6" s="147"/>
      <c r="C6" s="147"/>
      <c r="D6" s="147"/>
      <c r="E6" s="148" t="s">
        <v>204</v>
      </c>
      <c r="F6" s="148" t="s">
        <v>204</v>
      </c>
      <c r="G6" s="148" t="s">
        <v>204</v>
      </c>
      <c r="H6" s="149" t="s">
        <v>205</v>
      </c>
      <c r="I6" s="149" t="s">
        <v>205</v>
      </c>
      <c r="J6" s="149" t="s">
        <v>205</v>
      </c>
      <c r="K6" s="149" t="s">
        <v>206</v>
      </c>
      <c r="L6" s="149" t="s">
        <v>206</v>
      </c>
      <c r="M6" s="149" t="s">
        <v>206</v>
      </c>
      <c r="N6" s="149" t="s">
        <v>207</v>
      </c>
      <c r="O6" s="149" t="s">
        <v>207</v>
      </c>
      <c r="P6" s="149" t="s">
        <v>207</v>
      </c>
      <c r="Q6" s="149" t="s">
        <v>208</v>
      </c>
      <c r="R6" s="149" t="s">
        <v>208</v>
      </c>
      <c r="S6" s="149" t="s">
        <v>208</v>
      </c>
      <c r="T6" s="149" t="s">
        <v>209</v>
      </c>
      <c r="U6" s="149" t="s">
        <v>209</v>
      </c>
      <c r="V6" s="149" t="s">
        <v>209</v>
      </c>
      <c r="W6" s="149" t="s">
        <v>210</v>
      </c>
      <c r="X6" s="149" t="s">
        <v>210</v>
      </c>
      <c r="Y6" s="149" t="s">
        <v>210</v>
      </c>
      <c r="Z6" s="149" t="s">
        <v>211</v>
      </c>
      <c r="AA6" s="149" t="s">
        <v>211</v>
      </c>
      <c r="AB6" s="149" t="s">
        <v>211</v>
      </c>
      <c r="AC6" s="149" t="s">
        <v>212</v>
      </c>
      <c r="AD6" s="149" t="s">
        <v>212</v>
      </c>
      <c r="AE6" s="149" t="s">
        <v>212</v>
      </c>
    </row>
    <row r="7" spans="1:192" s="150" customFormat="1" x14ac:dyDescent="0.25">
      <c r="A7" s="151"/>
      <c r="B7" s="152"/>
      <c r="C7" s="152"/>
      <c r="D7" s="152"/>
      <c r="E7" s="153" t="s">
        <v>213</v>
      </c>
      <c r="F7" s="153" t="s">
        <v>214</v>
      </c>
      <c r="G7" s="153" t="s">
        <v>215</v>
      </c>
      <c r="H7" s="153" t="s">
        <v>213</v>
      </c>
      <c r="I7" s="153" t="s">
        <v>214</v>
      </c>
      <c r="J7" s="153" t="s">
        <v>215</v>
      </c>
      <c r="K7" s="153" t="s">
        <v>213</v>
      </c>
      <c r="L7" s="153" t="s">
        <v>214</v>
      </c>
      <c r="M7" s="153" t="s">
        <v>215</v>
      </c>
      <c r="N7" s="153" t="s">
        <v>213</v>
      </c>
      <c r="O7" s="153" t="s">
        <v>214</v>
      </c>
      <c r="P7" s="153" t="s">
        <v>215</v>
      </c>
      <c r="Q7" s="153" t="s">
        <v>213</v>
      </c>
      <c r="R7" s="153" t="s">
        <v>214</v>
      </c>
      <c r="S7" s="153" t="s">
        <v>215</v>
      </c>
      <c r="T7" s="153" t="s">
        <v>213</v>
      </c>
      <c r="U7" s="153" t="s">
        <v>214</v>
      </c>
      <c r="V7" s="153" t="s">
        <v>215</v>
      </c>
      <c r="W7" s="153" t="s">
        <v>213</v>
      </c>
      <c r="X7" s="153" t="s">
        <v>214</v>
      </c>
      <c r="Y7" s="153" t="s">
        <v>215</v>
      </c>
      <c r="Z7" s="153" t="s">
        <v>213</v>
      </c>
      <c r="AA7" s="153" t="s">
        <v>214</v>
      </c>
      <c r="AB7" s="153" t="s">
        <v>215</v>
      </c>
      <c r="AC7" s="153" t="s">
        <v>213</v>
      </c>
      <c r="AD7" s="153" t="s">
        <v>214</v>
      </c>
      <c r="AE7" s="153" t="s">
        <v>215</v>
      </c>
    </row>
    <row r="8" spans="1:192" s="156" customFormat="1" x14ac:dyDescent="0.25">
      <c r="A8" s="154" t="s">
        <v>174</v>
      </c>
      <c r="B8" s="154"/>
      <c r="C8" s="154"/>
      <c r="D8" s="154"/>
      <c r="E8" s="155">
        <f>H8+K8+N8+Q8+T8+W8+AC8+Z8</f>
        <v>39208217</v>
      </c>
      <c r="F8" s="155">
        <f>I8+L8+O8+R8+U8+X8+AD8+AA8</f>
        <v>22143270</v>
      </c>
      <c r="G8" s="155">
        <f>J8+M8+P8+S8+V8+Y8+AE8+AB8</f>
        <v>-17064947</v>
      </c>
      <c r="H8" s="155">
        <f>SUM(H9,H178,H419,H437,H441)</f>
        <v>1617421</v>
      </c>
      <c r="I8" s="155">
        <f>SUM(I9,I178,I419,I437,I441)</f>
        <v>1617421</v>
      </c>
      <c r="J8" s="155">
        <f>I8-H8</f>
        <v>0</v>
      </c>
      <c r="K8" s="155">
        <f>SUM(K9,K178,K419,K437,K441)</f>
        <v>858933</v>
      </c>
      <c r="L8" s="155">
        <f>SUM(L9,L178,L419,L437,L441)</f>
        <v>348834</v>
      </c>
      <c r="M8" s="155">
        <f t="shared" ref="M8:M73" si="0">L8-K8</f>
        <v>-510099</v>
      </c>
      <c r="N8" s="155">
        <f>SUM(N9,N178,N419,N437,N441)</f>
        <v>2672824</v>
      </c>
      <c r="O8" s="155">
        <f>SUM(O9,O178,O419,O437,O441)</f>
        <v>1770893</v>
      </c>
      <c r="P8" s="155">
        <f t="shared" ref="P8:P73" si="1">O8-N8</f>
        <v>-901931</v>
      </c>
      <c r="Q8" s="155">
        <f>SUM(Q9,Q178,Q419,Q437,Q441)</f>
        <v>13647937</v>
      </c>
      <c r="R8" s="155">
        <f>SUM(R9,R178,R419,R437,R441)</f>
        <v>4979816</v>
      </c>
      <c r="S8" s="155">
        <f t="shared" ref="S8:S73" si="2">R8-Q8</f>
        <v>-8668121</v>
      </c>
      <c r="T8" s="155">
        <f>SUM(T9,T178,T419,T437,T441)</f>
        <v>972877</v>
      </c>
      <c r="U8" s="155">
        <f>SUM(U9,U178,U419,U437,U441)</f>
        <v>971913</v>
      </c>
      <c r="V8" s="155">
        <f t="shared" ref="V8:V73" si="3">U8-T8</f>
        <v>-964</v>
      </c>
      <c r="W8" s="155">
        <f>SUM(W9,W178,W419,W437,W441)</f>
        <v>9711340</v>
      </c>
      <c r="X8" s="155">
        <f>SUM(X9,X178,X419,X437,X441)</f>
        <v>9711340</v>
      </c>
      <c r="Y8" s="155">
        <f t="shared" ref="Y8:Y73" si="4">X8-W8</f>
        <v>0</v>
      </c>
      <c r="Z8" s="155">
        <f>SUM(Z9,Z178,Z419,Z437,Z441)</f>
        <v>2743053</v>
      </c>
      <c r="AA8" s="155">
        <f>SUM(AA9,AA178,AA419,AA437,AA441)</f>
        <v>2743053</v>
      </c>
      <c r="AB8" s="155">
        <f t="shared" ref="AB8:AB73" si="5">AA8-Z8</f>
        <v>0</v>
      </c>
      <c r="AC8" s="155">
        <f>SUM(AC9,AC178,AC419,AC437,AC441)</f>
        <v>6983832</v>
      </c>
      <c r="AD8" s="155">
        <f>SUM(AD9,AD178,AD419,AD437,AD441)</f>
        <v>0</v>
      </c>
      <c r="AE8" s="155">
        <f t="shared" ref="AE8:AE73" si="6">AD8-AC8</f>
        <v>-6983832</v>
      </c>
    </row>
    <row r="9" spans="1:192" s="156" customFormat="1" x14ac:dyDescent="0.25">
      <c r="A9" s="157" t="s">
        <v>216</v>
      </c>
      <c r="B9" s="157"/>
      <c r="C9" s="157"/>
      <c r="D9" s="157"/>
      <c r="E9" s="158">
        <f t="shared" ref="E9:G85" si="7">H9+K9+N9+Q9+T9+W9+AC9+Z9</f>
        <v>19431760</v>
      </c>
      <c r="F9" s="158">
        <f t="shared" si="7"/>
        <v>9811105</v>
      </c>
      <c r="G9" s="158">
        <f t="shared" si="7"/>
        <v>-9620655</v>
      </c>
      <c r="H9" s="158">
        <f>SUM(H10,H20,H36,H53,H149,H171,H48,H65)</f>
        <v>909238</v>
      </c>
      <c r="I9" s="158">
        <f>SUM(I10,I20,I36,I53,I149,I171,I48,I65)</f>
        <v>909238</v>
      </c>
      <c r="J9" s="158">
        <f t="shared" ref="J9:J96" si="8">I9-H9</f>
        <v>0</v>
      </c>
      <c r="K9" s="158">
        <f>SUM(K10,K20,K36,K53,K149,K171,K48,K65)</f>
        <v>481999</v>
      </c>
      <c r="L9" s="158">
        <f>SUM(L10,L20,L36,L53,L149,L171,L48,L65)</f>
        <v>165053</v>
      </c>
      <c r="M9" s="158">
        <f t="shared" si="0"/>
        <v>-316946</v>
      </c>
      <c r="N9" s="158">
        <f>SUM(N10,N20,N36,N53,N149,N171,N48,N65)</f>
        <v>1435944</v>
      </c>
      <c r="O9" s="158">
        <f>SUM(O10,O20,O36,O53,O149,O171,O48,O65)</f>
        <v>825361</v>
      </c>
      <c r="P9" s="158">
        <f t="shared" si="1"/>
        <v>-610583</v>
      </c>
      <c r="Q9" s="158">
        <f>SUM(Q10,Q20,Q36,Q53,Q149,Q171,Q48,Q65)</f>
        <v>7465896</v>
      </c>
      <c r="R9" s="158">
        <f>SUM(R10,R20,R36,R53,R149,R171,R48,R65)</f>
        <v>1445636</v>
      </c>
      <c r="S9" s="158">
        <f t="shared" si="2"/>
        <v>-6020260</v>
      </c>
      <c r="T9" s="158">
        <f>SUM(T10,T20,T36,T53,T149,T171,T48,T65)</f>
        <v>486992</v>
      </c>
      <c r="U9" s="158">
        <f>SUM(U10,U20,U36,U53,U149,U171,U48,U65)</f>
        <v>486134</v>
      </c>
      <c r="V9" s="158">
        <f t="shared" si="3"/>
        <v>-858</v>
      </c>
      <c r="W9" s="158">
        <f>SUM(W10,W20,W36,W53,W149,W171,W48,W65)</f>
        <v>5379926</v>
      </c>
      <c r="X9" s="158">
        <f>SUM(X10,X20,X36,X53,X149,X171,X48,X65)</f>
        <v>5379926</v>
      </c>
      <c r="Y9" s="158">
        <f t="shared" si="4"/>
        <v>0</v>
      </c>
      <c r="Z9" s="158">
        <f>SUM(Z10,Z20,Z36,Z53,Z149,Z171,Z48,Z65)</f>
        <v>599757</v>
      </c>
      <c r="AA9" s="158">
        <f>SUM(AA10,AA20,AA36,AA53,AA149,AA171,AA48,AA65)</f>
        <v>599757</v>
      </c>
      <c r="AB9" s="158">
        <f t="shared" si="5"/>
        <v>0</v>
      </c>
      <c r="AC9" s="158">
        <f>SUM(AC10,AC20,AC36,AC53,AC149,AC171,AC48,AC65)</f>
        <v>2672008</v>
      </c>
      <c r="AD9" s="158">
        <f>SUM(AD10,AD20,AD36,AD53,AD149,AD171,AD48,AD65)</f>
        <v>0</v>
      </c>
      <c r="AE9" s="158">
        <f t="shared" si="6"/>
        <v>-2672008</v>
      </c>
    </row>
    <row r="10" spans="1:192" s="159" customFormat="1" x14ac:dyDescent="0.25">
      <c r="A10" s="157" t="s">
        <v>217</v>
      </c>
      <c r="B10" s="157"/>
      <c r="C10" s="157"/>
      <c r="D10" s="157"/>
      <c r="E10" s="158">
        <f t="shared" si="7"/>
        <v>33324</v>
      </c>
      <c r="F10" s="158">
        <f t="shared" si="7"/>
        <v>30252</v>
      </c>
      <c r="G10" s="158">
        <f t="shared" si="7"/>
        <v>-3072</v>
      </c>
      <c r="H10" s="158">
        <f t="shared" ref="H10:AD10" si="9">SUM(H11)</f>
        <v>0</v>
      </c>
      <c r="I10" s="158">
        <f t="shared" si="9"/>
        <v>0</v>
      </c>
      <c r="J10" s="158">
        <f t="shared" si="8"/>
        <v>0</v>
      </c>
      <c r="K10" s="158">
        <f t="shared" si="9"/>
        <v>13020</v>
      </c>
      <c r="L10" s="158">
        <f t="shared" si="9"/>
        <v>13020</v>
      </c>
      <c r="M10" s="158">
        <f t="shared" si="0"/>
        <v>0</v>
      </c>
      <c r="N10" s="158">
        <f t="shared" si="9"/>
        <v>20304</v>
      </c>
      <c r="O10" s="158">
        <f t="shared" si="9"/>
        <v>17232</v>
      </c>
      <c r="P10" s="158">
        <f t="shared" si="1"/>
        <v>-3072</v>
      </c>
      <c r="Q10" s="158">
        <f t="shared" si="9"/>
        <v>0</v>
      </c>
      <c r="R10" s="158">
        <f t="shared" si="9"/>
        <v>0</v>
      </c>
      <c r="S10" s="158">
        <f t="shared" si="2"/>
        <v>0</v>
      </c>
      <c r="T10" s="158">
        <f t="shared" si="9"/>
        <v>0</v>
      </c>
      <c r="U10" s="158">
        <f t="shared" si="9"/>
        <v>0</v>
      </c>
      <c r="V10" s="158">
        <f t="shared" si="3"/>
        <v>0</v>
      </c>
      <c r="W10" s="158">
        <f t="shared" si="9"/>
        <v>0</v>
      </c>
      <c r="X10" s="158">
        <f t="shared" si="9"/>
        <v>0</v>
      </c>
      <c r="Y10" s="158">
        <f t="shared" si="4"/>
        <v>0</v>
      </c>
      <c r="Z10" s="158">
        <f t="shared" si="9"/>
        <v>0</v>
      </c>
      <c r="AA10" s="158">
        <f t="shared" si="9"/>
        <v>0</v>
      </c>
      <c r="AB10" s="158">
        <f t="shared" si="5"/>
        <v>0</v>
      </c>
      <c r="AC10" s="158">
        <f t="shared" si="9"/>
        <v>0</v>
      </c>
      <c r="AD10" s="158">
        <f t="shared" si="9"/>
        <v>0</v>
      </c>
      <c r="AE10" s="158">
        <f t="shared" si="6"/>
        <v>0</v>
      </c>
    </row>
    <row r="11" spans="1:192" s="156" customFormat="1" x14ac:dyDescent="0.25">
      <c r="A11" s="157" t="s">
        <v>218</v>
      </c>
      <c r="B11" s="157"/>
      <c r="C11" s="157"/>
      <c r="D11" s="157"/>
      <c r="E11" s="160">
        <f t="shared" si="7"/>
        <v>33324</v>
      </c>
      <c r="F11" s="160">
        <f t="shared" si="7"/>
        <v>30252</v>
      </c>
      <c r="G11" s="160">
        <f t="shared" si="7"/>
        <v>-3072</v>
      </c>
      <c r="H11" s="160">
        <f>SUM(H12:H19)</f>
        <v>0</v>
      </c>
      <c r="I11" s="160">
        <f>SUM(I12:I19)</f>
        <v>0</v>
      </c>
      <c r="J11" s="160">
        <f t="shared" si="8"/>
        <v>0</v>
      </c>
      <c r="K11" s="160">
        <f>SUM(K12:K19)</f>
        <v>13020</v>
      </c>
      <c r="L11" s="160">
        <f>SUM(L12:L19)</f>
        <v>13020</v>
      </c>
      <c r="M11" s="160">
        <f t="shared" si="0"/>
        <v>0</v>
      </c>
      <c r="N11" s="160">
        <f>SUM(N12:N19)</f>
        <v>20304</v>
      </c>
      <c r="O11" s="160">
        <f>SUM(O12:O19)</f>
        <v>17232</v>
      </c>
      <c r="P11" s="160">
        <f t="shared" si="1"/>
        <v>-3072</v>
      </c>
      <c r="Q11" s="160">
        <f>SUM(Q12:Q19)</f>
        <v>0</v>
      </c>
      <c r="R11" s="160">
        <f>SUM(R12:R19)</f>
        <v>0</v>
      </c>
      <c r="S11" s="160">
        <f t="shared" si="2"/>
        <v>0</v>
      </c>
      <c r="T11" s="160">
        <f>SUM(T12:T19)</f>
        <v>0</v>
      </c>
      <c r="U11" s="160">
        <f>SUM(U12:U19)</f>
        <v>0</v>
      </c>
      <c r="V11" s="160">
        <f t="shared" si="3"/>
        <v>0</v>
      </c>
      <c r="W11" s="160">
        <f>SUM(W12:W19)</f>
        <v>0</v>
      </c>
      <c r="X11" s="160">
        <f>SUM(X12:X19)</f>
        <v>0</v>
      </c>
      <c r="Y11" s="160">
        <f t="shared" si="4"/>
        <v>0</v>
      </c>
      <c r="Z11" s="160">
        <f>SUM(Z12:Z19)</f>
        <v>0</v>
      </c>
      <c r="AA11" s="160">
        <f>SUM(AA12:AA19)</f>
        <v>0</v>
      </c>
      <c r="AB11" s="160">
        <f t="shared" si="5"/>
        <v>0</v>
      </c>
      <c r="AC11" s="160">
        <f>SUM(AC12:AC19)</f>
        <v>0</v>
      </c>
      <c r="AD11" s="160">
        <f>SUM(AD12:AD19)</f>
        <v>0</v>
      </c>
      <c r="AE11" s="160">
        <f t="shared" si="6"/>
        <v>0</v>
      </c>
    </row>
    <row r="12" spans="1:192" s="159" customFormat="1" ht="47.25" x14ac:dyDescent="0.25">
      <c r="A12" s="161" t="s">
        <v>219</v>
      </c>
      <c r="B12" s="162">
        <v>2</v>
      </c>
      <c r="C12" s="162">
        <v>122</v>
      </c>
      <c r="D12" s="162">
        <v>5100</v>
      </c>
      <c r="E12" s="163">
        <f t="shared" si="7"/>
        <v>1290</v>
      </c>
      <c r="F12" s="163">
        <f t="shared" si="7"/>
        <v>0</v>
      </c>
      <c r="G12" s="163">
        <f t="shared" si="7"/>
        <v>-1290</v>
      </c>
      <c r="H12" s="163"/>
      <c r="I12" s="163"/>
      <c r="J12" s="163">
        <f t="shared" si="8"/>
        <v>0</v>
      </c>
      <c r="K12" s="163"/>
      <c r="L12" s="163"/>
      <c r="M12" s="163">
        <f>L12-K12</f>
        <v>0</v>
      </c>
      <c r="N12" s="163">
        <v>1290</v>
      </c>
      <c r="O12" s="163">
        <f>1290-1290</f>
        <v>0</v>
      </c>
      <c r="P12" s="163">
        <f>O12-N12</f>
        <v>-1290</v>
      </c>
      <c r="Q12" s="163"/>
      <c r="R12" s="163"/>
      <c r="S12" s="163">
        <f t="shared" si="2"/>
        <v>0</v>
      </c>
      <c r="T12" s="163"/>
      <c r="U12" s="163"/>
      <c r="V12" s="163">
        <f t="shared" si="3"/>
        <v>0</v>
      </c>
      <c r="W12" s="163"/>
      <c r="X12" s="163"/>
      <c r="Y12" s="163">
        <f t="shared" si="4"/>
        <v>0</v>
      </c>
      <c r="Z12" s="163"/>
      <c r="AA12" s="163"/>
      <c r="AB12" s="163">
        <f t="shared" si="5"/>
        <v>0</v>
      </c>
      <c r="AC12" s="163"/>
      <c r="AD12" s="163"/>
      <c r="AE12" s="163">
        <f t="shared" si="6"/>
        <v>0</v>
      </c>
    </row>
    <row r="13" spans="1:192" s="159" customFormat="1" ht="31.5" x14ac:dyDescent="0.25">
      <c r="A13" s="161" t="s">
        <v>220</v>
      </c>
      <c r="B13" s="162">
        <v>2</v>
      </c>
      <c r="C13" s="162">
        <v>122</v>
      </c>
      <c r="D13" s="162">
        <v>5100</v>
      </c>
      <c r="E13" s="163">
        <f t="shared" si="7"/>
        <v>2996</v>
      </c>
      <c r="F13" s="163">
        <f t="shared" si="7"/>
        <v>2996</v>
      </c>
      <c r="G13" s="163">
        <f t="shared" si="7"/>
        <v>0</v>
      </c>
      <c r="H13" s="163"/>
      <c r="I13" s="163"/>
      <c r="J13" s="163">
        <f t="shared" si="8"/>
        <v>0</v>
      </c>
      <c r="K13" s="163"/>
      <c r="L13" s="163"/>
      <c r="M13" s="163">
        <f t="shared" si="0"/>
        <v>0</v>
      </c>
      <c r="N13" s="163">
        <v>2996</v>
      </c>
      <c r="O13" s="163">
        <v>2996</v>
      </c>
      <c r="P13" s="163">
        <f t="shared" si="1"/>
        <v>0</v>
      </c>
      <c r="Q13" s="163"/>
      <c r="R13" s="163"/>
      <c r="S13" s="163">
        <f t="shared" si="2"/>
        <v>0</v>
      </c>
      <c r="T13" s="163"/>
      <c r="U13" s="163"/>
      <c r="V13" s="163">
        <f t="shared" si="3"/>
        <v>0</v>
      </c>
      <c r="W13" s="163"/>
      <c r="X13" s="163"/>
      <c r="Y13" s="163">
        <f t="shared" si="4"/>
        <v>0</v>
      </c>
      <c r="Z13" s="163"/>
      <c r="AA13" s="163"/>
      <c r="AB13" s="163">
        <f t="shared" si="5"/>
        <v>0</v>
      </c>
      <c r="AC13" s="163"/>
      <c r="AD13" s="163"/>
      <c r="AE13" s="163">
        <f t="shared" si="6"/>
        <v>0</v>
      </c>
    </row>
    <row r="14" spans="1:192" s="159" customFormat="1" ht="31.5" x14ac:dyDescent="0.25">
      <c r="A14" s="161" t="s">
        <v>221</v>
      </c>
      <c r="B14" s="162">
        <v>2</v>
      </c>
      <c r="C14" s="162">
        <v>122</v>
      </c>
      <c r="D14" s="162">
        <v>5100</v>
      </c>
      <c r="E14" s="163">
        <f t="shared" si="7"/>
        <v>3845</v>
      </c>
      <c r="F14" s="163">
        <f t="shared" si="7"/>
        <v>3845</v>
      </c>
      <c r="G14" s="163">
        <f t="shared" si="7"/>
        <v>0</v>
      </c>
      <c r="H14" s="163"/>
      <c r="I14" s="163"/>
      <c r="J14" s="163">
        <f t="shared" si="8"/>
        <v>0</v>
      </c>
      <c r="K14" s="163"/>
      <c r="L14" s="163"/>
      <c r="M14" s="163">
        <f t="shared" si="0"/>
        <v>0</v>
      </c>
      <c r="N14" s="163">
        <v>3845</v>
      </c>
      <c r="O14" s="163">
        <v>3845</v>
      </c>
      <c r="P14" s="163">
        <f t="shared" si="1"/>
        <v>0</v>
      </c>
      <c r="Q14" s="163"/>
      <c r="R14" s="163"/>
      <c r="S14" s="163">
        <f>R14-Q14</f>
        <v>0</v>
      </c>
      <c r="T14" s="163"/>
      <c r="U14" s="163"/>
      <c r="V14" s="163">
        <f t="shared" si="3"/>
        <v>0</v>
      </c>
      <c r="W14" s="163"/>
      <c r="X14" s="163"/>
      <c r="Y14" s="163">
        <f t="shared" si="4"/>
        <v>0</v>
      </c>
      <c r="Z14" s="163"/>
      <c r="AA14" s="163"/>
      <c r="AB14" s="163">
        <f t="shared" si="5"/>
        <v>0</v>
      </c>
      <c r="AC14" s="163"/>
      <c r="AD14" s="163"/>
      <c r="AE14" s="163">
        <f t="shared" si="6"/>
        <v>0</v>
      </c>
    </row>
    <row r="15" spans="1:192" s="159" customFormat="1" ht="31.5" x14ac:dyDescent="0.25">
      <c r="A15" s="161" t="s">
        <v>222</v>
      </c>
      <c r="B15" s="162">
        <v>2</v>
      </c>
      <c r="C15" s="162">
        <v>122</v>
      </c>
      <c r="D15" s="162">
        <v>5100</v>
      </c>
      <c r="E15" s="163">
        <f t="shared" si="7"/>
        <v>2400</v>
      </c>
      <c r="F15" s="163">
        <f t="shared" si="7"/>
        <v>2400</v>
      </c>
      <c r="G15" s="163">
        <f t="shared" si="7"/>
        <v>0</v>
      </c>
      <c r="H15" s="163"/>
      <c r="I15" s="163"/>
      <c r="J15" s="163">
        <f t="shared" si="8"/>
        <v>0</v>
      </c>
      <c r="K15" s="163"/>
      <c r="L15" s="163"/>
      <c r="M15" s="163">
        <f t="shared" si="0"/>
        <v>0</v>
      </c>
      <c r="N15" s="163">
        <v>2400</v>
      </c>
      <c r="O15" s="163">
        <v>2400</v>
      </c>
      <c r="P15" s="163">
        <f t="shared" si="1"/>
        <v>0</v>
      </c>
      <c r="Q15" s="163"/>
      <c r="R15" s="163"/>
      <c r="S15" s="163">
        <f t="shared" si="2"/>
        <v>0</v>
      </c>
      <c r="T15" s="163"/>
      <c r="U15" s="163"/>
      <c r="V15" s="163">
        <f t="shared" si="3"/>
        <v>0</v>
      </c>
      <c r="W15" s="163"/>
      <c r="X15" s="163"/>
      <c r="Y15" s="163">
        <f t="shared" si="4"/>
        <v>0</v>
      </c>
      <c r="Z15" s="163"/>
      <c r="AA15" s="163"/>
      <c r="AB15" s="163">
        <f t="shared" si="5"/>
        <v>0</v>
      </c>
      <c r="AC15" s="163"/>
      <c r="AD15" s="163"/>
      <c r="AE15" s="163">
        <f t="shared" si="6"/>
        <v>0</v>
      </c>
    </row>
    <row r="16" spans="1:192" s="159" customFormat="1" ht="31.5" x14ac:dyDescent="0.25">
      <c r="A16" s="161" t="s">
        <v>223</v>
      </c>
      <c r="B16" s="162">
        <v>2</v>
      </c>
      <c r="C16" s="162">
        <v>122</v>
      </c>
      <c r="D16" s="162">
        <v>5100</v>
      </c>
      <c r="E16" s="163">
        <f t="shared" si="7"/>
        <v>5000</v>
      </c>
      <c r="F16" s="163">
        <f t="shared" si="7"/>
        <v>5000</v>
      </c>
      <c r="G16" s="163">
        <f t="shared" si="7"/>
        <v>0</v>
      </c>
      <c r="H16" s="163"/>
      <c r="I16" s="163"/>
      <c r="J16" s="163">
        <f t="shared" si="8"/>
        <v>0</v>
      </c>
      <c r="K16" s="163"/>
      <c r="L16" s="163"/>
      <c r="M16" s="163">
        <f>L16-K16</f>
        <v>0</v>
      </c>
      <c r="N16" s="163">
        <v>5000</v>
      </c>
      <c r="O16" s="163">
        <v>5000</v>
      </c>
      <c r="P16" s="163">
        <f t="shared" si="1"/>
        <v>0</v>
      </c>
      <c r="Q16" s="163"/>
      <c r="R16" s="163"/>
      <c r="S16" s="163">
        <f t="shared" si="2"/>
        <v>0</v>
      </c>
      <c r="T16" s="163"/>
      <c r="U16" s="163"/>
      <c r="V16" s="163">
        <f t="shared" si="3"/>
        <v>0</v>
      </c>
      <c r="W16" s="163"/>
      <c r="X16" s="163"/>
      <c r="Y16" s="163">
        <f t="shared" si="4"/>
        <v>0</v>
      </c>
      <c r="Z16" s="163"/>
      <c r="AA16" s="163"/>
      <c r="AB16" s="163">
        <f t="shared" si="5"/>
        <v>0</v>
      </c>
      <c r="AC16" s="163"/>
      <c r="AD16" s="163"/>
      <c r="AE16" s="163">
        <f t="shared" si="6"/>
        <v>0</v>
      </c>
    </row>
    <row r="17" spans="1:31" s="159" customFormat="1" ht="31.5" x14ac:dyDescent="0.25">
      <c r="A17" s="161" t="s">
        <v>224</v>
      </c>
      <c r="B17" s="162">
        <v>2</v>
      </c>
      <c r="C17" s="162">
        <v>122</v>
      </c>
      <c r="D17" s="162">
        <v>5100</v>
      </c>
      <c r="E17" s="163">
        <f t="shared" si="7"/>
        <v>2991</v>
      </c>
      <c r="F17" s="163">
        <f t="shared" si="7"/>
        <v>2991</v>
      </c>
      <c r="G17" s="163">
        <f t="shared" si="7"/>
        <v>0</v>
      </c>
      <c r="H17" s="163"/>
      <c r="I17" s="163"/>
      <c r="J17" s="163">
        <f t="shared" si="8"/>
        <v>0</v>
      </c>
      <c r="K17" s="163"/>
      <c r="L17" s="163"/>
      <c r="M17" s="163">
        <f t="shared" si="0"/>
        <v>0</v>
      </c>
      <c r="N17" s="163">
        <v>2991</v>
      </c>
      <c r="O17" s="163">
        <v>2991</v>
      </c>
      <c r="P17" s="163">
        <f t="shared" si="1"/>
        <v>0</v>
      </c>
      <c r="Q17" s="163"/>
      <c r="R17" s="163"/>
      <c r="S17" s="163">
        <f t="shared" si="2"/>
        <v>0</v>
      </c>
      <c r="T17" s="163"/>
      <c r="U17" s="163"/>
      <c r="V17" s="163">
        <f t="shared" si="3"/>
        <v>0</v>
      </c>
      <c r="W17" s="163"/>
      <c r="X17" s="163"/>
      <c r="Y17" s="163">
        <f t="shared" si="4"/>
        <v>0</v>
      </c>
      <c r="Z17" s="163"/>
      <c r="AA17" s="163"/>
      <c r="AB17" s="163">
        <f t="shared" si="5"/>
        <v>0</v>
      </c>
      <c r="AC17" s="163"/>
      <c r="AD17" s="163"/>
      <c r="AE17" s="163">
        <f t="shared" si="6"/>
        <v>0</v>
      </c>
    </row>
    <row r="18" spans="1:31" s="159" customFormat="1" ht="47.25" x14ac:dyDescent="0.25">
      <c r="A18" s="161" t="s">
        <v>225</v>
      </c>
      <c r="B18" s="162">
        <v>2</v>
      </c>
      <c r="C18" s="162">
        <v>122</v>
      </c>
      <c r="D18" s="162">
        <v>5100</v>
      </c>
      <c r="E18" s="163">
        <f t="shared" si="7"/>
        <v>13020</v>
      </c>
      <c r="F18" s="163">
        <f t="shared" si="7"/>
        <v>13020</v>
      </c>
      <c r="G18" s="163">
        <f t="shared" si="7"/>
        <v>0</v>
      </c>
      <c r="H18" s="163"/>
      <c r="I18" s="163"/>
      <c r="J18" s="163">
        <f t="shared" si="8"/>
        <v>0</v>
      </c>
      <c r="K18" s="163">
        <f>6780+6240</f>
        <v>13020</v>
      </c>
      <c r="L18" s="163">
        <f>6780+6240</f>
        <v>13020</v>
      </c>
      <c r="M18" s="163">
        <f>L18-K18</f>
        <v>0</v>
      </c>
      <c r="N18" s="163"/>
      <c r="O18" s="163"/>
      <c r="P18" s="163">
        <f t="shared" si="1"/>
        <v>0</v>
      </c>
      <c r="Q18" s="163"/>
      <c r="R18" s="163"/>
      <c r="S18" s="163">
        <f t="shared" si="2"/>
        <v>0</v>
      </c>
      <c r="T18" s="163"/>
      <c r="U18" s="163"/>
      <c r="V18" s="163">
        <f t="shared" si="3"/>
        <v>0</v>
      </c>
      <c r="W18" s="163"/>
      <c r="X18" s="163"/>
      <c r="Y18" s="163">
        <f t="shared" si="4"/>
        <v>0</v>
      </c>
      <c r="Z18" s="163"/>
      <c r="AA18" s="163"/>
      <c r="AB18" s="163">
        <f t="shared" si="5"/>
        <v>0</v>
      </c>
      <c r="AC18" s="163"/>
      <c r="AD18" s="163"/>
      <c r="AE18" s="163">
        <f t="shared" si="6"/>
        <v>0</v>
      </c>
    </row>
    <row r="19" spans="1:31" s="159" customFormat="1" ht="31.5" x14ac:dyDescent="0.25">
      <c r="A19" s="161" t="s">
        <v>226</v>
      </c>
      <c r="B19" s="162">
        <v>2</v>
      </c>
      <c r="C19" s="162">
        <v>122</v>
      </c>
      <c r="D19" s="162">
        <v>5100</v>
      </c>
      <c r="E19" s="163">
        <f t="shared" si="7"/>
        <v>1782</v>
      </c>
      <c r="F19" s="163">
        <f t="shared" si="7"/>
        <v>0</v>
      </c>
      <c r="G19" s="163">
        <f t="shared" si="7"/>
        <v>-1782</v>
      </c>
      <c r="H19" s="163"/>
      <c r="I19" s="163"/>
      <c r="J19" s="163">
        <f t="shared" si="8"/>
        <v>0</v>
      </c>
      <c r="K19" s="163"/>
      <c r="L19" s="163"/>
      <c r="M19" s="163">
        <f t="shared" si="0"/>
        <v>0</v>
      </c>
      <c r="N19" s="163">
        <v>1782</v>
      </c>
      <c r="O19" s="163">
        <f>1782-1782</f>
        <v>0</v>
      </c>
      <c r="P19" s="163">
        <f t="shared" si="1"/>
        <v>-1782</v>
      </c>
      <c r="Q19" s="163"/>
      <c r="R19" s="163"/>
      <c r="S19" s="163">
        <f t="shared" si="2"/>
        <v>0</v>
      </c>
      <c r="T19" s="163"/>
      <c r="U19" s="163"/>
      <c r="V19" s="163">
        <f t="shared" si="3"/>
        <v>0</v>
      </c>
      <c r="W19" s="163"/>
      <c r="X19" s="163"/>
      <c r="Y19" s="163">
        <f t="shared" si="4"/>
        <v>0</v>
      </c>
      <c r="Z19" s="163"/>
      <c r="AA19" s="163"/>
      <c r="AB19" s="163">
        <f t="shared" si="5"/>
        <v>0</v>
      </c>
      <c r="AC19" s="163"/>
      <c r="AD19" s="163"/>
      <c r="AE19" s="163">
        <f t="shared" si="6"/>
        <v>0</v>
      </c>
    </row>
    <row r="20" spans="1:31" s="156" customFormat="1" x14ac:dyDescent="0.25">
      <c r="A20" s="164" t="s">
        <v>227</v>
      </c>
      <c r="B20" s="165"/>
      <c r="C20" s="165"/>
      <c r="D20" s="165">
        <v>5100</v>
      </c>
      <c r="E20" s="160">
        <f t="shared" si="7"/>
        <v>1138917</v>
      </c>
      <c r="F20" s="160">
        <f t="shared" si="7"/>
        <v>988914</v>
      </c>
      <c r="G20" s="160">
        <f t="shared" si="7"/>
        <v>-150003</v>
      </c>
      <c r="H20" s="160">
        <f t="shared" ref="H20:AD20" si="10">SUM(H21)</f>
        <v>117894</v>
      </c>
      <c r="I20" s="160">
        <f t="shared" si="10"/>
        <v>117894</v>
      </c>
      <c r="J20" s="160">
        <f t="shared" si="8"/>
        <v>0</v>
      </c>
      <c r="K20" s="160">
        <f t="shared" si="10"/>
        <v>0</v>
      </c>
      <c r="L20" s="160">
        <f t="shared" si="10"/>
        <v>0</v>
      </c>
      <c r="M20" s="160">
        <f t="shared" si="0"/>
        <v>0</v>
      </c>
      <c r="N20" s="160">
        <f t="shared" si="10"/>
        <v>153088</v>
      </c>
      <c r="O20" s="160">
        <f t="shared" si="10"/>
        <v>3085</v>
      </c>
      <c r="P20" s="160">
        <f t="shared" si="1"/>
        <v>-150003</v>
      </c>
      <c r="Q20" s="160">
        <f t="shared" si="10"/>
        <v>0</v>
      </c>
      <c r="R20" s="160">
        <f t="shared" si="10"/>
        <v>0</v>
      </c>
      <c r="S20" s="160">
        <f t="shared" si="2"/>
        <v>0</v>
      </c>
      <c r="T20" s="160">
        <f t="shared" si="10"/>
        <v>10000</v>
      </c>
      <c r="U20" s="160">
        <f t="shared" si="10"/>
        <v>10000</v>
      </c>
      <c r="V20" s="160">
        <f t="shared" si="3"/>
        <v>0</v>
      </c>
      <c r="W20" s="160">
        <f t="shared" si="10"/>
        <v>807624</v>
      </c>
      <c r="X20" s="160">
        <f t="shared" si="10"/>
        <v>807624</v>
      </c>
      <c r="Y20" s="160">
        <f t="shared" si="4"/>
        <v>0</v>
      </c>
      <c r="Z20" s="160">
        <f t="shared" si="10"/>
        <v>50311</v>
      </c>
      <c r="AA20" s="160">
        <f t="shared" si="10"/>
        <v>50311</v>
      </c>
      <c r="AB20" s="160">
        <f t="shared" si="5"/>
        <v>0</v>
      </c>
      <c r="AC20" s="160">
        <f t="shared" si="10"/>
        <v>0</v>
      </c>
      <c r="AD20" s="160">
        <f t="shared" si="10"/>
        <v>0</v>
      </c>
      <c r="AE20" s="160">
        <f t="shared" si="6"/>
        <v>0</v>
      </c>
    </row>
    <row r="21" spans="1:31" s="156" customFormat="1" x14ac:dyDescent="0.25">
      <c r="A21" s="157" t="s">
        <v>218</v>
      </c>
      <c r="B21" s="166"/>
      <c r="C21" s="166"/>
      <c r="D21" s="166">
        <v>5100</v>
      </c>
      <c r="E21" s="160">
        <f t="shared" si="7"/>
        <v>1138917</v>
      </c>
      <c r="F21" s="160">
        <f t="shared" si="7"/>
        <v>988914</v>
      </c>
      <c r="G21" s="160">
        <f t="shared" si="7"/>
        <v>-150003</v>
      </c>
      <c r="H21" s="160">
        <f>SUM(H22:H35)</f>
        <v>117894</v>
      </c>
      <c r="I21" s="160">
        <f>SUM(I22:I35)</f>
        <v>117894</v>
      </c>
      <c r="J21" s="160">
        <f t="shared" si="8"/>
        <v>0</v>
      </c>
      <c r="K21" s="160">
        <f t="shared" ref="K21:L21" si="11">SUM(K22:K35)</f>
        <v>0</v>
      </c>
      <c r="L21" s="160">
        <f t="shared" si="11"/>
        <v>0</v>
      </c>
      <c r="M21" s="160">
        <f t="shared" si="0"/>
        <v>0</v>
      </c>
      <c r="N21" s="160">
        <f t="shared" ref="N21:O21" si="12">SUM(N22:N35)</f>
        <v>153088</v>
      </c>
      <c r="O21" s="160">
        <f t="shared" si="12"/>
        <v>3085</v>
      </c>
      <c r="P21" s="160">
        <f t="shared" si="1"/>
        <v>-150003</v>
      </c>
      <c r="Q21" s="160">
        <f t="shared" ref="Q21:R21" si="13">SUM(Q22:Q35)</f>
        <v>0</v>
      </c>
      <c r="R21" s="160">
        <f t="shared" si="13"/>
        <v>0</v>
      </c>
      <c r="S21" s="160">
        <f t="shared" si="2"/>
        <v>0</v>
      </c>
      <c r="T21" s="160">
        <f t="shared" ref="T21:U21" si="14">SUM(T22:T35)</f>
        <v>10000</v>
      </c>
      <c r="U21" s="160">
        <f t="shared" si="14"/>
        <v>10000</v>
      </c>
      <c r="V21" s="160">
        <f t="shared" si="3"/>
        <v>0</v>
      </c>
      <c r="W21" s="160">
        <f t="shared" ref="W21:X21" si="15">SUM(W22:W35)</f>
        <v>807624</v>
      </c>
      <c r="X21" s="160">
        <f t="shared" si="15"/>
        <v>807624</v>
      </c>
      <c r="Y21" s="160">
        <f t="shared" si="4"/>
        <v>0</v>
      </c>
      <c r="Z21" s="160">
        <f t="shared" ref="Z21:AA21" si="16">SUM(Z22:Z35)</f>
        <v>50311</v>
      </c>
      <c r="AA21" s="160">
        <f t="shared" si="16"/>
        <v>50311</v>
      </c>
      <c r="AB21" s="160">
        <f t="shared" si="5"/>
        <v>0</v>
      </c>
      <c r="AC21" s="160">
        <f t="shared" ref="AC21:AD21" si="17">SUM(AC22:AC35)</f>
        <v>0</v>
      </c>
      <c r="AD21" s="160">
        <f t="shared" si="17"/>
        <v>0</v>
      </c>
      <c r="AE21" s="160">
        <f t="shared" si="6"/>
        <v>0</v>
      </c>
    </row>
    <row r="22" spans="1:31" s="159" customFormat="1" x14ac:dyDescent="0.25">
      <c r="A22" s="167" t="s">
        <v>228</v>
      </c>
      <c r="B22" s="168">
        <v>2</v>
      </c>
      <c r="C22" s="168">
        <v>283</v>
      </c>
      <c r="D22" s="169">
        <v>5100</v>
      </c>
      <c r="E22" s="170">
        <f t="shared" si="7"/>
        <v>110000</v>
      </c>
      <c r="F22" s="170">
        <f t="shared" si="7"/>
        <v>0</v>
      </c>
      <c r="G22" s="170">
        <f t="shared" si="7"/>
        <v>-110000</v>
      </c>
      <c r="H22" s="170">
        <f>110000-110000</f>
        <v>0</v>
      </c>
      <c r="I22" s="170">
        <f>110000-110000</f>
        <v>0</v>
      </c>
      <c r="J22" s="170">
        <f t="shared" si="8"/>
        <v>0</v>
      </c>
      <c r="K22" s="170"/>
      <c r="L22" s="170"/>
      <c r="M22" s="170">
        <f t="shared" si="0"/>
        <v>0</v>
      </c>
      <c r="N22" s="170">
        <v>110000</v>
      </c>
      <c r="O22" s="170">
        <f>110000-110000</f>
        <v>0</v>
      </c>
      <c r="P22" s="170">
        <f t="shared" si="1"/>
        <v>-110000</v>
      </c>
      <c r="Q22" s="170"/>
      <c r="R22" s="170"/>
      <c r="S22" s="170">
        <f t="shared" si="2"/>
        <v>0</v>
      </c>
      <c r="T22" s="170"/>
      <c r="U22" s="170"/>
      <c r="V22" s="170">
        <f t="shared" si="3"/>
        <v>0</v>
      </c>
      <c r="W22" s="170"/>
      <c r="X22" s="170"/>
      <c r="Y22" s="170">
        <f t="shared" si="4"/>
        <v>0</v>
      </c>
      <c r="Z22" s="170"/>
      <c r="AA22" s="170"/>
      <c r="AB22" s="170">
        <f t="shared" si="5"/>
        <v>0</v>
      </c>
      <c r="AC22" s="170"/>
      <c r="AD22" s="170"/>
      <c r="AE22" s="170">
        <f t="shared" si="6"/>
        <v>0</v>
      </c>
    </row>
    <row r="23" spans="1:31" s="159" customFormat="1" x14ac:dyDescent="0.25">
      <c r="A23" s="167" t="s">
        <v>229</v>
      </c>
      <c r="B23" s="168">
        <v>1</v>
      </c>
      <c r="C23" s="168">
        <v>239</v>
      </c>
      <c r="D23" s="169">
        <v>5100</v>
      </c>
      <c r="E23" s="170">
        <f t="shared" si="7"/>
        <v>10000</v>
      </c>
      <c r="F23" s="170">
        <f t="shared" si="7"/>
        <v>10000</v>
      </c>
      <c r="G23" s="170">
        <f t="shared" si="7"/>
        <v>0</v>
      </c>
      <c r="H23" s="170"/>
      <c r="I23" s="170"/>
      <c r="J23" s="170">
        <f t="shared" si="8"/>
        <v>0</v>
      </c>
      <c r="K23" s="170"/>
      <c r="L23" s="170"/>
      <c r="M23" s="170">
        <f t="shared" si="0"/>
        <v>0</v>
      </c>
      <c r="N23" s="170"/>
      <c r="O23" s="170"/>
      <c r="P23" s="170">
        <f t="shared" si="1"/>
        <v>0</v>
      </c>
      <c r="Q23" s="170"/>
      <c r="R23" s="170"/>
      <c r="S23" s="170">
        <f t="shared" si="2"/>
        <v>0</v>
      </c>
      <c r="T23" s="170">
        <v>10000</v>
      </c>
      <c r="U23" s="170">
        <v>10000</v>
      </c>
      <c r="V23" s="170">
        <f t="shared" si="3"/>
        <v>0</v>
      </c>
      <c r="W23" s="170"/>
      <c r="X23" s="170"/>
      <c r="Y23" s="170">
        <f t="shared" si="4"/>
        <v>0</v>
      </c>
      <c r="Z23" s="170"/>
      <c r="AA23" s="170"/>
      <c r="AB23" s="170">
        <f t="shared" si="5"/>
        <v>0</v>
      </c>
      <c r="AC23" s="170">
        <v>0</v>
      </c>
      <c r="AD23" s="170">
        <v>0</v>
      </c>
      <c r="AE23" s="170">
        <f t="shared" si="6"/>
        <v>0</v>
      </c>
    </row>
    <row r="24" spans="1:31" s="159" customFormat="1" ht="31.5" x14ac:dyDescent="0.25">
      <c r="A24" s="167" t="s">
        <v>230</v>
      </c>
      <c r="B24" s="168">
        <v>3</v>
      </c>
      <c r="C24" s="168">
        <v>284</v>
      </c>
      <c r="D24" s="169">
        <v>5100</v>
      </c>
      <c r="E24" s="170">
        <f t="shared" si="7"/>
        <v>40000</v>
      </c>
      <c r="F24" s="170">
        <f t="shared" si="7"/>
        <v>0</v>
      </c>
      <c r="G24" s="170">
        <f t="shared" si="7"/>
        <v>-40000</v>
      </c>
      <c r="H24" s="170"/>
      <c r="I24" s="170"/>
      <c r="J24" s="170">
        <f t="shared" si="8"/>
        <v>0</v>
      </c>
      <c r="K24" s="170"/>
      <c r="L24" s="170"/>
      <c r="M24" s="170">
        <f t="shared" si="0"/>
        <v>0</v>
      </c>
      <c r="N24" s="170">
        <v>40000</v>
      </c>
      <c r="O24" s="170">
        <f>40000-40000</f>
        <v>0</v>
      </c>
      <c r="P24" s="170">
        <f t="shared" si="1"/>
        <v>-40000</v>
      </c>
      <c r="Q24" s="170"/>
      <c r="R24" s="170"/>
      <c r="S24" s="170">
        <f t="shared" si="2"/>
        <v>0</v>
      </c>
      <c r="T24" s="170"/>
      <c r="U24" s="170"/>
      <c r="V24" s="170">
        <f t="shared" si="3"/>
        <v>0</v>
      </c>
      <c r="W24" s="170"/>
      <c r="X24" s="170"/>
      <c r="Y24" s="170">
        <f t="shared" si="4"/>
        <v>0</v>
      </c>
      <c r="Z24" s="170"/>
      <c r="AA24" s="170"/>
      <c r="AB24" s="170">
        <f t="shared" si="5"/>
        <v>0</v>
      </c>
      <c r="AC24" s="170">
        <v>0</v>
      </c>
      <c r="AD24" s="170">
        <v>0</v>
      </c>
      <c r="AE24" s="170">
        <f t="shared" si="6"/>
        <v>0</v>
      </c>
    </row>
    <row r="25" spans="1:31" s="159" customFormat="1" ht="31.5" x14ac:dyDescent="0.25">
      <c r="A25" s="171" t="s">
        <v>231</v>
      </c>
      <c r="B25" s="172">
        <v>1</v>
      </c>
      <c r="C25" s="172">
        <v>284</v>
      </c>
      <c r="D25" s="172">
        <v>5100</v>
      </c>
      <c r="E25" s="170">
        <f t="shared" si="7"/>
        <v>29003</v>
      </c>
      <c r="F25" s="170">
        <f t="shared" si="7"/>
        <v>29003</v>
      </c>
      <c r="G25" s="170">
        <f t="shared" si="7"/>
        <v>0</v>
      </c>
      <c r="H25" s="170"/>
      <c r="I25" s="170"/>
      <c r="J25" s="170">
        <f t="shared" si="8"/>
        <v>0</v>
      </c>
      <c r="K25" s="170"/>
      <c r="L25" s="170"/>
      <c r="M25" s="170">
        <f t="shared" si="0"/>
        <v>0</v>
      </c>
      <c r="N25" s="170"/>
      <c r="O25" s="170"/>
      <c r="P25" s="170">
        <f t="shared" si="1"/>
        <v>0</v>
      </c>
      <c r="Q25" s="170"/>
      <c r="R25" s="170"/>
      <c r="S25" s="170">
        <f t="shared" si="2"/>
        <v>0</v>
      </c>
      <c r="T25" s="170"/>
      <c r="U25" s="170"/>
      <c r="V25" s="170">
        <f t="shared" si="3"/>
        <v>0</v>
      </c>
      <c r="W25" s="170">
        <v>29003</v>
      </c>
      <c r="X25" s="170">
        <v>29003</v>
      </c>
      <c r="Y25" s="170">
        <f t="shared" si="4"/>
        <v>0</v>
      </c>
      <c r="Z25" s="170"/>
      <c r="AA25" s="170"/>
      <c r="AB25" s="170">
        <f t="shared" si="5"/>
        <v>0</v>
      </c>
      <c r="AC25" s="170"/>
      <c r="AD25" s="170"/>
      <c r="AE25" s="170">
        <f t="shared" si="6"/>
        <v>0</v>
      </c>
    </row>
    <row r="26" spans="1:31" s="159" customFormat="1" ht="63" x14ac:dyDescent="0.25">
      <c r="A26" s="171" t="s">
        <v>232</v>
      </c>
      <c r="B26" s="172">
        <v>1</v>
      </c>
      <c r="C26" s="172">
        <v>284</v>
      </c>
      <c r="D26" s="172">
        <v>5100</v>
      </c>
      <c r="E26" s="170">
        <f t="shared" si="7"/>
        <v>73425</v>
      </c>
      <c r="F26" s="170">
        <f t="shared" si="7"/>
        <v>73425</v>
      </c>
      <c r="G26" s="170">
        <f t="shared" si="7"/>
        <v>0</v>
      </c>
      <c r="H26" s="170"/>
      <c r="I26" s="170"/>
      <c r="J26" s="170">
        <f t="shared" si="8"/>
        <v>0</v>
      </c>
      <c r="K26" s="170"/>
      <c r="L26" s="170"/>
      <c r="M26" s="170">
        <f t="shared" si="0"/>
        <v>0</v>
      </c>
      <c r="N26" s="170">
        <f>1547+1</f>
        <v>1548</v>
      </c>
      <c r="O26" s="170">
        <f>1547+1</f>
        <v>1548</v>
      </c>
      <c r="P26" s="170">
        <f t="shared" si="1"/>
        <v>0</v>
      </c>
      <c r="Q26" s="170"/>
      <c r="R26" s="170"/>
      <c r="S26" s="170">
        <f t="shared" si="2"/>
        <v>0</v>
      </c>
      <c r="T26" s="170"/>
      <c r="U26" s="170"/>
      <c r="V26" s="170">
        <f t="shared" si="3"/>
        <v>0</v>
      </c>
      <c r="W26" s="170">
        <v>71877</v>
      </c>
      <c r="X26" s="170">
        <v>71877</v>
      </c>
      <c r="Y26" s="170">
        <f t="shared" si="4"/>
        <v>0</v>
      </c>
      <c r="Z26" s="170"/>
      <c r="AA26" s="170"/>
      <c r="AB26" s="170">
        <f t="shared" si="5"/>
        <v>0</v>
      </c>
      <c r="AC26" s="170"/>
      <c r="AD26" s="170"/>
      <c r="AE26" s="170">
        <f t="shared" si="6"/>
        <v>0</v>
      </c>
    </row>
    <row r="27" spans="1:31" s="159" customFormat="1" ht="31.5" x14ac:dyDescent="0.25">
      <c r="A27" s="171" t="s">
        <v>233</v>
      </c>
      <c r="B27" s="172">
        <v>1</v>
      </c>
      <c r="C27" s="172">
        <v>284</v>
      </c>
      <c r="D27" s="172">
        <v>5100</v>
      </c>
      <c r="E27" s="170">
        <f t="shared" si="7"/>
        <v>230400</v>
      </c>
      <c r="F27" s="170">
        <f t="shared" si="7"/>
        <v>230400</v>
      </c>
      <c r="G27" s="170">
        <f t="shared" si="7"/>
        <v>0</v>
      </c>
      <c r="H27" s="170"/>
      <c r="I27" s="170"/>
      <c r="J27" s="170">
        <f t="shared" si="8"/>
        <v>0</v>
      </c>
      <c r="K27" s="170"/>
      <c r="L27" s="170"/>
      <c r="M27" s="170">
        <f t="shared" si="0"/>
        <v>0</v>
      </c>
      <c r="N27" s="170"/>
      <c r="O27" s="170"/>
      <c r="P27" s="170">
        <f t="shared" si="1"/>
        <v>0</v>
      </c>
      <c r="Q27" s="170"/>
      <c r="R27" s="170"/>
      <c r="S27" s="170">
        <f t="shared" si="2"/>
        <v>0</v>
      </c>
      <c r="T27" s="170"/>
      <c r="U27" s="170"/>
      <c r="V27" s="170">
        <f t="shared" si="3"/>
        <v>0</v>
      </c>
      <c r="W27" s="170">
        <v>230400</v>
      </c>
      <c r="X27" s="170">
        <v>230400</v>
      </c>
      <c r="Y27" s="170">
        <f t="shared" si="4"/>
        <v>0</v>
      </c>
      <c r="Z27" s="170"/>
      <c r="AA27" s="170"/>
      <c r="AB27" s="170">
        <f t="shared" si="5"/>
        <v>0</v>
      </c>
      <c r="AC27" s="170"/>
      <c r="AD27" s="170"/>
      <c r="AE27" s="170">
        <f t="shared" si="6"/>
        <v>0</v>
      </c>
    </row>
    <row r="28" spans="1:31" s="159" customFormat="1" ht="47.25" x14ac:dyDescent="0.25">
      <c r="A28" s="171" t="s">
        <v>234</v>
      </c>
      <c r="B28" s="172">
        <v>1</v>
      </c>
      <c r="C28" s="172">
        <v>284</v>
      </c>
      <c r="D28" s="172">
        <v>5100</v>
      </c>
      <c r="E28" s="170">
        <f t="shared" si="7"/>
        <v>1645</v>
      </c>
      <c r="F28" s="170">
        <f t="shared" si="7"/>
        <v>1645</v>
      </c>
      <c r="G28" s="170">
        <f t="shared" si="7"/>
        <v>0</v>
      </c>
      <c r="H28" s="170"/>
      <c r="I28" s="170"/>
      <c r="J28" s="170">
        <f t="shared" si="8"/>
        <v>0</v>
      </c>
      <c r="K28" s="170"/>
      <c r="L28" s="170"/>
      <c r="M28" s="170">
        <f t="shared" si="0"/>
        <v>0</v>
      </c>
      <c r="N28" s="170"/>
      <c r="O28" s="170"/>
      <c r="P28" s="170">
        <f t="shared" si="1"/>
        <v>0</v>
      </c>
      <c r="Q28" s="170"/>
      <c r="R28" s="170"/>
      <c r="S28" s="170">
        <f t="shared" si="2"/>
        <v>0</v>
      </c>
      <c r="T28" s="170"/>
      <c r="U28" s="170"/>
      <c r="V28" s="170">
        <f t="shared" si="3"/>
        <v>0</v>
      </c>
      <c r="W28" s="170">
        <v>1645</v>
      </c>
      <c r="X28" s="170">
        <v>1645</v>
      </c>
      <c r="Y28" s="170">
        <f t="shared" si="4"/>
        <v>0</v>
      </c>
      <c r="Z28" s="170"/>
      <c r="AA28" s="170"/>
      <c r="AB28" s="170">
        <f t="shared" si="5"/>
        <v>0</v>
      </c>
      <c r="AC28" s="170"/>
      <c r="AD28" s="170"/>
      <c r="AE28" s="170">
        <f t="shared" si="6"/>
        <v>0</v>
      </c>
    </row>
    <row r="29" spans="1:31" s="159" customFormat="1" ht="31.5" x14ac:dyDescent="0.25">
      <c r="A29" s="171" t="s">
        <v>235</v>
      </c>
      <c r="B29" s="172">
        <v>1</v>
      </c>
      <c r="C29" s="172">
        <v>284</v>
      </c>
      <c r="D29" s="172">
        <v>5100</v>
      </c>
      <c r="E29" s="170">
        <f t="shared" si="7"/>
        <v>149277</v>
      </c>
      <c r="F29" s="170">
        <f t="shared" si="7"/>
        <v>149277</v>
      </c>
      <c r="G29" s="170">
        <f t="shared" si="7"/>
        <v>0</v>
      </c>
      <c r="H29" s="170">
        <v>67894</v>
      </c>
      <c r="I29" s="170">
        <v>67894</v>
      </c>
      <c r="J29" s="170">
        <f t="shared" si="8"/>
        <v>0</v>
      </c>
      <c r="K29" s="170"/>
      <c r="L29" s="170"/>
      <c r="M29" s="170">
        <f t="shared" si="0"/>
        <v>0</v>
      </c>
      <c r="N29" s="170"/>
      <c r="O29" s="170"/>
      <c r="P29" s="170">
        <f t="shared" si="1"/>
        <v>0</v>
      </c>
      <c r="Q29" s="170"/>
      <c r="R29" s="170"/>
      <c r="S29" s="170">
        <f t="shared" si="2"/>
        <v>0</v>
      </c>
      <c r="T29" s="170"/>
      <c r="U29" s="170"/>
      <c r="V29" s="170">
        <f t="shared" si="3"/>
        <v>0</v>
      </c>
      <c r="W29" s="170">
        <v>81383</v>
      </c>
      <c r="X29" s="170">
        <v>81383</v>
      </c>
      <c r="Y29" s="170">
        <f t="shared" si="4"/>
        <v>0</v>
      </c>
      <c r="Z29" s="170"/>
      <c r="AA29" s="170"/>
      <c r="AB29" s="170">
        <f t="shared" si="5"/>
        <v>0</v>
      </c>
      <c r="AC29" s="170"/>
      <c r="AD29" s="170"/>
      <c r="AE29" s="170">
        <f t="shared" si="6"/>
        <v>0</v>
      </c>
    </row>
    <row r="30" spans="1:31" s="159" customFormat="1" ht="78.75" x14ac:dyDescent="0.25">
      <c r="A30" s="171" t="s">
        <v>236</v>
      </c>
      <c r="B30" s="172">
        <v>1</v>
      </c>
      <c r="C30" s="172">
        <v>284</v>
      </c>
      <c r="D30" s="172">
        <v>5100</v>
      </c>
      <c r="E30" s="170">
        <f t="shared" si="7"/>
        <v>15796</v>
      </c>
      <c r="F30" s="170">
        <f t="shared" si="7"/>
        <v>15796</v>
      </c>
      <c r="G30" s="170">
        <f t="shared" si="7"/>
        <v>0</v>
      </c>
      <c r="H30" s="170"/>
      <c r="I30" s="170"/>
      <c r="J30" s="170">
        <f t="shared" si="8"/>
        <v>0</v>
      </c>
      <c r="K30" s="170"/>
      <c r="L30" s="170"/>
      <c r="M30" s="170">
        <f t="shared" si="0"/>
        <v>0</v>
      </c>
      <c r="N30" s="170"/>
      <c r="O30" s="170"/>
      <c r="P30" s="170">
        <f t="shared" si="1"/>
        <v>0</v>
      </c>
      <c r="Q30" s="170"/>
      <c r="R30" s="170"/>
      <c r="S30" s="170">
        <f t="shared" si="2"/>
        <v>0</v>
      </c>
      <c r="T30" s="170"/>
      <c r="U30" s="170"/>
      <c r="V30" s="170">
        <f t="shared" si="3"/>
        <v>0</v>
      </c>
      <c r="W30" s="170">
        <v>15796</v>
      </c>
      <c r="X30" s="170">
        <v>15796</v>
      </c>
      <c r="Y30" s="170">
        <f t="shared" si="4"/>
        <v>0</v>
      </c>
      <c r="Z30" s="170"/>
      <c r="AA30" s="170"/>
      <c r="AB30" s="170">
        <f t="shared" si="5"/>
        <v>0</v>
      </c>
      <c r="AC30" s="170"/>
      <c r="AD30" s="170"/>
      <c r="AE30" s="170">
        <f t="shared" si="6"/>
        <v>0</v>
      </c>
    </row>
    <row r="31" spans="1:31" s="159" customFormat="1" ht="78.75" x14ac:dyDescent="0.25">
      <c r="A31" s="167" t="s">
        <v>237</v>
      </c>
      <c r="B31" s="172">
        <v>1</v>
      </c>
      <c r="C31" s="172">
        <v>284</v>
      </c>
      <c r="D31" s="172">
        <v>5100</v>
      </c>
      <c r="E31" s="163">
        <f t="shared" si="7"/>
        <v>9866</v>
      </c>
      <c r="F31" s="163">
        <f t="shared" si="7"/>
        <v>9866</v>
      </c>
      <c r="G31" s="163">
        <f t="shared" si="7"/>
        <v>0</v>
      </c>
      <c r="H31" s="163"/>
      <c r="I31" s="163"/>
      <c r="J31" s="163">
        <f t="shared" si="8"/>
        <v>0</v>
      </c>
      <c r="K31" s="163"/>
      <c r="L31" s="163"/>
      <c r="M31" s="163">
        <f t="shared" si="0"/>
        <v>0</v>
      </c>
      <c r="N31" s="163"/>
      <c r="O31" s="163"/>
      <c r="P31" s="163">
        <f t="shared" si="1"/>
        <v>0</v>
      </c>
      <c r="Q31" s="163"/>
      <c r="R31" s="163"/>
      <c r="S31" s="163">
        <f t="shared" si="2"/>
        <v>0</v>
      </c>
      <c r="T31" s="163"/>
      <c r="U31" s="163"/>
      <c r="V31" s="163">
        <f t="shared" si="3"/>
        <v>0</v>
      </c>
      <c r="W31" s="163">
        <f>1876+7990</f>
        <v>9866</v>
      </c>
      <c r="X31" s="163">
        <f>1876+7990</f>
        <v>9866</v>
      </c>
      <c r="Y31" s="163">
        <f t="shared" si="4"/>
        <v>0</v>
      </c>
      <c r="Z31" s="163"/>
      <c r="AA31" s="163"/>
      <c r="AB31" s="163">
        <f t="shared" si="5"/>
        <v>0</v>
      </c>
      <c r="AC31" s="163"/>
      <c r="AD31" s="163"/>
      <c r="AE31" s="163">
        <f t="shared" si="6"/>
        <v>0</v>
      </c>
    </row>
    <row r="32" spans="1:31" s="159" customFormat="1" ht="94.5" x14ac:dyDescent="0.25">
      <c r="A32" s="171" t="s">
        <v>238</v>
      </c>
      <c r="B32" s="172" t="s">
        <v>239</v>
      </c>
      <c r="C32" s="172">
        <v>284</v>
      </c>
      <c r="D32" s="172">
        <v>5100</v>
      </c>
      <c r="E32" s="170">
        <f t="shared" si="7"/>
        <v>122493</v>
      </c>
      <c r="F32" s="170">
        <f t="shared" si="7"/>
        <v>122493</v>
      </c>
      <c r="G32" s="170">
        <f t="shared" si="7"/>
        <v>0</v>
      </c>
      <c r="H32" s="170">
        <f>50000</f>
        <v>50000</v>
      </c>
      <c r="I32" s="170">
        <f>50000</f>
        <v>50000</v>
      </c>
      <c r="J32" s="170">
        <f t="shared" si="8"/>
        <v>0</v>
      </c>
      <c r="K32" s="170"/>
      <c r="L32" s="170"/>
      <c r="M32" s="170">
        <f t="shared" si="0"/>
        <v>0</v>
      </c>
      <c r="N32" s="170"/>
      <c r="O32" s="170"/>
      <c r="P32" s="170">
        <f t="shared" si="1"/>
        <v>0</v>
      </c>
      <c r="Q32" s="170"/>
      <c r="R32" s="170"/>
      <c r="S32" s="170">
        <f t="shared" si="2"/>
        <v>0</v>
      </c>
      <c r="T32" s="170"/>
      <c r="U32" s="170"/>
      <c r="V32" s="170">
        <f t="shared" si="3"/>
        <v>0</v>
      </c>
      <c r="W32" s="170">
        <v>72493</v>
      </c>
      <c r="X32" s="170">
        <v>72493</v>
      </c>
      <c r="Y32" s="170">
        <f t="shared" si="4"/>
        <v>0</v>
      </c>
      <c r="Z32" s="170"/>
      <c r="AA32" s="170"/>
      <c r="AB32" s="170">
        <f t="shared" si="5"/>
        <v>0</v>
      </c>
      <c r="AC32" s="170"/>
      <c r="AD32" s="170"/>
      <c r="AE32" s="170">
        <f t="shared" si="6"/>
        <v>0</v>
      </c>
    </row>
    <row r="33" spans="1:192" s="159" customFormat="1" ht="94.5" x14ac:dyDescent="0.25">
      <c r="A33" s="167" t="s">
        <v>240</v>
      </c>
      <c r="B33" s="172">
        <v>1</v>
      </c>
      <c r="C33" s="172">
        <v>284</v>
      </c>
      <c r="D33" s="172">
        <v>5100</v>
      </c>
      <c r="E33" s="163">
        <f t="shared" si="7"/>
        <v>187653</v>
      </c>
      <c r="F33" s="163">
        <f t="shared" si="7"/>
        <v>187653</v>
      </c>
      <c r="G33" s="163">
        <f t="shared" si="7"/>
        <v>0</v>
      </c>
      <c r="H33" s="163"/>
      <c r="I33" s="163"/>
      <c r="J33" s="163">
        <f t="shared" si="8"/>
        <v>0</v>
      </c>
      <c r="K33" s="163"/>
      <c r="L33" s="163"/>
      <c r="M33" s="163">
        <f t="shared" si="0"/>
        <v>0</v>
      </c>
      <c r="N33" s="163"/>
      <c r="O33" s="163"/>
      <c r="P33" s="163">
        <f t="shared" si="1"/>
        <v>0</v>
      </c>
      <c r="Q33" s="163"/>
      <c r="R33" s="163"/>
      <c r="S33" s="163">
        <f t="shared" si="2"/>
        <v>0</v>
      </c>
      <c r="T33" s="163"/>
      <c r="U33" s="163"/>
      <c r="V33" s="163">
        <f t="shared" si="3"/>
        <v>0</v>
      </c>
      <c r="W33" s="163">
        <f>187653</f>
        <v>187653</v>
      </c>
      <c r="X33" s="163">
        <f>187653</f>
        <v>187653</v>
      </c>
      <c r="Y33" s="163">
        <f t="shared" si="4"/>
        <v>0</v>
      </c>
      <c r="Z33" s="163"/>
      <c r="AA33" s="163"/>
      <c r="AB33" s="163">
        <f t="shared" si="5"/>
        <v>0</v>
      </c>
      <c r="AC33" s="163"/>
      <c r="AD33" s="163"/>
      <c r="AE33" s="163">
        <f t="shared" si="6"/>
        <v>0</v>
      </c>
    </row>
    <row r="34" spans="1:192" s="159" customFormat="1" ht="47.25" x14ac:dyDescent="0.25">
      <c r="A34" s="167" t="s">
        <v>241</v>
      </c>
      <c r="B34" s="172">
        <v>1</v>
      </c>
      <c r="C34" s="172">
        <v>284</v>
      </c>
      <c r="D34" s="172">
        <v>5100</v>
      </c>
      <c r="E34" s="163">
        <f t="shared" si="7"/>
        <v>58737</v>
      </c>
      <c r="F34" s="163">
        <f t="shared" si="7"/>
        <v>58734</v>
      </c>
      <c r="G34" s="163">
        <f t="shared" si="7"/>
        <v>-3</v>
      </c>
      <c r="H34" s="163"/>
      <c r="I34" s="163"/>
      <c r="J34" s="163">
        <f t="shared" si="8"/>
        <v>0</v>
      </c>
      <c r="K34" s="163"/>
      <c r="L34" s="163"/>
      <c r="M34" s="163">
        <f t="shared" si="0"/>
        <v>0</v>
      </c>
      <c r="N34" s="163">
        <v>1540</v>
      </c>
      <c r="O34" s="163">
        <f>1540-3</f>
        <v>1537</v>
      </c>
      <c r="P34" s="163">
        <f t="shared" si="1"/>
        <v>-3</v>
      </c>
      <c r="Q34" s="163"/>
      <c r="R34" s="163"/>
      <c r="S34" s="163">
        <f t="shared" si="2"/>
        <v>0</v>
      </c>
      <c r="T34" s="163"/>
      <c r="U34" s="163"/>
      <c r="V34" s="163">
        <f t="shared" si="3"/>
        <v>0</v>
      </c>
      <c r="W34" s="163">
        <v>57197</v>
      </c>
      <c r="X34" s="163">
        <v>57197</v>
      </c>
      <c r="Y34" s="163">
        <f t="shared" si="4"/>
        <v>0</v>
      </c>
      <c r="Z34" s="163"/>
      <c r="AA34" s="163"/>
      <c r="AB34" s="163">
        <f t="shared" si="5"/>
        <v>0</v>
      </c>
      <c r="AC34" s="163"/>
      <c r="AD34" s="163"/>
      <c r="AE34" s="163">
        <f t="shared" si="6"/>
        <v>0</v>
      </c>
    </row>
    <row r="35" spans="1:192" s="159" customFormat="1" ht="47.25" x14ac:dyDescent="0.25">
      <c r="A35" s="167" t="s">
        <v>242</v>
      </c>
      <c r="B35" s="172">
        <v>1</v>
      </c>
      <c r="C35" s="172">
        <v>284</v>
      </c>
      <c r="D35" s="172">
        <v>5100</v>
      </c>
      <c r="E35" s="163">
        <f t="shared" si="7"/>
        <v>100622</v>
      </c>
      <c r="F35" s="163">
        <f t="shared" si="7"/>
        <v>100622</v>
      </c>
      <c r="G35" s="163">
        <f t="shared" si="7"/>
        <v>0</v>
      </c>
      <c r="H35" s="163"/>
      <c r="I35" s="163"/>
      <c r="J35" s="163">
        <f t="shared" si="8"/>
        <v>0</v>
      </c>
      <c r="K35" s="163"/>
      <c r="L35" s="163"/>
      <c r="M35" s="163">
        <f t="shared" si="0"/>
        <v>0</v>
      </c>
      <c r="N35" s="163"/>
      <c r="O35" s="163"/>
      <c r="P35" s="163">
        <f t="shared" si="1"/>
        <v>0</v>
      </c>
      <c r="Q35" s="163"/>
      <c r="R35" s="163"/>
      <c r="S35" s="163">
        <f t="shared" si="2"/>
        <v>0</v>
      </c>
      <c r="T35" s="163"/>
      <c r="U35" s="163"/>
      <c r="V35" s="163">
        <f t="shared" si="3"/>
        <v>0</v>
      </c>
      <c r="W35" s="163">
        <v>50311</v>
      </c>
      <c r="X35" s="163">
        <v>50311</v>
      </c>
      <c r="Y35" s="163">
        <f t="shared" si="4"/>
        <v>0</v>
      </c>
      <c r="Z35" s="163">
        <v>50311</v>
      </c>
      <c r="AA35" s="163">
        <v>50311</v>
      </c>
      <c r="AB35" s="163">
        <f t="shared" si="5"/>
        <v>0</v>
      </c>
      <c r="AC35" s="163">
        <f>50312-50312</f>
        <v>0</v>
      </c>
      <c r="AD35" s="163">
        <f>50312-50312</f>
        <v>0</v>
      </c>
      <c r="AE35" s="163">
        <f t="shared" si="6"/>
        <v>0</v>
      </c>
    </row>
    <row r="36" spans="1:192" s="159" customFormat="1" x14ac:dyDescent="0.25">
      <c r="A36" s="157" t="s">
        <v>243</v>
      </c>
      <c r="B36" s="166"/>
      <c r="C36" s="166"/>
      <c r="D36" s="172"/>
      <c r="E36" s="158">
        <f t="shared" si="7"/>
        <v>3072741</v>
      </c>
      <c r="F36" s="158">
        <f t="shared" si="7"/>
        <v>657756</v>
      </c>
      <c r="G36" s="158">
        <f t="shared" si="7"/>
        <v>-2414985</v>
      </c>
      <c r="H36" s="158">
        <f t="shared" ref="H36:AD36" si="18">SUM(H37)</f>
        <v>271405</v>
      </c>
      <c r="I36" s="158">
        <f t="shared" si="18"/>
        <v>271405</v>
      </c>
      <c r="J36" s="158">
        <f t="shared" si="8"/>
        <v>0</v>
      </c>
      <c r="K36" s="158">
        <f t="shared" si="18"/>
        <v>0</v>
      </c>
      <c r="L36" s="158">
        <f t="shared" si="18"/>
        <v>0</v>
      </c>
      <c r="M36" s="158">
        <f t="shared" si="0"/>
        <v>0</v>
      </c>
      <c r="N36" s="158">
        <f t="shared" si="18"/>
        <v>143328</v>
      </c>
      <c r="O36" s="158">
        <f t="shared" si="18"/>
        <v>128673</v>
      </c>
      <c r="P36" s="158">
        <f t="shared" si="1"/>
        <v>-14655</v>
      </c>
      <c r="Q36" s="158">
        <f t="shared" si="18"/>
        <v>0</v>
      </c>
      <c r="R36" s="158">
        <f t="shared" si="18"/>
        <v>0</v>
      </c>
      <c r="S36" s="158">
        <f t="shared" si="2"/>
        <v>0</v>
      </c>
      <c r="T36" s="158">
        <f t="shared" si="18"/>
        <v>256000</v>
      </c>
      <c r="U36" s="158">
        <f t="shared" si="18"/>
        <v>255142</v>
      </c>
      <c r="V36" s="158">
        <f t="shared" si="3"/>
        <v>-858</v>
      </c>
      <c r="W36" s="158">
        <f t="shared" si="18"/>
        <v>0</v>
      </c>
      <c r="X36" s="158">
        <f t="shared" si="18"/>
        <v>2536</v>
      </c>
      <c r="Y36" s="158">
        <f t="shared" si="4"/>
        <v>2536</v>
      </c>
      <c r="Z36" s="158">
        <f t="shared" si="18"/>
        <v>0</v>
      </c>
      <c r="AA36" s="158">
        <f t="shared" si="18"/>
        <v>0</v>
      </c>
      <c r="AB36" s="158">
        <f t="shared" si="5"/>
        <v>0</v>
      </c>
      <c r="AC36" s="158">
        <f t="shared" si="18"/>
        <v>2402008</v>
      </c>
      <c r="AD36" s="158">
        <f t="shared" si="18"/>
        <v>0</v>
      </c>
      <c r="AE36" s="158">
        <f t="shared" si="6"/>
        <v>-2402008</v>
      </c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6"/>
      <c r="BG36" s="156"/>
      <c r="BH36" s="156"/>
      <c r="BI36" s="156"/>
      <c r="BJ36" s="156"/>
      <c r="BK36" s="156"/>
      <c r="BL36" s="156"/>
      <c r="BM36" s="156"/>
      <c r="BN36" s="156"/>
      <c r="BO36" s="156"/>
      <c r="BP36" s="156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156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  <c r="CL36" s="156"/>
      <c r="CM36" s="156"/>
      <c r="CN36" s="156"/>
      <c r="CO36" s="156"/>
      <c r="CP36" s="156"/>
      <c r="CQ36" s="156"/>
      <c r="CR36" s="156"/>
      <c r="CS36" s="156"/>
      <c r="CT36" s="156"/>
      <c r="CU36" s="156"/>
      <c r="CV36" s="156"/>
      <c r="CW36" s="156"/>
      <c r="CX36" s="156"/>
      <c r="CY36" s="156"/>
      <c r="CZ36" s="156"/>
      <c r="DA36" s="156"/>
      <c r="DB36" s="156"/>
      <c r="DC36" s="156"/>
      <c r="DD36" s="156"/>
      <c r="DE36" s="156"/>
      <c r="DF36" s="156"/>
      <c r="DG36" s="156"/>
      <c r="DH36" s="156"/>
      <c r="DI36" s="156"/>
      <c r="DJ36" s="156"/>
      <c r="DK36" s="156"/>
      <c r="DL36" s="156"/>
      <c r="DM36" s="156"/>
      <c r="DN36" s="156"/>
      <c r="DO36" s="156"/>
      <c r="DP36" s="156"/>
      <c r="DQ36" s="156"/>
      <c r="DR36" s="156"/>
      <c r="DS36" s="156"/>
      <c r="DT36" s="156"/>
      <c r="DU36" s="156"/>
      <c r="DV36" s="156"/>
      <c r="DW36" s="156"/>
      <c r="DX36" s="156"/>
      <c r="DY36" s="156"/>
      <c r="DZ36" s="156"/>
      <c r="EA36" s="156"/>
      <c r="EB36" s="156"/>
      <c r="EC36" s="156"/>
      <c r="ED36" s="156"/>
      <c r="EE36" s="156"/>
      <c r="EF36" s="156"/>
      <c r="EG36" s="156"/>
      <c r="EH36" s="156"/>
      <c r="EI36" s="156"/>
      <c r="EJ36" s="156"/>
      <c r="EK36" s="156"/>
      <c r="EL36" s="156"/>
      <c r="EM36" s="156"/>
      <c r="EN36" s="156"/>
      <c r="EO36" s="156"/>
      <c r="EP36" s="156"/>
      <c r="EQ36" s="156"/>
      <c r="ER36" s="156"/>
      <c r="ES36" s="156"/>
      <c r="ET36" s="156"/>
      <c r="EU36" s="156"/>
      <c r="EV36" s="156"/>
      <c r="EW36" s="156"/>
      <c r="EX36" s="156"/>
      <c r="EY36" s="156"/>
      <c r="EZ36" s="156"/>
      <c r="FA36" s="156"/>
      <c r="FB36" s="156"/>
      <c r="FC36" s="156"/>
      <c r="FD36" s="156"/>
      <c r="FE36" s="156"/>
      <c r="FF36" s="156"/>
      <c r="FG36" s="156"/>
      <c r="FH36" s="156"/>
      <c r="FI36" s="156"/>
      <c r="FJ36" s="156"/>
      <c r="FK36" s="156"/>
      <c r="FL36" s="156"/>
      <c r="FM36" s="156"/>
      <c r="FN36" s="156"/>
      <c r="FO36" s="156"/>
      <c r="FP36" s="156"/>
      <c r="FQ36" s="156"/>
      <c r="FR36" s="156"/>
      <c r="FS36" s="156"/>
      <c r="FT36" s="156"/>
      <c r="FU36" s="156"/>
      <c r="FV36" s="156"/>
      <c r="FW36" s="156"/>
      <c r="FX36" s="156"/>
      <c r="FY36" s="156"/>
      <c r="FZ36" s="156"/>
      <c r="GA36" s="156"/>
      <c r="GB36" s="156"/>
      <c r="GC36" s="156"/>
      <c r="GD36" s="156"/>
      <c r="GE36" s="156"/>
      <c r="GF36" s="156"/>
      <c r="GG36" s="156"/>
      <c r="GH36" s="156"/>
      <c r="GI36" s="156"/>
      <c r="GJ36" s="156"/>
    </row>
    <row r="37" spans="1:192" s="159" customFormat="1" x14ac:dyDescent="0.25">
      <c r="A37" s="157" t="s">
        <v>218</v>
      </c>
      <c r="B37" s="166"/>
      <c r="C37" s="166"/>
      <c r="D37" s="172"/>
      <c r="E37" s="158">
        <f t="shared" si="7"/>
        <v>3072741</v>
      </c>
      <c r="F37" s="158">
        <f t="shared" si="7"/>
        <v>657756</v>
      </c>
      <c r="G37" s="158">
        <f t="shared" si="7"/>
        <v>-2414985</v>
      </c>
      <c r="H37" s="158">
        <f>SUM(H38:H47)</f>
        <v>271405</v>
      </c>
      <c r="I37" s="158">
        <f>SUM(I38:I47)</f>
        <v>271405</v>
      </c>
      <c r="J37" s="158">
        <f t="shared" si="8"/>
        <v>0</v>
      </c>
      <c r="K37" s="158">
        <f t="shared" ref="K37:L37" si="19">SUM(K38:K47)</f>
        <v>0</v>
      </c>
      <c r="L37" s="158">
        <f t="shared" si="19"/>
        <v>0</v>
      </c>
      <c r="M37" s="158">
        <f t="shared" si="0"/>
        <v>0</v>
      </c>
      <c r="N37" s="158">
        <f t="shared" ref="N37:O37" si="20">SUM(N38:N47)</f>
        <v>143328</v>
      </c>
      <c r="O37" s="158">
        <f t="shared" si="20"/>
        <v>128673</v>
      </c>
      <c r="P37" s="158">
        <f t="shared" si="1"/>
        <v>-14655</v>
      </c>
      <c r="Q37" s="158">
        <f t="shared" ref="Q37:R37" si="21">SUM(Q38:Q47)</f>
        <v>0</v>
      </c>
      <c r="R37" s="158">
        <f t="shared" si="21"/>
        <v>0</v>
      </c>
      <c r="S37" s="158">
        <f t="shared" si="2"/>
        <v>0</v>
      </c>
      <c r="T37" s="158">
        <f t="shared" ref="T37:U37" si="22">SUM(T38:T47)</f>
        <v>256000</v>
      </c>
      <c r="U37" s="158">
        <f t="shared" si="22"/>
        <v>255142</v>
      </c>
      <c r="V37" s="158">
        <f t="shared" si="3"/>
        <v>-858</v>
      </c>
      <c r="W37" s="158">
        <f t="shared" ref="W37:X37" si="23">SUM(W38:W47)</f>
        <v>0</v>
      </c>
      <c r="X37" s="158">
        <f t="shared" si="23"/>
        <v>2536</v>
      </c>
      <c r="Y37" s="158">
        <f t="shared" si="4"/>
        <v>2536</v>
      </c>
      <c r="Z37" s="158">
        <f t="shared" ref="Z37:AA37" si="24">SUM(Z38:Z47)</f>
        <v>0</v>
      </c>
      <c r="AA37" s="158">
        <f t="shared" si="24"/>
        <v>0</v>
      </c>
      <c r="AB37" s="158">
        <f t="shared" si="5"/>
        <v>0</v>
      </c>
      <c r="AC37" s="158">
        <f t="shared" ref="AC37:AD37" si="25">SUM(AC38:AC47)</f>
        <v>2402008</v>
      </c>
      <c r="AD37" s="158">
        <f t="shared" si="25"/>
        <v>0</v>
      </c>
      <c r="AE37" s="158">
        <f t="shared" si="6"/>
        <v>-2402008</v>
      </c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6"/>
      <c r="DY37" s="156"/>
      <c r="DZ37" s="156"/>
      <c r="EA37" s="156"/>
      <c r="EB37" s="156"/>
      <c r="EC37" s="156"/>
      <c r="ED37" s="156"/>
      <c r="EE37" s="156"/>
      <c r="EF37" s="156"/>
      <c r="EG37" s="156"/>
      <c r="EH37" s="156"/>
      <c r="EI37" s="156"/>
      <c r="EJ37" s="156"/>
      <c r="EK37" s="156"/>
      <c r="EL37" s="156"/>
      <c r="EM37" s="156"/>
      <c r="EN37" s="156"/>
      <c r="EO37" s="156"/>
      <c r="EP37" s="156"/>
      <c r="EQ37" s="156"/>
      <c r="ER37" s="156"/>
      <c r="ES37" s="156"/>
      <c r="ET37" s="156"/>
      <c r="EU37" s="156"/>
      <c r="EV37" s="156"/>
      <c r="EW37" s="156"/>
      <c r="EX37" s="156"/>
      <c r="EY37" s="156"/>
      <c r="EZ37" s="156"/>
      <c r="FA37" s="156"/>
      <c r="FB37" s="156"/>
      <c r="FC37" s="156"/>
      <c r="FD37" s="156"/>
      <c r="FE37" s="156"/>
      <c r="FF37" s="156"/>
      <c r="FG37" s="156"/>
      <c r="FH37" s="156"/>
      <c r="FI37" s="156"/>
      <c r="FJ37" s="156"/>
      <c r="FK37" s="156"/>
      <c r="FL37" s="156"/>
      <c r="FM37" s="156"/>
      <c r="FN37" s="156"/>
      <c r="FO37" s="156"/>
      <c r="FP37" s="156"/>
      <c r="FQ37" s="156"/>
      <c r="FR37" s="156"/>
      <c r="FS37" s="156"/>
      <c r="FT37" s="156"/>
      <c r="FU37" s="156"/>
      <c r="FV37" s="156"/>
      <c r="FW37" s="156"/>
      <c r="FX37" s="156"/>
      <c r="FY37" s="156"/>
      <c r="FZ37" s="156"/>
      <c r="GA37" s="156"/>
      <c r="GB37" s="156"/>
      <c r="GC37" s="156"/>
      <c r="GD37" s="156"/>
      <c r="GE37" s="156"/>
      <c r="GF37" s="156"/>
      <c r="GG37" s="156"/>
      <c r="GH37" s="156"/>
      <c r="GI37" s="156"/>
      <c r="GJ37" s="156"/>
    </row>
    <row r="38" spans="1:192" s="159" customFormat="1" ht="31.5" x14ac:dyDescent="0.25">
      <c r="A38" s="173" t="s">
        <v>244</v>
      </c>
      <c r="B38" s="172"/>
      <c r="C38" s="172"/>
      <c r="D38" s="172"/>
      <c r="E38" s="170">
        <f t="shared" si="7"/>
        <v>1365800</v>
      </c>
      <c r="F38" s="170">
        <f t="shared" si="7"/>
        <v>0</v>
      </c>
      <c r="G38" s="170">
        <f t="shared" si="7"/>
        <v>-1365800</v>
      </c>
      <c r="H38" s="170">
        <v>0</v>
      </c>
      <c r="I38" s="170">
        <v>0</v>
      </c>
      <c r="J38" s="170">
        <f t="shared" si="8"/>
        <v>0</v>
      </c>
      <c r="K38" s="170">
        <v>0</v>
      </c>
      <c r="L38" s="170">
        <v>0</v>
      </c>
      <c r="M38" s="170">
        <f t="shared" si="0"/>
        <v>0</v>
      </c>
      <c r="N38" s="170"/>
      <c r="O38" s="170"/>
      <c r="P38" s="170">
        <f t="shared" si="1"/>
        <v>0</v>
      </c>
      <c r="Q38" s="170">
        <v>0</v>
      </c>
      <c r="R38" s="170">
        <v>0</v>
      </c>
      <c r="S38" s="170">
        <f t="shared" si="2"/>
        <v>0</v>
      </c>
      <c r="T38" s="170"/>
      <c r="U38" s="170"/>
      <c r="V38" s="170">
        <f t="shared" si="3"/>
        <v>0</v>
      </c>
      <c r="W38" s="170"/>
      <c r="X38" s="170"/>
      <c r="Y38" s="170">
        <f t="shared" si="4"/>
        <v>0</v>
      </c>
      <c r="Z38" s="170"/>
      <c r="AA38" s="170"/>
      <c r="AB38" s="170">
        <f t="shared" si="5"/>
        <v>0</v>
      </c>
      <c r="AC38" s="170">
        <v>1365800</v>
      </c>
      <c r="AD38" s="170"/>
      <c r="AE38" s="170">
        <f t="shared" si="6"/>
        <v>-1365800</v>
      </c>
    </row>
    <row r="39" spans="1:192" s="159" customFormat="1" ht="31.5" x14ac:dyDescent="0.25">
      <c r="A39" s="173" t="s">
        <v>245</v>
      </c>
      <c r="B39" s="172"/>
      <c r="C39" s="172"/>
      <c r="D39" s="172"/>
      <c r="E39" s="170">
        <f t="shared" si="7"/>
        <v>100000</v>
      </c>
      <c r="F39" s="170">
        <f t="shared" si="7"/>
        <v>0</v>
      </c>
      <c r="G39" s="170">
        <f t="shared" si="7"/>
        <v>-100000</v>
      </c>
      <c r="H39" s="170"/>
      <c r="I39" s="170"/>
      <c r="J39" s="170">
        <f t="shared" si="8"/>
        <v>0</v>
      </c>
      <c r="K39" s="170"/>
      <c r="L39" s="170"/>
      <c r="M39" s="170">
        <f t="shared" si="0"/>
        <v>0</v>
      </c>
      <c r="N39" s="170"/>
      <c r="O39" s="170"/>
      <c r="P39" s="170">
        <f t="shared" si="1"/>
        <v>0</v>
      </c>
      <c r="Q39" s="170"/>
      <c r="R39" s="170"/>
      <c r="S39" s="170">
        <f t="shared" si="2"/>
        <v>0</v>
      </c>
      <c r="T39" s="170"/>
      <c r="U39" s="170"/>
      <c r="V39" s="170">
        <f t="shared" si="3"/>
        <v>0</v>
      </c>
      <c r="W39" s="170"/>
      <c r="X39" s="170"/>
      <c r="Y39" s="170">
        <f t="shared" si="4"/>
        <v>0</v>
      </c>
      <c r="Z39" s="170"/>
      <c r="AA39" s="170"/>
      <c r="AB39" s="170">
        <f t="shared" si="5"/>
        <v>0</v>
      </c>
      <c r="AC39" s="170">
        <v>100000</v>
      </c>
      <c r="AD39" s="170"/>
      <c r="AE39" s="170">
        <f t="shared" si="6"/>
        <v>-100000</v>
      </c>
    </row>
    <row r="40" spans="1:192" s="159" customFormat="1" ht="78.75" x14ac:dyDescent="0.25">
      <c r="A40" s="173" t="s">
        <v>246</v>
      </c>
      <c r="B40" s="172">
        <v>1</v>
      </c>
      <c r="C40" s="172">
        <v>322</v>
      </c>
      <c r="D40" s="172">
        <v>5100</v>
      </c>
      <c r="E40" s="170">
        <f t="shared" si="7"/>
        <v>22720</v>
      </c>
      <c r="F40" s="170">
        <f t="shared" si="7"/>
        <v>22720</v>
      </c>
      <c r="G40" s="170">
        <f t="shared" si="7"/>
        <v>0</v>
      </c>
      <c r="H40" s="170"/>
      <c r="I40" s="170"/>
      <c r="J40" s="170">
        <f t="shared" si="8"/>
        <v>0</v>
      </c>
      <c r="K40" s="170"/>
      <c r="L40" s="170"/>
      <c r="M40" s="170">
        <f t="shared" si="0"/>
        <v>0</v>
      </c>
      <c r="N40" s="170">
        <f>4446+10074+5900+2000+300</f>
        <v>22720</v>
      </c>
      <c r="O40" s="170">
        <f>4446+10074+5900+2000+300</f>
        <v>22720</v>
      </c>
      <c r="P40" s="170">
        <f t="shared" si="1"/>
        <v>0</v>
      </c>
      <c r="Q40" s="170"/>
      <c r="R40" s="170"/>
      <c r="S40" s="170">
        <f t="shared" si="2"/>
        <v>0</v>
      </c>
      <c r="T40" s="170"/>
      <c r="U40" s="170"/>
      <c r="V40" s="170">
        <f t="shared" si="3"/>
        <v>0</v>
      </c>
      <c r="W40" s="170"/>
      <c r="X40" s="170"/>
      <c r="Y40" s="170">
        <f t="shared" si="4"/>
        <v>0</v>
      </c>
      <c r="Z40" s="170"/>
      <c r="AA40" s="170"/>
      <c r="AB40" s="170">
        <f t="shared" si="5"/>
        <v>0</v>
      </c>
      <c r="AC40" s="170"/>
      <c r="AD40" s="170"/>
      <c r="AE40" s="170">
        <f t="shared" si="6"/>
        <v>0</v>
      </c>
    </row>
    <row r="41" spans="1:192" s="159" customFormat="1" ht="31.5" x14ac:dyDescent="0.25">
      <c r="A41" s="173" t="s">
        <v>247</v>
      </c>
      <c r="B41" s="172">
        <v>3</v>
      </c>
      <c r="C41" s="172">
        <v>322</v>
      </c>
      <c r="D41" s="172">
        <v>5100</v>
      </c>
      <c r="E41" s="170">
        <f t="shared" si="7"/>
        <v>176654</v>
      </c>
      <c r="F41" s="170">
        <f t="shared" si="7"/>
        <v>176654</v>
      </c>
      <c r="G41" s="170">
        <f t="shared" si="7"/>
        <v>0</v>
      </c>
      <c r="H41" s="170">
        <f>42832+133822</f>
        <v>176654</v>
      </c>
      <c r="I41" s="170">
        <f>42832+133822</f>
        <v>176654</v>
      </c>
      <c r="J41" s="170">
        <f t="shared" si="8"/>
        <v>0</v>
      </c>
      <c r="K41" s="170"/>
      <c r="L41" s="170"/>
      <c r="M41" s="170">
        <f t="shared" si="0"/>
        <v>0</v>
      </c>
      <c r="N41" s="170">
        <f>187173-42832-144341</f>
        <v>0</v>
      </c>
      <c r="O41" s="170">
        <f>187173-42832-144341</f>
        <v>0</v>
      </c>
      <c r="P41" s="170">
        <f t="shared" si="1"/>
        <v>0</v>
      </c>
      <c r="Q41" s="170"/>
      <c r="R41" s="170"/>
      <c r="S41" s="170">
        <f t="shared" si="2"/>
        <v>0</v>
      </c>
      <c r="T41" s="170"/>
      <c r="U41" s="170"/>
      <c r="V41" s="170">
        <f t="shared" si="3"/>
        <v>0</v>
      </c>
      <c r="W41" s="170"/>
      <c r="X41" s="170"/>
      <c r="Y41" s="170">
        <f t="shared" si="4"/>
        <v>0</v>
      </c>
      <c r="Z41" s="170"/>
      <c r="AA41" s="170"/>
      <c r="AB41" s="170">
        <f t="shared" si="5"/>
        <v>0</v>
      </c>
      <c r="AC41" s="170"/>
      <c r="AD41" s="170"/>
      <c r="AE41" s="170">
        <f t="shared" si="6"/>
        <v>0</v>
      </c>
    </row>
    <row r="42" spans="1:192" s="159" customFormat="1" ht="47.25" x14ac:dyDescent="0.25">
      <c r="A42" s="173" t="s">
        <v>248</v>
      </c>
      <c r="B42" s="172">
        <v>3</v>
      </c>
      <c r="C42" s="172">
        <v>322</v>
      </c>
      <c r="D42" s="172">
        <v>5100</v>
      </c>
      <c r="E42" s="170">
        <f t="shared" si="7"/>
        <v>962096</v>
      </c>
      <c r="F42" s="170">
        <f t="shared" si="7"/>
        <v>17769</v>
      </c>
      <c r="G42" s="170">
        <f t="shared" si="7"/>
        <v>-944327</v>
      </c>
      <c r="H42" s="170">
        <v>15233</v>
      </c>
      <c r="I42" s="170">
        <v>15233</v>
      </c>
      <c r="J42" s="170">
        <f t="shared" si="8"/>
        <v>0</v>
      </c>
      <c r="K42" s="170"/>
      <c r="L42" s="170"/>
      <c r="M42" s="170">
        <f t="shared" si="0"/>
        <v>0</v>
      </c>
      <c r="N42" s="170">
        <v>10655</v>
      </c>
      <c r="O42" s="170">
        <f>10655-10655</f>
        <v>0</v>
      </c>
      <c r="P42" s="170">
        <f t="shared" si="1"/>
        <v>-10655</v>
      </c>
      <c r="Q42" s="170"/>
      <c r="R42" s="170"/>
      <c r="S42" s="170">
        <f t="shared" si="2"/>
        <v>0</v>
      </c>
      <c r="T42" s="170"/>
      <c r="U42" s="170"/>
      <c r="V42" s="170">
        <f t="shared" si="3"/>
        <v>0</v>
      </c>
      <c r="W42" s="170"/>
      <c r="X42" s="170">
        <f>2534+2</f>
        <v>2536</v>
      </c>
      <c r="Y42" s="170">
        <f t="shared" si="4"/>
        <v>2536</v>
      </c>
      <c r="Z42" s="170"/>
      <c r="AA42" s="170"/>
      <c r="AB42" s="170">
        <f t="shared" si="5"/>
        <v>0</v>
      </c>
      <c r="AC42" s="170">
        <v>936208</v>
      </c>
      <c r="AD42" s="170"/>
      <c r="AE42" s="170">
        <f t="shared" si="6"/>
        <v>-936208</v>
      </c>
    </row>
    <row r="43" spans="1:192" s="159" customFormat="1" ht="31.5" x14ac:dyDescent="0.25">
      <c r="A43" s="173" t="s">
        <v>249</v>
      </c>
      <c r="B43" s="172">
        <v>1</v>
      </c>
      <c r="C43" s="172">
        <v>322</v>
      </c>
      <c r="D43" s="172">
        <v>5100</v>
      </c>
      <c r="E43" s="170">
        <f t="shared" si="7"/>
        <v>116000</v>
      </c>
      <c r="F43" s="170">
        <f t="shared" si="7"/>
        <v>115142</v>
      </c>
      <c r="G43" s="170">
        <f t="shared" si="7"/>
        <v>-858</v>
      </c>
      <c r="H43" s="170"/>
      <c r="I43" s="170"/>
      <c r="J43" s="170">
        <f t="shared" si="8"/>
        <v>0</v>
      </c>
      <c r="K43" s="170"/>
      <c r="L43" s="170"/>
      <c r="M43" s="170">
        <f t="shared" si="0"/>
        <v>0</v>
      </c>
      <c r="N43" s="170"/>
      <c r="O43" s="170"/>
      <c r="P43" s="170">
        <f t="shared" si="1"/>
        <v>0</v>
      </c>
      <c r="Q43" s="170"/>
      <c r="R43" s="170"/>
      <c r="S43" s="170">
        <f t="shared" si="2"/>
        <v>0</v>
      </c>
      <c r="T43" s="170">
        <v>116000</v>
      </c>
      <c r="U43" s="170">
        <f>116000-858</f>
        <v>115142</v>
      </c>
      <c r="V43" s="170">
        <f t="shared" si="3"/>
        <v>-858</v>
      </c>
      <c r="W43" s="170"/>
      <c r="X43" s="170"/>
      <c r="Y43" s="170">
        <f t="shared" si="4"/>
        <v>0</v>
      </c>
      <c r="Z43" s="170"/>
      <c r="AA43" s="170"/>
      <c r="AB43" s="170">
        <f t="shared" si="5"/>
        <v>0</v>
      </c>
      <c r="AC43" s="170"/>
      <c r="AD43" s="170"/>
      <c r="AE43" s="170">
        <f t="shared" si="6"/>
        <v>0</v>
      </c>
    </row>
    <row r="44" spans="1:192" s="159" customFormat="1" ht="47.25" x14ac:dyDescent="0.25">
      <c r="A44" s="173" t="s">
        <v>250</v>
      </c>
      <c r="B44" s="172">
        <v>1</v>
      </c>
      <c r="C44" s="172">
        <v>322</v>
      </c>
      <c r="D44" s="172">
        <v>5100</v>
      </c>
      <c r="E44" s="170">
        <f t="shared" si="7"/>
        <v>105953</v>
      </c>
      <c r="F44" s="170">
        <f t="shared" si="7"/>
        <v>105953</v>
      </c>
      <c r="G44" s="170">
        <f t="shared" si="7"/>
        <v>0</v>
      </c>
      <c r="H44" s="170">
        <v>0</v>
      </c>
      <c r="I44" s="170">
        <v>0</v>
      </c>
      <c r="J44" s="170">
        <f t="shared" si="8"/>
        <v>0</v>
      </c>
      <c r="K44" s="170">
        <v>0</v>
      </c>
      <c r="L44" s="170">
        <v>0</v>
      </c>
      <c r="M44" s="170">
        <f t="shared" si="0"/>
        <v>0</v>
      </c>
      <c r="N44" s="170">
        <f>37850+68103</f>
        <v>105953</v>
      </c>
      <c r="O44" s="170">
        <f>37850+68103</f>
        <v>105953</v>
      </c>
      <c r="P44" s="170">
        <f t="shared" si="1"/>
        <v>0</v>
      </c>
      <c r="Q44" s="170">
        <v>0</v>
      </c>
      <c r="R44" s="170">
        <v>0</v>
      </c>
      <c r="S44" s="170">
        <f t="shared" si="2"/>
        <v>0</v>
      </c>
      <c r="T44" s="170"/>
      <c r="U44" s="170"/>
      <c r="V44" s="170">
        <f t="shared" si="3"/>
        <v>0</v>
      </c>
      <c r="W44" s="170"/>
      <c r="X44" s="170"/>
      <c r="Y44" s="170">
        <f t="shared" si="4"/>
        <v>0</v>
      </c>
      <c r="Z44" s="170"/>
      <c r="AA44" s="170"/>
      <c r="AB44" s="170">
        <f t="shared" si="5"/>
        <v>0</v>
      </c>
      <c r="AC44" s="170"/>
      <c r="AD44" s="170"/>
      <c r="AE44" s="170">
        <f t="shared" si="6"/>
        <v>0</v>
      </c>
    </row>
    <row r="45" spans="1:192" s="159" customFormat="1" ht="31.5" x14ac:dyDescent="0.25">
      <c r="A45" s="173" t="s">
        <v>251</v>
      </c>
      <c r="B45" s="172">
        <v>2</v>
      </c>
      <c r="C45" s="172">
        <v>311</v>
      </c>
      <c r="D45" s="172">
        <v>5100</v>
      </c>
      <c r="E45" s="170">
        <f t="shared" si="7"/>
        <v>63920</v>
      </c>
      <c r="F45" s="170">
        <f t="shared" si="7"/>
        <v>59920</v>
      </c>
      <c r="G45" s="170">
        <f t="shared" si="7"/>
        <v>-4000</v>
      </c>
      <c r="H45" s="170">
        <f>60000-80</f>
        <v>59920</v>
      </c>
      <c r="I45" s="170">
        <f>60000-80</f>
        <v>59920</v>
      </c>
      <c r="J45" s="170">
        <f t="shared" si="8"/>
        <v>0</v>
      </c>
      <c r="K45" s="170"/>
      <c r="L45" s="170"/>
      <c r="M45" s="170">
        <f t="shared" si="0"/>
        <v>0</v>
      </c>
      <c r="N45" s="170">
        <v>4000</v>
      </c>
      <c r="O45" s="170">
        <f>4000-4000</f>
        <v>0</v>
      </c>
      <c r="P45" s="170">
        <f t="shared" si="1"/>
        <v>-4000</v>
      </c>
      <c r="Q45" s="170"/>
      <c r="R45" s="170"/>
      <c r="S45" s="170">
        <f t="shared" si="2"/>
        <v>0</v>
      </c>
      <c r="T45" s="170"/>
      <c r="U45" s="170"/>
      <c r="V45" s="170">
        <f t="shared" si="3"/>
        <v>0</v>
      </c>
      <c r="W45" s="170"/>
      <c r="X45" s="170"/>
      <c r="Y45" s="170">
        <f t="shared" si="4"/>
        <v>0</v>
      </c>
      <c r="Z45" s="170"/>
      <c r="AA45" s="170"/>
      <c r="AB45" s="170">
        <f t="shared" si="5"/>
        <v>0</v>
      </c>
      <c r="AC45" s="170"/>
      <c r="AD45" s="170"/>
      <c r="AE45" s="170">
        <f t="shared" si="6"/>
        <v>0</v>
      </c>
    </row>
    <row r="46" spans="1:192" s="159" customFormat="1" x14ac:dyDescent="0.25">
      <c r="A46" s="173" t="s">
        <v>252</v>
      </c>
      <c r="B46" s="172">
        <v>1</v>
      </c>
      <c r="C46" s="172">
        <v>311</v>
      </c>
      <c r="D46" s="172">
        <v>5100</v>
      </c>
      <c r="E46" s="170">
        <f t="shared" si="7"/>
        <v>140000</v>
      </c>
      <c r="F46" s="170">
        <f t="shared" si="7"/>
        <v>140000</v>
      </c>
      <c r="G46" s="170">
        <f t="shared" si="7"/>
        <v>0</v>
      </c>
      <c r="H46" s="170">
        <f>140000-140000</f>
        <v>0</v>
      </c>
      <c r="I46" s="170">
        <f>140000-140000</f>
        <v>0</v>
      </c>
      <c r="J46" s="170">
        <f t="shared" si="8"/>
        <v>0</v>
      </c>
      <c r="K46" s="170"/>
      <c r="L46" s="170"/>
      <c r="M46" s="170">
        <f t="shared" si="0"/>
        <v>0</v>
      </c>
      <c r="N46" s="170"/>
      <c r="O46" s="170"/>
      <c r="P46" s="170">
        <f t="shared" si="1"/>
        <v>0</v>
      </c>
      <c r="Q46" s="170"/>
      <c r="R46" s="170"/>
      <c r="S46" s="170">
        <f t="shared" si="2"/>
        <v>0</v>
      </c>
      <c r="T46" s="170">
        <v>140000</v>
      </c>
      <c r="U46" s="170">
        <v>140000</v>
      </c>
      <c r="V46" s="170">
        <f t="shared" si="3"/>
        <v>0</v>
      </c>
      <c r="W46" s="170"/>
      <c r="X46" s="170"/>
      <c r="Y46" s="170">
        <f t="shared" si="4"/>
        <v>0</v>
      </c>
      <c r="Z46" s="170"/>
      <c r="AA46" s="170"/>
      <c r="AB46" s="170">
        <f t="shared" si="5"/>
        <v>0</v>
      </c>
      <c r="AC46" s="170"/>
      <c r="AD46" s="170"/>
      <c r="AE46" s="170">
        <f t="shared" si="6"/>
        <v>0</v>
      </c>
    </row>
    <row r="47" spans="1:192" s="159" customFormat="1" ht="31.5" x14ac:dyDescent="0.25">
      <c r="A47" s="173" t="s">
        <v>253</v>
      </c>
      <c r="B47" s="172">
        <v>2</v>
      </c>
      <c r="C47" s="172">
        <v>311</v>
      </c>
      <c r="D47" s="172">
        <v>5100</v>
      </c>
      <c r="E47" s="170">
        <f t="shared" si="7"/>
        <v>19598</v>
      </c>
      <c r="F47" s="170">
        <f t="shared" si="7"/>
        <v>19598</v>
      </c>
      <c r="G47" s="170">
        <f t="shared" si="7"/>
        <v>0</v>
      </c>
      <c r="H47" s="170">
        <f>20000-402</f>
        <v>19598</v>
      </c>
      <c r="I47" s="170">
        <f>20000-402</f>
        <v>19598</v>
      </c>
      <c r="J47" s="170">
        <f t="shared" si="8"/>
        <v>0</v>
      </c>
      <c r="K47" s="170"/>
      <c r="L47" s="170"/>
      <c r="M47" s="170">
        <f t="shared" si="0"/>
        <v>0</v>
      </c>
      <c r="N47" s="170"/>
      <c r="O47" s="170"/>
      <c r="P47" s="170">
        <f t="shared" si="1"/>
        <v>0</v>
      </c>
      <c r="Q47" s="170"/>
      <c r="R47" s="170"/>
      <c r="S47" s="170">
        <f t="shared" si="2"/>
        <v>0</v>
      </c>
      <c r="T47" s="170"/>
      <c r="U47" s="170"/>
      <c r="V47" s="170">
        <f t="shared" si="3"/>
        <v>0</v>
      </c>
      <c r="W47" s="170"/>
      <c r="X47" s="170"/>
      <c r="Y47" s="170">
        <f t="shared" si="4"/>
        <v>0</v>
      </c>
      <c r="Z47" s="170"/>
      <c r="AA47" s="170"/>
      <c r="AB47" s="170">
        <f t="shared" si="5"/>
        <v>0</v>
      </c>
      <c r="AC47" s="170"/>
      <c r="AD47" s="170"/>
      <c r="AE47" s="170">
        <f t="shared" si="6"/>
        <v>0</v>
      </c>
    </row>
    <row r="48" spans="1:192" s="159" customFormat="1" x14ac:dyDescent="0.25">
      <c r="A48" s="157" t="s">
        <v>254</v>
      </c>
      <c r="B48" s="166"/>
      <c r="C48" s="166"/>
      <c r="D48" s="172">
        <v>5100</v>
      </c>
      <c r="E48" s="158">
        <f t="shared" si="7"/>
        <v>474691</v>
      </c>
      <c r="F48" s="158">
        <f t="shared" si="7"/>
        <v>204691</v>
      </c>
      <c r="G48" s="158">
        <f t="shared" si="7"/>
        <v>-270000</v>
      </c>
      <c r="H48" s="158">
        <f t="shared" ref="H48:AD48" si="26">SUM(H49)</f>
        <v>0</v>
      </c>
      <c r="I48" s="158">
        <f t="shared" si="26"/>
        <v>0</v>
      </c>
      <c r="J48" s="158">
        <f t="shared" si="8"/>
        <v>0</v>
      </c>
      <c r="K48" s="158">
        <f t="shared" si="26"/>
        <v>0</v>
      </c>
      <c r="L48" s="158">
        <f t="shared" si="26"/>
        <v>0</v>
      </c>
      <c r="M48" s="158">
        <f t="shared" si="0"/>
        <v>0</v>
      </c>
      <c r="N48" s="158">
        <f t="shared" si="26"/>
        <v>0</v>
      </c>
      <c r="O48" s="158">
        <f t="shared" si="26"/>
        <v>0</v>
      </c>
      <c r="P48" s="158">
        <f t="shared" si="1"/>
        <v>0</v>
      </c>
      <c r="Q48" s="158">
        <f t="shared" si="26"/>
        <v>0</v>
      </c>
      <c r="R48" s="158">
        <f t="shared" si="26"/>
        <v>0</v>
      </c>
      <c r="S48" s="158">
        <f t="shared" si="2"/>
        <v>0</v>
      </c>
      <c r="T48" s="158">
        <f t="shared" si="26"/>
        <v>204691</v>
      </c>
      <c r="U48" s="158">
        <f t="shared" si="26"/>
        <v>204691</v>
      </c>
      <c r="V48" s="158">
        <f t="shared" si="3"/>
        <v>0</v>
      </c>
      <c r="W48" s="158">
        <f t="shared" si="26"/>
        <v>0</v>
      </c>
      <c r="X48" s="158">
        <f t="shared" si="26"/>
        <v>0</v>
      </c>
      <c r="Y48" s="158">
        <f t="shared" si="4"/>
        <v>0</v>
      </c>
      <c r="Z48" s="158">
        <f t="shared" si="26"/>
        <v>0</v>
      </c>
      <c r="AA48" s="158">
        <f t="shared" si="26"/>
        <v>0</v>
      </c>
      <c r="AB48" s="158">
        <f t="shared" si="5"/>
        <v>0</v>
      </c>
      <c r="AC48" s="158">
        <f t="shared" si="26"/>
        <v>270000</v>
      </c>
      <c r="AD48" s="158">
        <f t="shared" si="26"/>
        <v>0</v>
      </c>
      <c r="AE48" s="158">
        <f t="shared" si="6"/>
        <v>-270000</v>
      </c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156"/>
      <c r="AV48" s="156"/>
      <c r="AW48" s="156"/>
      <c r="AX48" s="156"/>
      <c r="AY48" s="156"/>
      <c r="AZ48" s="156"/>
      <c r="BA48" s="156"/>
      <c r="BB48" s="156"/>
      <c r="BC48" s="156"/>
      <c r="BD48" s="156"/>
      <c r="BE48" s="156"/>
      <c r="BF48" s="156"/>
      <c r="BG48" s="156"/>
      <c r="BH48" s="156"/>
      <c r="BI48" s="156"/>
      <c r="BJ48" s="156"/>
      <c r="BK48" s="156"/>
      <c r="BL48" s="156"/>
      <c r="BM48" s="156"/>
      <c r="BN48" s="156"/>
      <c r="BO48" s="156"/>
      <c r="BP48" s="156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156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  <c r="CL48" s="156"/>
      <c r="CM48" s="156"/>
      <c r="CN48" s="156"/>
      <c r="CO48" s="156"/>
      <c r="CP48" s="156"/>
      <c r="CQ48" s="156"/>
      <c r="CR48" s="156"/>
      <c r="CS48" s="156"/>
      <c r="CT48" s="156"/>
      <c r="CU48" s="156"/>
      <c r="CV48" s="156"/>
      <c r="CW48" s="156"/>
      <c r="CX48" s="156"/>
      <c r="CY48" s="156"/>
      <c r="CZ48" s="156"/>
      <c r="DA48" s="156"/>
      <c r="DB48" s="156"/>
      <c r="DC48" s="156"/>
      <c r="DD48" s="156"/>
      <c r="DE48" s="156"/>
      <c r="DF48" s="156"/>
      <c r="DG48" s="156"/>
      <c r="DH48" s="156"/>
      <c r="DI48" s="156"/>
      <c r="DJ48" s="156"/>
      <c r="DK48" s="156"/>
      <c r="DL48" s="156"/>
      <c r="DM48" s="156"/>
      <c r="DN48" s="156"/>
      <c r="DO48" s="156"/>
      <c r="DP48" s="156"/>
      <c r="DQ48" s="156"/>
      <c r="DR48" s="156"/>
      <c r="DS48" s="156"/>
      <c r="DT48" s="156"/>
      <c r="DU48" s="156"/>
      <c r="DV48" s="156"/>
      <c r="DW48" s="156"/>
      <c r="DX48" s="156"/>
      <c r="DY48" s="156"/>
      <c r="DZ48" s="156"/>
      <c r="EA48" s="156"/>
      <c r="EB48" s="156"/>
      <c r="EC48" s="156"/>
      <c r="ED48" s="156"/>
      <c r="EE48" s="156"/>
      <c r="EF48" s="156"/>
      <c r="EG48" s="156"/>
      <c r="EH48" s="156"/>
      <c r="EI48" s="156"/>
      <c r="EJ48" s="156"/>
      <c r="EK48" s="156"/>
      <c r="EL48" s="156"/>
      <c r="EM48" s="156"/>
      <c r="EN48" s="156"/>
      <c r="EO48" s="156"/>
      <c r="EP48" s="156"/>
      <c r="EQ48" s="156"/>
      <c r="ER48" s="156"/>
      <c r="ES48" s="156"/>
      <c r="ET48" s="156"/>
      <c r="EU48" s="156"/>
      <c r="EV48" s="156"/>
      <c r="EW48" s="156"/>
      <c r="EX48" s="156"/>
      <c r="EY48" s="156"/>
      <c r="EZ48" s="156"/>
      <c r="FA48" s="156"/>
      <c r="FB48" s="156"/>
      <c r="FC48" s="156"/>
      <c r="FD48" s="156"/>
      <c r="FE48" s="156"/>
      <c r="FF48" s="156"/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6"/>
      <c r="FS48" s="156"/>
      <c r="FT48" s="156"/>
      <c r="FU48" s="156"/>
      <c r="FV48" s="156"/>
      <c r="FW48" s="156"/>
      <c r="FX48" s="156"/>
      <c r="FY48" s="156"/>
      <c r="FZ48" s="156"/>
      <c r="GA48" s="156"/>
      <c r="GB48" s="156"/>
      <c r="GC48" s="156"/>
      <c r="GD48" s="156"/>
      <c r="GE48" s="156"/>
      <c r="GF48" s="156"/>
      <c r="GG48" s="156"/>
      <c r="GH48" s="156"/>
      <c r="GI48" s="156"/>
      <c r="GJ48" s="156"/>
    </row>
    <row r="49" spans="1:192" s="156" customFormat="1" x14ac:dyDescent="0.25">
      <c r="A49" s="157" t="s">
        <v>218</v>
      </c>
      <c r="B49" s="166"/>
      <c r="C49" s="166"/>
      <c r="D49" s="172">
        <v>5100</v>
      </c>
      <c r="E49" s="158">
        <f t="shared" si="7"/>
        <v>474691</v>
      </c>
      <c r="F49" s="158">
        <f t="shared" si="7"/>
        <v>204691</v>
      </c>
      <c r="G49" s="158">
        <f t="shared" si="7"/>
        <v>-270000</v>
      </c>
      <c r="H49" s="158">
        <f>SUM(H50:H52)</f>
        <v>0</v>
      </c>
      <c r="I49" s="158">
        <f>SUM(I50:I52)</f>
        <v>0</v>
      </c>
      <c r="J49" s="158">
        <f t="shared" si="8"/>
        <v>0</v>
      </c>
      <c r="K49" s="158">
        <f t="shared" ref="K49:L49" si="27">SUM(K50:K52)</f>
        <v>0</v>
      </c>
      <c r="L49" s="158">
        <f t="shared" si="27"/>
        <v>0</v>
      </c>
      <c r="M49" s="158">
        <f t="shared" si="0"/>
        <v>0</v>
      </c>
      <c r="N49" s="158">
        <f t="shared" ref="N49:O49" si="28">SUM(N50:N52)</f>
        <v>0</v>
      </c>
      <c r="O49" s="158">
        <f t="shared" si="28"/>
        <v>0</v>
      </c>
      <c r="P49" s="158">
        <f t="shared" si="1"/>
        <v>0</v>
      </c>
      <c r="Q49" s="158">
        <f t="shared" ref="Q49:R49" si="29">SUM(Q50:Q52)</f>
        <v>0</v>
      </c>
      <c r="R49" s="158">
        <f t="shared" si="29"/>
        <v>0</v>
      </c>
      <c r="S49" s="158">
        <f t="shared" si="2"/>
        <v>0</v>
      </c>
      <c r="T49" s="158">
        <f t="shared" ref="T49:U49" si="30">SUM(T50:T52)</f>
        <v>204691</v>
      </c>
      <c r="U49" s="158">
        <f t="shared" si="30"/>
        <v>204691</v>
      </c>
      <c r="V49" s="158">
        <f t="shared" si="3"/>
        <v>0</v>
      </c>
      <c r="W49" s="158">
        <f t="shared" ref="W49:X49" si="31">SUM(W50:W52)</f>
        <v>0</v>
      </c>
      <c r="X49" s="158">
        <f t="shared" si="31"/>
        <v>0</v>
      </c>
      <c r="Y49" s="158">
        <f t="shared" si="4"/>
        <v>0</v>
      </c>
      <c r="Z49" s="158">
        <f t="shared" ref="Z49:AA49" si="32">SUM(Z50:Z52)</f>
        <v>0</v>
      </c>
      <c r="AA49" s="158">
        <f t="shared" si="32"/>
        <v>0</v>
      </c>
      <c r="AB49" s="158">
        <f t="shared" si="5"/>
        <v>0</v>
      </c>
      <c r="AC49" s="158">
        <f t="shared" ref="AC49:AD49" si="33">SUM(AC50:AC52)</f>
        <v>270000</v>
      </c>
      <c r="AD49" s="158">
        <f t="shared" si="33"/>
        <v>0</v>
      </c>
      <c r="AE49" s="158">
        <f t="shared" si="6"/>
        <v>-270000</v>
      </c>
    </row>
    <row r="50" spans="1:192" s="159" customFormat="1" x14ac:dyDescent="0.25">
      <c r="A50" s="167" t="s">
        <v>255</v>
      </c>
      <c r="B50" s="172">
        <v>1</v>
      </c>
      <c r="C50" s="172">
        <v>469</v>
      </c>
      <c r="D50" s="172">
        <v>5100</v>
      </c>
      <c r="E50" s="170">
        <f t="shared" si="7"/>
        <v>350000</v>
      </c>
      <c r="F50" s="170">
        <f t="shared" si="7"/>
        <v>80000</v>
      </c>
      <c r="G50" s="170">
        <f t="shared" si="7"/>
        <v>-270000</v>
      </c>
      <c r="H50" s="170"/>
      <c r="I50" s="170"/>
      <c r="J50" s="170">
        <f t="shared" si="8"/>
        <v>0</v>
      </c>
      <c r="K50" s="170"/>
      <c r="L50" s="170"/>
      <c r="M50" s="170">
        <f t="shared" si="0"/>
        <v>0</v>
      </c>
      <c r="N50" s="170"/>
      <c r="O50" s="170"/>
      <c r="P50" s="170">
        <f t="shared" si="1"/>
        <v>0</v>
      </c>
      <c r="Q50" s="170"/>
      <c r="R50" s="170"/>
      <c r="S50" s="170">
        <f t="shared" si="2"/>
        <v>0</v>
      </c>
      <c r="T50" s="170">
        <v>80000</v>
      </c>
      <c r="U50" s="170">
        <v>80000</v>
      </c>
      <c r="V50" s="170">
        <f t="shared" si="3"/>
        <v>0</v>
      </c>
      <c r="W50" s="170"/>
      <c r="X50" s="170"/>
      <c r="Y50" s="170">
        <f t="shared" si="4"/>
        <v>0</v>
      </c>
      <c r="Z50" s="170"/>
      <c r="AA50" s="170"/>
      <c r="AB50" s="170">
        <f t="shared" si="5"/>
        <v>0</v>
      </c>
      <c r="AC50" s="170">
        <v>270000</v>
      </c>
      <c r="AD50" s="170"/>
      <c r="AE50" s="170">
        <f t="shared" si="6"/>
        <v>-270000</v>
      </c>
    </row>
    <row r="51" spans="1:192" s="159" customFormat="1" ht="31.5" x14ac:dyDescent="0.25">
      <c r="A51" s="167" t="s">
        <v>256</v>
      </c>
      <c r="B51" s="172">
        <v>1</v>
      </c>
      <c r="C51" s="172">
        <v>431</v>
      </c>
      <c r="D51" s="172">
        <v>5100</v>
      </c>
      <c r="E51" s="170">
        <f t="shared" si="7"/>
        <v>122950</v>
      </c>
      <c r="F51" s="170">
        <f t="shared" si="7"/>
        <v>122950</v>
      </c>
      <c r="G51" s="170">
        <f t="shared" si="7"/>
        <v>0</v>
      </c>
      <c r="H51" s="170"/>
      <c r="I51" s="170"/>
      <c r="J51" s="170">
        <f t="shared" si="8"/>
        <v>0</v>
      </c>
      <c r="K51" s="170"/>
      <c r="L51" s="170"/>
      <c r="M51" s="170">
        <f t="shared" si="0"/>
        <v>0</v>
      </c>
      <c r="N51" s="170"/>
      <c r="O51" s="170"/>
      <c r="P51" s="170">
        <f t="shared" si="1"/>
        <v>0</v>
      </c>
      <c r="Q51" s="170"/>
      <c r="R51" s="170"/>
      <c r="S51" s="170">
        <f t="shared" si="2"/>
        <v>0</v>
      </c>
      <c r="T51" s="170">
        <f>95431+528+23969+3022</f>
        <v>122950</v>
      </c>
      <c r="U51" s="170">
        <f>95431+528+23969+3022</f>
        <v>122950</v>
      </c>
      <c r="V51" s="170">
        <f t="shared" si="3"/>
        <v>0</v>
      </c>
      <c r="W51" s="170"/>
      <c r="X51" s="170"/>
      <c r="Y51" s="170">
        <f t="shared" si="4"/>
        <v>0</v>
      </c>
      <c r="Z51" s="170"/>
      <c r="AA51" s="170"/>
      <c r="AB51" s="170">
        <f t="shared" si="5"/>
        <v>0</v>
      </c>
      <c r="AC51" s="170"/>
      <c r="AD51" s="170"/>
      <c r="AE51" s="170">
        <f t="shared" si="6"/>
        <v>0</v>
      </c>
    </row>
    <row r="52" spans="1:192" s="159" customFormat="1" ht="31.5" x14ac:dyDescent="0.25">
      <c r="A52" s="167" t="s">
        <v>257</v>
      </c>
      <c r="B52" s="172">
        <v>1</v>
      </c>
      <c r="C52" s="172">
        <v>431</v>
      </c>
      <c r="D52" s="172">
        <v>5100</v>
      </c>
      <c r="E52" s="170">
        <f t="shared" si="7"/>
        <v>1741</v>
      </c>
      <c r="F52" s="170">
        <f t="shared" si="7"/>
        <v>1741</v>
      </c>
      <c r="G52" s="170">
        <f t="shared" si="7"/>
        <v>0</v>
      </c>
      <c r="H52" s="170"/>
      <c r="I52" s="170"/>
      <c r="J52" s="170">
        <f t="shared" si="8"/>
        <v>0</v>
      </c>
      <c r="K52" s="170"/>
      <c r="L52" s="170"/>
      <c r="M52" s="170">
        <f t="shared" si="0"/>
        <v>0</v>
      </c>
      <c r="N52" s="170"/>
      <c r="O52" s="170"/>
      <c r="P52" s="170">
        <f t="shared" si="1"/>
        <v>0</v>
      </c>
      <c r="Q52" s="170"/>
      <c r="R52" s="170"/>
      <c r="S52" s="170">
        <f t="shared" si="2"/>
        <v>0</v>
      </c>
      <c r="T52" s="170">
        <v>1741</v>
      </c>
      <c r="U52" s="170">
        <v>1741</v>
      </c>
      <c r="V52" s="170">
        <f t="shared" si="3"/>
        <v>0</v>
      </c>
      <c r="W52" s="170"/>
      <c r="X52" s="170"/>
      <c r="Y52" s="170">
        <f t="shared" si="4"/>
        <v>0</v>
      </c>
      <c r="Z52" s="170"/>
      <c r="AA52" s="170"/>
      <c r="AB52" s="170">
        <f t="shared" si="5"/>
        <v>0</v>
      </c>
      <c r="AC52" s="170"/>
      <c r="AD52" s="170"/>
      <c r="AE52" s="170">
        <f t="shared" si="6"/>
        <v>0</v>
      </c>
    </row>
    <row r="53" spans="1:192" s="159" customFormat="1" x14ac:dyDescent="0.25">
      <c r="A53" s="157" t="s">
        <v>258</v>
      </c>
      <c r="B53" s="166"/>
      <c r="C53" s="166"/>
      <c r="D53" s="172">
        <v>5100</v>
      </c>
      <c r="E53" s="158">
        <f t="shared" si="7"/>
        <v>683785</v>
      </c>
      <c r="F53" s="158">
        <f t="shared" si="7"/>
        <v>99343</v>
      </c>
      <c r="G53" s="158">
        <f t="shared" si="7"/>
        <v>-584442</v>
      </c>
      <c r="H53" s="158">
        <f t="shared" ref="H53:AD53" si="34">SUM(H54)</f>
        <v>0</v>
      </c>
      <c r="I53" s="158">
        <f t="shared" si="34"/>
        <v>0</v>
      </c>
      <c r="J53" s="158">
        <f t="shared" si="8"/>
        <v>0</v>
      </c>
      <c r="K53" s="158">
        <f t="shared" si="34"/>
        <v>5468</v>
      </c>
      <c r="L53" s="158">
        <f t="shared" si="34"/>
        <v>5468</v>
      </c>
      <c r="M53" s="158">
        <f t="shared" si="0"/>
        <v>0</v>
      </c>
      <c r="N53" s="158">
        <f t="shared" si="34"/>
        <v>56315</v>
      </c>
      <c r="O53" s="158">
        <f t="shared" si="34"/>
        <v>52620</v>
      </c>
      <c r="P53" s="158">
        <f t="shared" si="1"/>
        <v>-3695</v>
      </c>
      <c r="Q53" s="158">
        <f t="shared" si="34"/>
        <v>580747</v>
      </c>
      <c r="R53" s="158">
        <f t="shared" si="34"/>
        <v>0</v>
      </c>
      <c r="S53" s="158">
        <f t="shared" si="2"/>
        <v>-580747</v>
      </c>
      <c r="T53" s="158">
        <f t="shared" si="34"/>
        <v>16301</v>
      </c>
      <c r="U53" s="158">
        <f t="shared" si="34"/>
        <v>16301</v>
      </c>
      <c r="V53" s="158">
        <f t="shared" si="3"/>
        <v>0</v>
      </c>
      <c r="W53" s="158">
        <f t="shared" si="34"/>
        <v>0</v>
      </c>
      <c r="X53" s="158">
        <f t="shared" si="34"/>
        <v>0</v>
      </c>
      <c r="Y53" s="158">
        <f t="shared" si="4"/>
        <v>0</v>
      </c>
      <c r="Z53" s="158">
        <f t="shared" si="34"/>
        <v>24954</v>
      </c>
      <c r="AA53" s="158">
        <f t="shared" si="34"/>
        <v>24954</v>
      </c>
      <c r="AB53" s="158">
        <f t="shared" si="5"/>
        <v>0</v>
      </c>
      <c r="AC53" s="158">
        <f t="shared" si="34"/>
        <v>0</v>
      </c>
      <c r="AD53" s="158">
        <f t="shared" si="34"/>
        <v>0</v>
      </c>
      <c r="AE53" s="158">
        <f t="shared" si="6"/>
        <v>0</v>
      </c>
    </row>
    <row r="54" spans="1:192" s="159" customFormat="1" x14ac:dyDescent="0.25">
      <c r="A54" s="157" t="s">
        <v>218</v>
      </c>
      <c r="B54" s="166"/>
      <c r="C54" s="166"/>
      <c r="D54" s="172">
        <v>5100</v>
      </c>
      <c r="E54" s="158">
        <f t="shared" si="7"/>
        <v>683785</v>
      </c>
      <c r="F54" s="158">
        <f t="shared" si="7"/>
        <v>99343</v>
      </c>
      <c r="G54" s="158">
        <f t="shared" si="7"/>
        <v>-584442</v>
      </c>
      <c r="H54" s="158">
        <f>SUM(H55:H64)</f>
        <v>0</v>
      </c>
      <c r="I54" s="158">
        <f>SUM(I55:I64)</f>
        <v>0</v>
      </c>
      <c r="J54" s="158">
        <f t="shared" si="8"/>
        <v>0</v>
      </c>
      <c r="K54" s="158">
        <f t="shared" ref="K54:L54" si="35">SUM(K55:K64)</f>
        <v>5468</v>
      </c>
      <c r="L54" s="158">
        <f t="shared" si="35"/>
        <v>5468</v>
      </c>
      <c r="M54" s="158">
        <f t="shared" si="0"/>
        <v>0</v>
      </c>
      <c r="N54" s="158">
        <f t="shared" ref="N54:O54" si="36">SUM(N55:N64)</f>
        <v>56315</v>
      </c>
      <c r="O54" s="158">
        <f t="shared" si="36"/>
        <v>52620</v>
      </c>
      <c r="P54" s="158">
        <f t="shared" si="1"/>
        <v>-3695</v>
      </c>
      <c r="Q54" s="158">
        <f t="shared" ref="Q54:R54" si="37">SUM(Q55:Q64)</f>
        <v>580747</v>
      </c>
      <c r="R54" s="158">
        <f t="shared" si="37"/>
        <v>0</v>
      </c>
      <c r="S54" s="158">
        <f t="shared" si="2"/>
        <v>-580747</v>
      </c>
      <c r="T54" s="158">
        <f t="shared" ref="T54:U54" si="38">SUM(T55:T64)</f>
        <v>16301</v>
      </c>
      <c r="U54" s="158">
        <f t="shared" si="38"/>
        <v>16301</v>
      </c>
      <c r="V54" s="158">
        <f t="shared" si="3"/>
        <v>0</v>
      </c>
      <c r="W54" s="158">
        <f t="shared" ref="W54:X54" si="39">SUM(W55:W64)</f>
        <v>0</v>
      </c>
      <c r="X54" s="158">
        <f t="shared" si="39"/>
        <v>0</v>
      </c>
      <c r="Y54" s="158">
        <f t="shared" si="4"/>
        <v>0</v>
      </c>
      <c r="Z54" s="158">
        <f t="shared" ref="Z54:AA54" si="40">SUM(Z55:Z64)</f>
        <v>24954</v>
      </c>
      <c r="AA54" s="158">
        <f t="shared" si="40"/>
        <v>24954</v>
      </c>
      <c r="AB54" s="158">
        <f t="shared" si="5"/>
        <v>0</v>
      </c>
      <c r="AC54" s="158">
        <f t="shared" ref="AC54:AD54" si="41">SUM(AC55:AC64)</f>
        <v>0</v>
      </c>
      <c r="AD54" s="158">
        <f t="shared" si="41"/>
        <v>0</v>
      </c>
      <c r="AE54" s="158">
        <f t="shared" si="6"/>
        <v>0</v>
      </c>
    </row>
    <row r="55" spans="1:192" s="156" customFormat="1" ht="110.25" x14ac:dyDescent="0.25">
      <c r="A55" s="171" t="s">
        <v>259</v>
      </c>
      <c r="B55" s="172"/>
      <c r="C55" s="172"/>
      <c r="D55" s="172"/>
      <c r="E55" s="174">
        <f t="shared" si="7"/>
        <v>130000</v>
      </c>
      <c r="F55" s="174">
        <f t="shared" si="7"/>
        <v>0</v>
      </c>
      <c r="G55" s="174">
        <f t="shared" si="7"/>
        <v>-130000</v>
      </c>
      <c r="H55" s="174"/>
      <c r="I55" s="174"/>
      <c r="J55" s="174">
        <f t="shared" si="8"/>
        <v>0</v>
      </c>
      <c r="K55" s="174"/>
      <c r="L55" s="174"/>
      <c r="M55" s="174">
        <f t="shared" si="0"/>
        <v>0</v>
      </c>
      <c r="N55" s="174"/>
      <c r="O55" s="174"/>
      <c r="P55" s="174">
        <f t="shared" si="1"/>
        <v>0</v>
      </c>
      <c r="Q55" s="174">
        <f>130000</f>
        <v>130000</v>
      </c>
      <c r="R55" s="174">
        <v>0</v>
      </c>
      <c r="S55" s="174">
        <f t="shared" si="2"/>
        <v>-130000</v>
      </c>
      <c r="T55" s="174"/>
      <c r="U55" s="174"/>
      <c r="V55" s="174">
        <f t="shared" si="3"/>
        <v>0</v>
      </c>
      <c r="W55" s="174"/>
      <c r="X55" s="174"/>
      <c r="Y55" s="174">
        <f t="shared" si="4"/>
        <v>0</v>
      </c>
      <c r="Z55" s="174"/>
      <c r="AA55" s="174"/>
      <c r="AB55" s="174">
        <f t="shared" si="5"/>
        <v>0</v>
      </c>
      <c r="AC55" s="174"/>
      <c r="AD55" s="174"/>
      <c r="AE55" s="174">
        <f t="shared" si="6"/>
        <v>0</v>
      </c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  <c r="CX55" s="159"/>
      <c r="CY55" s="159"/>
      <c r="CZ55" s="159"/>
      <c r="DA55" s="159"/>
      <c r="DB55" s="159"/>
      <c r="DC55" s="159"/>
      <c r="DD55" s="159"/>
      <c r="DE55" s="159"/>
      <c r="DF55" s="159"/>
      <c r="DG55" s="159"/>
      <c r="DH55" s="159"/>
      <c r="DI55" s="159"/>
      <c r="DJ55" s="159"/>
      <c r="DK55" s="159"/>
      <c r="DL55" s="159"/>
      <c r="DM55" s="159"/>
      <c r="DN55" s="159"/>
      <c r="DO55" s="159"/>
      <c r="DP55" s="159"/>
      <c r="DQ55" s="159"/>
      <c r="DR55" s="159"/>
      <c r="DS55" s="159"/>
      <c r="DT55" s="159"/>
      <c r="DU55" s="159"/>
      <c r="DV55" s="159"/>
      <c r="DW55" s="159"/>
      <c r="DX55" s="159"/>
      <c r="DY55" s="159"/>
      <c r="DZ55" s="159"/>
      <c r="EA55" s="159"/>
      <c r="EB55" s="159"/>
      <c r="EC55" s="159"/>
      <c r="ED55" s="159"/>
      <c r="EE55" s="159"/>
      <c r="EF55" s="159"/>
      <c r="EG55" s="159"/>
      <c r="EH55" s="159"/>
      <c r="EI55" s="159"/>
      <c r="EJ55" s="159"/>
      <c r="EK55" s="159"/>
      <c r="EL55" s="159"/>
      <c r="EM55" s="159"/>
      <c r="EN55" s="159"/>
      <c r="EO55" s="159"/>
      <c r="EP55" s="159"/>
      <c r="EQ55" s="159"/>
      <c r="ER55" s="159"/>
      <c r="ES55" s="159"/>
      <c r="ET55" s="159"/>
      <c r="EU55" s="159"/>
      <c r="EV55" s="159"/>
      <c r="EW55" s="159"/>
      <c r="EX55" s="159"/>
      <c r="EY55" s="159"/>
      <c r="EZ55" s="159"/>
      <c r="FA55" s="159"/>
      <c r="FB55" s="159"/>
      <c r="FC55" s="159"/>
      <c r="FD55" s="159"/>
      <c r="FE55" s="159"/>
      <c r="FF55" s="159"/>
      <c r="FG55" s="159"/>
      <c r="FH55" s="159"/>
      <c r="FI55" s="159"/>
      <c r="FJ55" s="159"/>
      <c r="FK55" s="159"/>
      <c r="FL55" s="159"/>
      <c r="FM55" s="159"/>
      <c r="FN55" s="159"/>
      <c r="FO55" s="159"/>
      <c r="FP55" s="159"/>
      <c r="FQ55" s="159"/>
      <c r="FR55" s="159"/>
      <c r="FS55" s="159"/>
      <c r="FT55" s="159"/>
      <c r="FU55" s="159"/>
      <c r="FV55" s="159"/>
      <c r="FW55" s="159"/>
      <c r="FX55" s="159"/>
      <c r="FY55" s="159"/>
      <c r="FZ55" s="159"/>
      <c r="GA55" s="159"/>
      <c r="GB55" s="159"/>
      <c r="GC55" s="159"/>
      <c r="GD55" s="159"/>
      <c r="GE55" s="159"/>
      <c r="GF55" s="159"/>
      <c r="GG55" s="159"/>
      <c r="GH55" s="159"/>
      <c r="GI55" s="159"/>
      <c r="GJ55" s="159"/>
    </row>
    <row r="56" spans="1:192" s="159" customFormat="1" ht="63" x14ac:dyDescent="0.25">
      <c r="A56" s="171" t="s">
        <v>260</v>
      </c>
      <c r="B56" s="162"/>
      <c r="C56" s="162"/>
      <c r="D56" s="162"/>
      <c r="E56" s="163">
        <f t="shared" si="7"/>
        <v>53191</v>
      </c>
      <c r="F56" s="163">
        <f t="shared" si="7"/>
        <v>0</v>
      </c>
      <c r="G56" s="163">
        <f t="shared" si="7"/>
        <v>-53191</v>
      </c>
      <c r="H56" s="163"/>
      <c r="I56" s="163"/>
      <c r="J56" s="163">
        <f t="shared" si="8"/>
        <v>0</v>
      </c>
      <c r="K56" s="163"/>
      <c r="L56" s="163"/>
      <c r="M56" s="163">
        <f t="shared" si="0"/>
        <v>0</v>
      </c>
      <c r="N56" s="163"/>
      <c r="O56" s="163"/>
      <c r="P56" s="163">
        <f t="shared" si="1"/>
        <v>0</v>
      </c>
      <c r="Q56" s="163">
        <v>53191</v>
      </c>
      <c r="R56" s="163">
        <v>0</v>
      </c>
      <c r="S56" s="163">
        <f t="shared" si="2"/>
        <v>-53191</v>
      </c>
      <c r="T56" s="163"/>
      <c r="U56" s="163"/>
      <c r="V56" s="163">
        <f t="shared" si="3"/>
        <v>0</v>
      </c>
      <c r="W56" s="163"/>
      <c r="X56" s="163"/>
      <c r="Y56" s="163">
        <f t="shared" si="4"/>
        <v>0</v>
      </c>
      <c r="Z56" s="163"/>
      <c r="AA56" s="163"/>
      <c r="AB56" s="163">
        <f t="shared" si="5"/>
        <v>0</v>
      </c>
      <c r="AC56" s="163"/>
      <c r="AD56" s="163"/>
      <c r="AE56" s="163">
        <f t="shared" si="6"/>
        <v>0</v>
      </c>
    </row>
    <row r="57" spans="1:192" s="159" customFormat="1" ht="31.5" x14ac:dyDescent="0.25">
      <c r="A57" s="171" t="s">
        <v>261</v>
      </c>
      <c r="B57" s="162">
        <v>2</v>
      </c>
      <c r="C57" s="162">
        <v>524</v>
      </c>
      <c r="D57" s="162">
        <v>5100</v>
      </c>
      <c r="E57" s="163">
        <f t="shared" si="7"/>
        <v>14640</v>
      </c>
      <c r="F57" s="163">
        <f t="shared" si="7"/>
        <v>11701</v>
      </c>
      <c r="G57" s="163">
        <f t="shared" si="7"/>
        <v>-2939</v>
      </c>
      <c r="H57" s="163"/>
      <c r="I57" s="163"/>
      <c r="J57" s="163">
        <f t="shared" si="8"/>
        <v>0</v>
      </c>
      <c r="K57" s="163"/>
      <c r="L57" s="163"/>
      <c r="M57" s="163">
        <f t="shared" si="0"/>
        <v>0</v>
      </c>
      <c r="N57" s="163">
        <v>14640</v>
      </c>
      <c r="O57" s="163">
        <f>14640-2939</f>
        <v>11701</v>
      </c>
      <c r="P57" s="163">
        <f>O57-N57</f>
        <v>-2939</v>
      </c>
      <c r="Q57" s="163"/>
      <c r="R57" s="163"/>
      <c r="S57" s="163">
        <f t="shared" si="2"/>
        <v>0</v>
      </c>
      <c r="T57" s="163"/>
      <c r="U57" s="163"/>
      <c r="V57" s="163">
        <v>0</v>
      </c>
      <c r="W57" s="163"/>
      <c r="X57" s="163"/>
      <c r="Y57" s="163">
        <v>0</v>
      </c>
      <c r="Z57" s="163"/>
      <c r="AA57" s="163"/>
      <c r="AB57" s="163">
        <v>0</v>
      </c>
      <c r="AC57" s="163"/>
      <c r="AD57" s="163"/>
      <c r="AE57" s="163">
        <v>0</v>
      </c>
    </row>
    <row r="58" spans="1:192" s="159" customFormat="1" ht="47.25" x14ac:dyDescent="0.25">
      <c r="A58" s="161" t="s">
        <v>262</v>
      </c>
      <c r="B58" s="162">
        <v>2</v>
      </c>
      <c r="C58" s="162">
        <v>525</v>
      </c>
      <c r="D58" s="162">
        <v>5100</v>
      </c>
      <c r="E58" s="163">
        <f t="shared" si="7"/>
        <v>5468</v>
      </c>
      <c r="F58" s="163">
        <f t="shared" si="7"/>
        <v>5468</v>
      </c>
      <c r="G58" s="163">
        <f t="shared" si="7"/>
        <v>0</v>
      </c>
      <c r="H58" s="163"/>
      <c r="I58" s="163"/>
      <c r="J58" s="163">
        <f t="shared" si="8"/>
        <v>0</v>
      </c>
      <c r="K58" s="163">
        <f>5100+368</f>
        <v>5468</v>
      </c>
      <c r="L58" s="163">
        <f>5100+368</f>
        <v>5468</v>
      </c>
      <c r="M58" s="163">
        <f t="shared" si="0"/>
        <v>0</v>
      </c>
      <c r="N58" s="163"/>
      <c r="O58" s="163"/>
      <c r="P58" s="163">
        <f t="shared" si="1"/>
        <v>0</v>
      </c>
      <c r="Q58" s="163"/>
      <c r="R58" s="163"/>
      <c r="S58" s="163">
        <f t="shared" si="2"/>
        <v>0</v>
      </c>
      <c r="T58" s="163"/>
      <c r="U58" s="163"/>
      <c r="V58" s="163">
        <f t="shared" si="3"/>
        <v>0</v>
      </c>
      <c r="W58" s="163"/>
      <c r="X58" s="163"/>
      <c r="Y58" s="163">
        <f t="shared" si="4"/>
        <v>0</v>
      </c>
      <c r="Z58" s="163"/>
      <c r="AA58" s="163"/>
      <c r="AB58" s="163">
        <f t="shared" si="5"/>
        <v>0</v>
      </c>
      <c r="AC58" s="163"/>
      <c r="AD58" s="163"/>
      <c r="AE58" s="163">
        <f t="shared" si="6"/>
        <v>0</v>
      </c>
    </row>
    <row r="59" spans="1:192" s="159" customFormat="1" ht="47.25" x14ac:dyDescent="0.25">
      <c r="A59" s="161" t="s">
        <v>263</v>
      </c>
      <c r="B59" s="162">
        <v>2</v>
      </c>
      <c r="C59" s="162">
        <v>525</v>
      </c>
      <c r="D59" s="162">
        <v>5100</v>
      </c>
      <c r="E59" s="163">
        <f t="shared" si="7"/>
        <v>3000</v>
      </c>
      <c r="F59" s="163">
        <f t="shared" si="7"/>
        <v>3000</v>
      </c>
      <c r="G59" s="163">
        <f t="shared" si="7"/>
        <v>0</v>
      </c>
      <c r="H59" s="163"/>
      <c r="I59" s="163"/>
      <c r="J59" s="163">
        <f t="shared" si="8"/>
        <v>0</v>
      </c>
      <c r="K59" s="163"/>
      <c r="L59" s="163"/>
      <c r="M59" s="163">
        <f t="shared" si="0"/>
        <v>0</v>
      </c>
      <c r="N59" s="163">
        <v>3000</v>
      </c>
      <c r="O59" s="163">
        <v>3000</v>
      </c>
      <c r="P59" s="163">
        <f>O59-N59</f>
        <v>0</v>
      </c>
      <c r="Q59" s="163"/>
      <c r="R59" s="163"/>
      <c r="S59" s="163">
        <f t="shared" si="2"/>
        <v>0</v>
      </c>
      <c r="T59" s="163"/>
      <c r="U59" s="163"/>
      <c r="V59" s="163">
        <f t="shared" si="3"/>
        <v>0</v>
      </c>
      <c r="W59" s="163"/>
      <c r="X59" s="163"/>
      <c r="Y59" s="163">
        <f t="shared" si="4"/>
        <v>0</v>
      </c>
      <c r="Z59" s="163"/>
      <c r="AA59" s="163"/>
      <c r="AB59" s="163">
        <f t="shared" si="5"/>
        <v>0</v>
      </c>
      <c r="AC59" s="163"/>
      <c r="AD59" s="163"/>
      <c r="AE59" s="163">
        <f t="shared" si="6"/>
        <v>0</v>
      </c>
    </row>
    <row r="60" spans="1:192" s="159" customFormat="1" x14ac:dyDescent="0.25">
      <c r="A60" s="161" t="s">
        <v>264</v>
      </c>
      <c r="B60" s="162">
        <v>2</v>
      </c>
      <c r="C60" s="162">
        <v>525</v>
      </c>
      <c r="D60" s="162">
        <v>5100</v>
      </c>
      <c r="E60" s="163">
        <f t="shared" si="7"/>
        <v>5000</v>
      </c>
      <c r="F60" s="163">
        <f t="shared" si="7"/>
        <v>4635</v>
      </c>
      <c r="G60" s="163">
        <f t="shared" si="7"/>
        <v>-365</v>
      </c>
      <c r="H60" s="163"/>
      <c r="I60" s="163"/>
      <c r="J60" s="163">
        <f t="shared" si="8"/>
        <v>0</v>
      </c>
      <c r="K60" s="163"/>
      <c r="L60" s="163"/>
      <c r="M60" s="163">
        <f t="shared" si="0"/>
        <v>0</v>
      </c>
      <c r="N60" s="163">
        <v>5000</v>
      </c>
      <c r="O60" s="163">
        <f>5000-365</f>
        <v>4635</v>
      </c>
      <c r="P60" s="163">
        <f t="shared" si="1"/>
        <v>-365</v>
      </c>
      <c r="Q60" s="163"/>
      <c r="R60" s="163"/>
      <c r="S60" s="163">
        <f t="shared" si="2"/>
        <v>0</v>
      </c>
      <c r="T60" s="163"/>
      <c r="U60" s="163"/>
      <c r="V60" s="163">
        <f t="shared" si="3"/>
        <v>0</v>
      </c>
      <c r="W60" s="163"/>
      <c r="X60" s="163"/>
      <c r="Y60" s="163">
        <f t="shared" si="4"/>
        <v>0</v>
      </c>
      <c r="Z60" s="163"/>
      <c r="AA60" s="163"/>
      <c r="AB60" s="163">
        <f t="shared" si="5"/>
        <v>0</v>
      </c>
      <c r="AC60" s="163"/>
      <c r="AD60" s="163"/>
      <c r="AE60" s="163">
        <f t="shared" si="6"/>
        <v>0</v>
      </c>
    </row>
    <row r="61" spans="1:192" s="159" customFormat="1" x14ac:dyDescent="0.25">
      <c r="A61" s="161" t="s">
        <v>265</v>
      </c>
      <c r="B61" s="162">
        <v>2</v>
      </c>
      <c r="C61" s="162">
        <v>525</v>
      </c>
      <c r="D61" s="162">
        <v>5100</v>
      </c>
      <c r="E61" s="163">
        <f t="shared" si="7"/>
        <v>6248</v>
      </c>
      <c r="F61" s="163">
        <f t="shared" si="7"/>
        <v>5857</v>
      </c>
      <c r="G61" s="163">
        <f t="shared" si="7"/>
        <v>-391</v>
      </c>
      <c r="H61" s="163"/>
      <c r="I61" s="163"/>
      <c r="J61" s="163">
        <f t="shared" si="8"/>
        <v>0</v>
      </c>
      <c r="K61" s="163"/>
      <c r="L61" s="163"/>
      <c r="M61" s="163">
        <f t="shared" si="0"/>
        <v>0</v>
      </c>
      <c r="N61" s="163">
        <v>6248</v>
      </c>
      <c r="O61" s="163">
        <f>6248-391</f>
        <v>5857</v>
      </c>
      <c r="P61" s="163">
        <f t="shared" si="1"/>
        <v>-391</v>
      </c>
      <c r="Q61" s="163"/>
      <c r="R61" s="163"/>
      <c r="S61" s="163">
        <f t="shared" si="2"/>
        <v>0</v>
      </c>
      <c r="T61" s="163"/>
      <c r="U61" s="163"/>
      <c r="V61" s="163">
        <f t="shared" si="3"/>
        <v>0</v>
      </c>
      <c r="W61" s="163"/>
      <c r="X61" s="163"/>
      <c r="Y61" s="163">
        <f t="shared" si="4"/>
        <v>0</v>
      </c>
      <c r="Z61" s="163"/>
      <c r="AA61" s="163"/>
      <c r="AB61" s="163">
        <f t="shared" si="5"/>
        <v>0</v>
      </c>
      <c r="AC61" s="163"/>
      <c r="AD61" s="163"/>
      <c r="AE61" s="163">
        <f t="shared" si="6"/>
        <v>0</v>
      </c>
    </row>
    <row r="62" spans="1:192" s="159" customFormat="1" ht="31.5" x14ac:dyDescent="0.25">
      <c r="A62" s="161" t="s">
        <v>266</v>
      </c>
      <c r="B62" s="162">
        <v>3</v>
      </c>
      <c r="C62" s="162">
        <v>530</v>
      </c>
      <c r="D62" s="162">
        <v>5100</v>
      </c>
      <c r="E62" s="163">
        <f t="shared" si="7"/>
        <v>50135</v>
      </c>
      <c r="F62" s="163">
        <f t="shared" si="7"/>
        <v>50135</v>
      </c>
      <c r="G62" s="163">
        <f t="shared" si="7"/>
        <v>0</v>
      </c>
      <c r="H62" s="163"/>
      <c r="I62" s="163"/>
      <c r="J62" s="163">
        <f t="shared" si="8"/>
        <v>0</v>
      </c>
      <c r="K62" s="163"/>
      <c r="L62" s="163"/>
      <c r="M62" s="163">
        <f t="shared" si="0"/>
        <v>0</v>
      </c>
      <c r="N62" s="163">
        <f>24954+227</f>
        <v>25181</v>
      </c>
      <c r="O62" s="163">
        <f>24954+227</f>
        <v>25181</v>
      </c>
      <c r="P62" s="163">
        <f t="shared" si="1"/>
        <v>0</v>
      </c>
      <c r="Q62" s="163"/>
      <c r="R62" s="163"/>
      <c r="S62" s="163">
        <f t="shared" si="2"/>
        <v>0</v>
      </c>
      <c r="T62" s="163"/>
      <c r="U62" s="163"/>
      <c r="V62" s="163">
        <f t="shared" si="3"/>
        <v>0</v>
      </c>
      <c r="W62" s="163"/>
      <c r="X62" s="163"/>
      <c r="Y62" s="163">
        <f t="shared" si="4"/>
        <v>0</v>
      </c>
      <c r="Z62" s="163">
        <v>24954</v>
      </c>
      <c r="AA62" s="163">
        <v>24954</v>
      </c>
      <c r="AB62" s="163">
        <f t="shared" si="5"/>
        <v>0</v>
      </c>
      <c r="AC62" s="163"/>
      <c r="AD62" s="163"/>
      <c r="AE62" s="163">
        <f t="shared" si="6"/>
        <v>0</v>
      </c>
    </row>
    <row r="63" spans="1:192" s="159" customFormat="1" x14ac:dyDescent="0.25">
      <c r="A63" s="171" t="s">
        <v>267</v>
      </c>
      <c r="B63" s="168">
        <v>1</v>
      </c>
      <c r="C63" s="168">
        <v>554</v>
      </c>
      <c r="D63" s="168">
        <v>5100</v>
      </c>
      <c r="E63" s="163">
        <f t="shared" si="7"/>
        <v>18547</v>
      </c>
      <c r="F63" s="163">
        <f t="shared" si="7"/>
        <v>18547</v>
      </c>
      <c r="G63" s="163">
        <f t="shared" si="7"/>
        <v>0</v>
      </c>
      <c r="H63" s="163"/>
      <c r="I63" s="163"/>
      <c r="J63" s="163">
        <f t="shared" si="8"/>
        <v>0</v>
      </c>
      <c r="K63" s="163"/>
      <c r="L63" s="163"/>
      <c r="M63" s="163">
        <f t="shared" si="0"/>
        <v>0</v>
      </c>
      <c r="N63" s="163">
        <v>2246</v>
      </c>
      <c r="O63" s="163">
        <v>2246</v>
      </c>
      <c r="P63" s="163">
        <f t="shared" si="1"/>
        <v>0</v>
      </c>
      <c r="Q63" s="163"/>
      <c r="R63" s="163"/>
      <c r="S63" s="163">
        <f t="shared" si="2"/>
        <v>0</v>
      </c>
      <c r="T63" s="163">
        <v>16301</v>
      </c>
      <c r="U63" s="163">
        <v>16301</v>
      </c>
      <c r="V63" s="163">
        <f t="shared" si="3"/>
        <v>0</v>
      </c>
      <c r="W63" s="163"/>
      <c r="X63" s="163"/>
      <c r="Y63" s="163">
        <f t="shared" si="4"/>
        <v>0</v>
      </c>
      <c r="Z63" s="163"/>
      <c r="AA63" s="163"/>
      <c r="AB63" s="163">
        <f t="shared" si="5"/>
        <v>0</v>
      </c>
      <c r="AC63" s="163"/>
      <c r="AD63" s="163"/>
      <c r="AE63" s="163">
        <f t="shared" si="6"/>
        <v>0</v>
      </c>
    </row>
    <row r="64" spans="1:192" s="159" customFormat="1" ht="78.75" x14ac:dyDescent="0.25">
      <c r="A64" s="171" t="s">
        <v>268</v>
      </c>
      <c r="B64" s="168"/>
      <c r="C64" s="168"/>
      <c r="D64" s="168"/>
      <c r="E64" s="163">
        <f t="shared" si="7"/>
        <v>397556</v>
      </c>
      <c r="F64" s="163">
        <f t="shared" si="7"/>
        <v>0</v>
      </c>
      <c r="G64" s="163">
        <f t="shared" si="7"/>
        <v>-397556</v>
      </c>
      <c r="H64" s="163"/>
      <c r="I64" s="163"/>
      <c r="J64" s="163">
        <f t="shared" si="8"/>
        <v>0</v>
      </c>
      <c r="K64" s="163"/>
      <c r="L64" s="163"/>
      <c r="M64" s="163">
        <f t="shared" si="0"/>
        <v>0</v>
      </c>
      <c r="N64" s="163"/>
      <c r="O64" s="163"/>
      <c r="P64" s="163">
        <f t="shared" si="1"/>
        <v>0</v>
      </c>
      <c r="Q64" s="163">
        <f>394555+3001</f>
        <v>397556</v>
      </c>
      <c r="R64" s="163">
        <v>0</v>
      </c>
      <c r="S64" s="163">
        <f t="shared" si="2"/>
        <v>-397556</v>
      </c>
      <c r="T64" s="163"/>
      <c r="U64" s="163"/>
      <c r="V64" s="163">
        <f t="shared" si="3"/>
        <v>0</v>
      </c>
      <c r="W64" s="163"/>
      <c r="X64" s="163"/>
      <c r="Y64" s="163">
        <f t="shared" si="4"/>
        <v>0</v>
      </c>
      <c r="Z64" s="163"/>
      <c r="AA64" s="163"/>
      <c r="AB64" s="163">
        <f t="shared" si="5"/>
        <v>0</v>
      </c>
      <c r="AC64" s="163"/>
      <c r="AD64" s="163"/>
      <c r="AE64" s="163">
        <f t="shared" si="6"/>
        <v>0</v>
      </c>
    </row>
    <row r="65" spans="1:192" s="159" customFormat="1" ht="31.5" x14ac:dyDescent="0.25">
      <c r="A65" s="157" t="s">
        <v>269</v>
      </c>
      <c r="B65" s="166"/>
      <c r="C65" s="166"/>
      <c r="D65" s="172">
        <v>5100</v>
      </c>
      <c r="E65" s="158">
        <f t="shared" si="7"/>
        <v>10635828</v>
      </c>
      <c r="F65" s="158">
        <f t="shared" si="7"/>
        <v>5624953</v>
      </c>
      <c r="G65" s="158">
        <f t="shared" si="7"/>
        <v>-5010875</v>
      </c>
      <c r="H65" s="158">
        <f t="shared" ref="H65:AD65" si="42">SUM(H66)</f>
        <v>266474</v>
      </c>
      <c r="I65" s="158">
        <f t="shared" si="42"/>
        <v>266474</v>
      </c>
      <c r="J65" s="158">
        <f t="shared" si="8"/>
        <v>0</v>
      </c>
      <c r="K65" s="158">
        <f t="shared" si="42"/>
        <v>278149</v>
      </c>
      <c r="L65" s="158">
        <f t="shared" si="42"/>
        <v>116567</v>
      </c>
      <c r="M65" s="158">
        <f t="shared" si="0"/>
        <v>-161582</v>
      </c>
      <c r="N65" s="158">
        <f t="shared" si="42"/>
        <v>878659</v>
      </c>
      <c r="O65" s="158">
        <f t="shared" si="42"/>
        <v>492112</v>
      </c>
      <c r="P65" s="158">
        <f t="shared" si="1"/>
        <v>-386547</v>
      </c>
      <c r="Q65" s="158">
        <f t="shared" si="42"/>
        <v>4477843</v>
      </c>
      <c r="R65" s="158">
        <f t="shared" si="42"/>
        <v>17631</v>
      </c>
      <c r="S65" s="158">
        <f t="shared" si="2"/>
        <v>-4460212</v>
      </c>
      <c r="T65" s="158">
        <f t="shared" si="42"/>
        <v>0</v>
      </c>
      <c r="U65" s="158">
        <f t="shared" si="42"/>
        <v>0</v>
      </c>
      <c r="V65" s="158">
        <f t="shared" si="3"/>
        <v>0</v>
      </c>
      <c r="W65" s="158">
        <f t="shared" si="42"/>
        <v>4210211</v>
      </c>
      <c r="X65" s="158">
        <f t="shared" si="42"/>
        <v>4207677</v>
      </c>
      <c r="Y65" s="158">
        <f t="shared" si="4"/>
        <v>-2534</v>
      </c>
      <c r="Z65" s="158">
        <f t="shared" si="42"/>
        <v>524492</v>
      </c>
      <c r="AA65" s="158">
        <f t="shared" si="42"/>
        <v>524492</v>
      </c>
      <c r="AB65" s="158">
        <f t="shared" si="5"/>
        <v>0</v>
      </c>
      <c r="AC65" s="158">
        <f t="shared" si="42"/>
        <v>0</v>
      </c>
      <c r="AD65" s="158">
        <f t="shared" si="42"/>
        <v>0</v>
      </c>
      <c r="AE65" s="158">
        <f t="shared" si="6"/>
        <v>0</v>
      </c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/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  <c r="CB65" s="156"/>
      <c r="CC65" s="156"/>
      <c r="CD65" s="156"/>
      <c r="CE65" s="156"/>
      <c r="CF65" s="156"/>
      <c r="CG65" s="156"/>
      <c r="CH65" s="156"/>
      <c r="CI65" s="156"/>
      <c r="CJ65" s="156"/>
      <c r="CK65" s="156"/>
      <c r="CL65" s="156"/>
      <c r="CM65" s="156"/>
      <c r="CN65" s="156"/>
      <c r="CO65" s="156"/>
      <c r="CP65" s="156"/>
      <c r="CQ65" s="156"/>
      <c r="CR65" s="156"/>
      <c r="CS65" s="156"/>
      <c r="CT65" s="156"/>
      <c r="CU65" s="156"/>
      <c r="CV65" s="156"/>
      <c r="CW65" s="156"/>
      <c r="CX65" s="156"/>
      <c r="CY65" s="156"/>
      <c r="CZ65" s="156"/>
      <c r="DA65" s="156"/>
      <c r="DB65" s="156"/>
      <c r="DC65" s="156"/>
      <c r="DD65" s="156"/>
      <c r="DE65" s="156"/>
      <c r="DF65" s="156"/>
      <c r="DG65" s="156"/>
      <c r="DH65" s="156"/>
      <c r="DI65" s="156"/>
      <c r="DJ65" s="156"/>
      <c r="DK65" s="156"/>
      <c r="DL65" s="156"/>
      <c r="DM65" s="156"/>
      <c r="DN65" s="156"/>
      <c r="DO65" s="156"/>
      <c r="DP65" s="156"/>
      <c r="DQ65" s="156"/>
      <c r="DR65" s="156"/>
      <c r="DS65" s="156"/>
      <c r="DT65" s="156"/>
      <c r="DU65" s="156"/>
      <c r="DV65" s="156"/>
      <c r="DW65" s="156"/>
      <c r="DX65" s="156"/>
      <c r="DY65" s="156"/>
      <c r="DZ65" s="156"/>
      <c r="EA65" s="156"/>
      <c r="EB65" s="156"/>
      <c r="EC65" s="156"/>
      <c r="ED65" s="156"/>
      <c r="EE65" s="156"/>
      <c r="EF65" s="156"/>
      <c r="EG65" s="156"/>
      <c r="EH65" s="156"/>
      <c r="EI65" s="156"/>
      <c r="EJ65" s="156"/>
      <c r="EK65" s="156"/>
      <c r="EL65" s="156"/>
      <c r="EM65" s="156"/>
      <c r="EN65" s="156"/>
      <c r="EO65" s="156"/>
      <c r="EP65" s="156"/>
      <c r="EQ65" s="156"/>
      <c r="ER65" s="156"/>
      <c r="ES65" s="156"/>
      <c r="ET65" s="156"/>
      <c r="EU65" s="156"/>
      <c r="EV65" s="156"/>
      <c r="EW65" s="156"/>
      <c r="EX65" s="156"/>
      <c r="EY65" s="156"/>
      <c r="EZ65" s="156"/>
      <c r="FA65" s="156"/>
      <c r="FB65" s="156"/>
      <c r="FC65" s="156"/>
      <c r="FD65" s="156"/>
      <c r="FE65" s="156"/>
      <c r="FF65" s="156"/>
      <c r="FG65" s="156"/>
      <c r="FH65" s="156"/>
      <c r="FI65" s="156"/>
      <c r="FJ65" s="156"/>
      <c r="FK65" s="156"/>
      <c r="FL65" s="156"/>
      <c r="FM65" s="156"/>
      <c r="FN65" s="156"/>
      <c r="FO65" s="156"/>
      <c r="FP65" s="156"/>
      <c r="FQ65" s="156"/>
      <c r="FR65" s="156"/>
      <c r="FS65" s="156"/>
      <c r="FT65" s="156"/>
      <c r="FU65" s="156"/>
      <c r="FV65" s="156"/>
      <c r="FW65" s="156"/>
      <c r="FX65" s="156"/>
      <c r="FY65" s="156"/>
      <c r="FZ65" s="156"/>
      <c r="GA65" s="156"/>
      <c r="GB65" s="156"/>
      <c r="GC65" s="156"/>
      <c r="GD65" s="156"/>
      <c r="GE65" s="156"/>
      <c r="GF65" s="156"/>
      <c r="GG65" s="156"/>
      <c r="GH65" s="156"/>
      <c r="GI65" s="156"/>
      <c r="GJ65" s="156"/>
    </row>
    <row r="66" spans="1:192" s="159" customFormat="1" x14ac:dyDescent="0.25">
      <c r="A66" s="157" t="s">
        <v>218</v>
      </c>
      <c r="B66" s="166"/>
      <c r="C66" s="166"/>
      <c r="D66" s="172">
        <v>5100</v>
      </c>
      <c r="E66" s="158">
        <f t="shared" si="7"/>
        <v>10635828</v>
      </c>
      <c r="F66" s="158">
        <f t="shared" si="7"/>
        <v>5624953</v>
      </c>
      <c r="G66" s="158">
        <f t="shared" si="7"/>
        <v>-5010875</v>
      </c>
      <c r="H66" s="158">
        <f>SUM(H67:H79,H80,H117,H148)</f>
        <v>266474</v>
      </c>
      <c r="I66" s="158">
        <f>SUM(I67:I79,I80,I117,I148)</f>
        <v>266474</v>
      </c>
      <c r="J66" s="158">
        <f t="shared" si="8"/>
        <v>0</v>
      </c>
      <c r="K66" s="158">
        <f t="shared" ref="K66:L66" si="43">SUM(K67:K79,K80,K117,K148)</f>
        <v>278149</v>
      </c>
      <c r="L66" s="158">
        <f t="shared" si="43"/>
        <v>116567</v>
      </c>
      <c r="M66" s="158">
        <f t="shared" si="0"/>
        <v>-161582</v>
      </c>
      <c r="N66" s="158">
        <f t="shared" ref="N66:O66" si="44">SUM(N67:N79,N80,N117,N148)</f>
        <v>878659</v>
      </c>
      <c r="O66" s="158">
        <f t="shared" si="44"/>
        <v>492112</v>
      </c>
      <c r="P66" s="158">
        <f t="shared" si="1"/>
        <v>-386547</v>
      </c>
      <c r="Q66" s="158">
        <f t="shared" ref="Q66:R66" si="45">SUM(Q67:Q79,Q80,Q117,Q148)</f>
        <v>4477843</v>
      </c>
      <c r="R66" s="158">
        <f t="shared" si="45"/>
        <v>17631</v>
      </c>
      <c r="S66" s="158">
        <f t="shared" si="2"/>
        <v>-4460212</v>
      </c>
      <c r="T66" s="158">
        <f t="shared" ref="T66:U66" si="46">SUM(T67:T79,T80,T117,T148)</f>
        <v>0</v>
      </c>
      <c r="U66" s="158">
        <f t="shared" si="46"/>
        <v>0</v>
      </c>
      <c r="V66" s="158">
        <f t="shared" si="3"/>
        <v>0</v>
      </c>
      <c r="W66" s="158">
        <f t="shared" ref="W66:X66" si="47">SUM(W67:W79,W80,W117,W148)</f>
        <v>4210211</v>
      </c>
      <c r="X66" s="158">
        <f t="shared" si="47"/>
        <v>4207677</v>
      </c>
      <c r="Y66" s="158">
        <f t="shared" si="4"/>
        <v>-2534</v>
      </c>
      <c r="Z66" s="158">
        <f t="shared" ref="Z66:AA66" si="48">SUM(Z67:Z79,Z80,Z117,Z148)</f>
        <v>524492</v>
      </c>
      <c r="AA66" s="158">
        <f t="shared" si="48"/>
        <v>524492</v>
      </c>
      <c r="AB66" s="158">
        <f t="shared" si="5"/>
        <v>0</v>
      </c>
      <c r="AC66" s="158">
        <f t="shared" ref="AC66:AD66" si="49">SUM(AC67:AC79,AC80,AC117,AC148)</f>
        <v>0</v>
      </c>
      <c r="AD66" s="158">
        <f t="shared" si="49"/>
        <v>0</v>
      </c>
      <c r="AE66" s="158">
        <f t="shared" si="6"/>
        <v>0</v>
      </c>
      <c r="AF66" s="156"/>
      <c r="AG66" s="156"/>
      <c r="AH66" s="156"/>
      <c r="AI66" s="156"/>
      <c r="AJ66" s="156"/>
      <c r="AK66" s="156"/>
      <c r="AL66" s="156"/>
      <c r="AM66" s="156"/>
      <c r="AN66" s="156"/>
      <c r="AO66" s="156"/>
      <c r="AP66" s="156"/>
      <c r="AQ66" s="156"/>
      <c r="AR66" s="156"/>
      <c r="AS66" s="156"/>
      <c r="AT66" s="156"/>
      <c r="AU66" s="156"/>
      <c r="AV66" s="156"/>
      <c r="AW66" s="156"/>
      <c r="AX66" s="156"/>
      <c r="AY66" s="156"/>
      <c r="AZ66" s="156"/>
      <c r="BA66" s="156"/>
      <c r="BB66" s="156"/>
      <c r="BC66" s="156"/>
      <c r="BD66" s="156"/>
      <c r="BE66" s="156"/>
      <c r="BF66" s="156"/>
      <c r="BG66" s="156"/>
      <c r="BH66" s="156"/>
      <c r="BI66" s="156"/>
      <c r="BJ66" s="156"/>
      <c r="BK66" s="156"/>
      <c r="BL66" s="156"/>
      <c r="BM66" s="156"/>
      <c r="BN66" s="156"/>
      <c r="BO66" s="156"/>
      <c r="BP66" s="156"/>
      <c r="BQ66" s="156"/>
      <c r="BR66" s="156"/>
      <c r="BS66" s="156"/>
      <c r="BT66" s="156"/>
      <c r="BU66" s="156"/>
      <c r="BV66" s="156"/>
      <c r="BW66" s="156"/>
      <c r="BX66" s="156"/>
      <c r="BY66" s="156"/>
      <c r="BZ66" s="156"/>
      <c r="CA66" s="156"/>
      <c r="CB66" s="156"/>
      <c r="CC66" s="156"/>
      <c r="CD66" s="156"/>
      <c r="CE66" s="156"/>
      <c r="CF66" s="156"/>
      <c r="CG66" s="156"/>
      <c r="CH66" s="156"/>
      <c r="CI66" s="156"/>
      <c r="CJ66" s="156"/>
      <c r="CK66" s="156"/>
      <c r="CL66" s="156"/>
      <c r="CM66" s="156"/>
      <c r="CN66" s="156"/>
      <c r="CO66" s="156"/>
      <c r="CP66" s="156"/>
      <c r="CQ66" s="156"/>
      <c r="CR66" s="156"/>
      <c r="CS66" s="156"/>
      <c r="CT66" s="156"/>
      <c r="CU66" s="156"/>
      <c r="CV66" s="156"/>
      <c r="CW66" s="156"/>
      <c r="CX66" s="156"/>
      <c r="CY66" s="156"/>
      <c r="CZ66" s="156"/>
      <c r="DA66" s="156"/>
      <c r="DB66" s="156"/>
      <c r="DC66" s="156"/>
      <c r="DD66" s="156"/>
      <c r="DE66" s="156"/>
      <c r="DF66" s="156"/>
      <c r="DG66" s="156"/>
      <c r="DH66" s="156"/>
      <c r="DI66" s="156"/>
      <c r="DJ66" s="156"/>
      <c r="DK66" s="156"/>
      <c r="DL66" s="156"/>
      <c r="DM66" s="156"/>
      <c r="DN66" s="156"/>
      <c r="DO66" s="156"/>
      <c r="DP66" s="156"/>
      <c r="DQ66" s="156"/>
      <c r="DR66" s="156"/>
      <c r="DS66" s="156"/>
      <c r="DT66" s="156"/>
      <c r="DU66" s="156"/>
      <c r="DV66" s="156"/>
      <c r="DW66" s="156"/>
      <c r="DX66" s="156"/>
      <c r="DY66" s="156"/>
      <c r="DZ66" s="156"/>
      <c r="EA66" s="156"/>
      <c r="EB66" s="156"/>
      <c r="EC66" s="156"/>
      <c r="ED66" s="156"/>
      <c r="EE66" s="156"/>
      <c r="EF66" s="156"/>
      <c r="EG66" s="156"/>
      <c r="EH66" s="156"/>
      <c r="EI66" s="156"/>
      <c r="EJ66" s="156"/>
      <c r="EK66" s="156"/>
      <c r="EL66" s="156"/>
      <c r="EM66" s="156"/>
      <c r="EN66" s="156"/>
      <c r="EO66" s="156"/>
      <c r="EP66" s="156"/>
      <c r="EQ66" s="156"/>
      <c r="ER66" s="156"/>
      <c r="ES66" s="156"/>
      <c r="ET66" s="156"/>
      <c r="EU66" s="156"/>
      <c r="EV66" s="156"/>
      <c r="EW66" s="156"/>
      <c r="EX66" s="156"/>
      <c r="EY66" s="156"/>
      <c r="EZ66" s="156"/>
      <c r="FA66" s="156"/>
      <c r="FB66" s="156"/>
      <c r="FC66" s="156"/>
      <c r="FD66" s="156"/>
      <c r="FE66" s="156"/>
      <c r="FF66" s="156"/>
      <c r="FG66" s="156"/>
      <c r="FH66" s="156"/>
      <c r="FI66" s="156"/>
      <c r="FJ66" s="156"/>
      <c r="FK66" s="156"/>
      <c r="FL66" s="156"/>
      <c r="FM66" s="156"/>
      <c r="FN66" s="156"/>
      <c r="FO66" s="156"/>
      <c r="FP66" s="156"/>
      <c r="FQ66" s="156"/>
      <c r="FR66" s="156"/>
      <c r="FS66" s="156"/>
      <c r="FT66" s="156"/>
      <c r="FU66" s="156"/>
      <c r="FV66" s="156"/>
      <c r="FW66" s="156"/>
      <c r="FX66" s="156"/>
      <c r="FY66" s="156"/>
      <c r="FZ66" s="156"/>
      <c r="GA66" s="156"/>
      <c r="GB66" s="156"/>
      <c r="GC66" s="156"/>
      <c r="GD66" s="156"/>
      <c r="GE66" s="156"/>
      <c r="GF66" s="156"/>
      <c r="GG66" s="156"/>
      <c r="GH66" s="156"/>
      <c r="GI66" s="156"/>
      <c r="GJ66" s="156"/>
    </row>
    <row r="67" spans="1:192" s="159" customFormat="1" ht="31.5" x14ac:dyDescent="0.25">
      <c r="A67" s="175" t="s">
        <v>270</v>
      </c>
      <c r="B67" s="169">
        <v>2</v>
      </c>
      <c r="C67" s="169">
        <v>619</v>
      </c>
      <c r="D67" s="172">
        <v>5100</v>
      </c>
      <c r="E67" s="170">
        <f t="shared" si="7"/>
        <v>3183</v>
      </c>
      <c r="F67" s="170">
        <f t="shared" si="7"/>
        <v>0</v>
      </c>
      <c r="G67" s="170">
        <f t="shared" si="7"/>
        <v>-3183</v>
      </c>
      <c r="H67" s="170"/>
      <c r="I67" s="170"/>
      <c r="J67" s="170">
        <f t="shared" si="8"/>
        <v>0</v>
      </c>
      <c r="K67" s="170"/>
      <c r="L67" s="170"/>
      <c r="M67" s="170">
        <f t="shared" si="0"/>
        <v>0</v>
      </c>
      <c r="N67" s="170">
        <v>3183</v>
      </c>
      <c r="O67" s="170">
        <f>3183-3183</f>
        <v>0</v>
      </c>
      <c r="P67" s="170">
        <f t="shared" si="1"/>
        <v>-3183</v>
      </c>
      <c r="Q67" s="170"/>
      <c r="R67" s="170"/>
      <c r="S67" s="170">
        <f t="shared" si="2"/>
        <v>0</v>
      </c>
      <c r="T67" s="170"/>
      <c r="U67" s="170"/>
      <c r="V67" s="170">
        <f t="shared" si="3"/>
        <v>0</v>
      </c>
      <c r="W67" s="170">
        <v>0</v>
      </c>
      <c r="X67" s="170">
        <v>0</v>
      </c>
      <c r="Y67" s="170">
        <f t="shared" si="4"/>
        <v>0</v>
      </c>
      <c r="Z67" s="170">
        <v>0</v>
      </c>
      <c r="AA67" s="170">
        <v>0</v>
      </c>
      <c r="AB67" s="170">
        <f t="shared" si="5"/>
        <v>0</v>
      </c>
      <c r="AC67" s="170"/>
      <c r="AD67" s="170"/>
      <c r="AE67" s="170">
        <f t="shared" si="6"/>
        <v>0</v>
      </c>
    </row>
    <row r="68" spans="1:192" s="159" customFormat="1" ht="31.5" x14ac:dyDescent="0.25">
      <c r="A68" s="175" t="s">
        <v>271</v>
      </c>
      <c r="B68" s="169">
        <v>2</v>
      </c>
      <c r="C68" s="169">
        <v>603</v>
      </c>
      <c r="D68" s="172">
        <v>5100</v>
      </c>
      <c r="E68" s="170">
        <f t="shared" si="7"/>
        <v>50400</v>
      </c>
      <c r="F68" s="170">
        <f t="shared" si="7"/>
        <v>50400</v>
      </c>
      <c r="G68" s="170">
        <f t="shared" si="7"/>
        <v>0</v>
      </c>
      <c r="H68" s="170"/>
      <c r="I68" s="170"/>
      <c r="J68" s="170">
        <f t="shared" si="8"/>
        <v>0</v>
      </c>
      <c r="K68" s="170"/>
      <c r="L68" s="170"/>
      <c r="M68" s="170">
        <f t="shared" si="0"/>
        <v>0</v>
      </c>
      <c r="N68" s="170">
        <v>50400</v>
      </c>
      <c r="O68" s="170">
        <v>50400</v>
      </c>
      <c r="P68" s="170">
        <f t="shared" si="1"/>
        <v>0</v>
      </c>
      <c r="Q68" s="170"/>
      <c r="R68" s="170"/>
      <c r="S68" s="170">
        <f t="shared" si="2"/>
        <v>0</v>
      </c>
      <c r="T68" s="170"/>
      <c r="U68" s="170"/>
      <c r="V68" s="170">
        <f t="shared" si="3"/>
        <v>0</v>
      </c>
      <c r="W68" s="170">
        <v>0</v>
      </c>
      <c r="X68" s="170">
        <v>0</v>
      </c>
      <c r="Y68" s="170">
        <f t="shared" si="4"/>
        <v>0</v>
      </c>
      <c r="Z68" s="170">
        <v>0</v>
      </c>
      <c r="AA68" s="170">
        <v>0</v>
      </c>
      <c r="AB68" s="170">
        <f t="shared" si="5"/>
        <v>0</v>
      </c>
      <c r="AC68" s="170"/>
      <c r="AD68" s="170"/>
      <c r="AE68" s="170">
        <f t="shared" si="6"/>
        <v>0</v>
      </c>
    </row>
    <row r="69" spans="1:192" s="159" customFormat="1" x14ac:dyDescent="0.25">
      <c r="A69" s="175" t="s">
        <v>272</v>
      </c>
      <c r="B69" s="169">
        <v>2</v>
      </c>
      <c r="C69" s="169">
        <v>619</v>
      </c>
      <c r="D69" s="172">
        <v>5100</v>
      </c>
      <c r="E69" s="170">
        <f t="shared" si="7"/>
        <v>115385</v>
      </c>
      <c r="F69" s="170">
        <f t="shared" si="7"/>
        <v>115385</v>
      </c>
      <c r="G69" s="170">
        <f t="shared" si="7"/>
        <v>0</v>
      </c>
      <c r="H69" s="170">
        <f>129666-14281</f>
        <v>115385</v>
      </c>
      <c r="I69" s="170">
        <f>129666-14281</f>
        <v>115385</v>
      </c>
      <c r="J69" s="170">
        <f t="shared" si="8"/>
        <v>0</v>
      </c>
      <c r="K69" s="170"/>
      <c r="L69" s="170"/>
      <c r="M69" s="170">
        <f t="shared" si="0"/>
        <v>0</v>
      </c>
      <c r="N69" s="170">
        <f>129666-129666</f>
        <v>0</v>
      </c>
      <c r="O69" s="170">
        <f>129666-129666</f>
        <v>0</v>
      </c>
      <c r="P69" s="170">
        <f t="shared" si="1"/>
        <v>0</v>
      </c>
      <c r="Q69" s="170"/>
      <c r="R69" s="170"/>
      <c r="S69" s="170">
        <f t="shared" si="2"/>
        <v>0</v>
      </c>
      <c r="T69" s="170"/>
      <c r="U69" s="170"/>
      <c r="V69" s="170">
        <f t="shared" si="3"/>
        <v>0</v>
      </c>
      <c r="W69" s="170">
        <v>0</v>
      </c>
      <c r="X69" s="170">
        <v>0</v>
      </c>
      <c r="Y69" s="170">
        <f t="shared" si="4"/>
        <v>0</v>
      </c>
      <c r="Z69" s="170">
        <v>0</v>
      </c>
      <c r="AA69" s="170">
        <v>0</v>
      </c>
      <c r="AB69" s="170">
        <f t="shared" si="5"/>
        <v>0</v>
      </c>
      <c r="AC69" s="170"/>
      <c r="AD69" s="170"/>
      <c r="AE69" s="170">
        <f t="shared" si="6"/>
        <v>0</v>
      </c>
    </row>
    <row r="70" spans="1:192" s="159" customFormat="1" x14ac:dyDescent="0.25">
      <c r="A70" s="175" t="s">
        <v>273</v>
      </c>
      <c r="B70" s="169">
        <v>2</v>
      </c>
      <c r="C70" s="169">
        <v>619</v>
      </c>
      <c r="D70" s="172">
        <v>5100</v>
      </c>
      <c r="E70" s="170">
        <f t="shared" si="7"/>
        <v>13200</v>
      </c>
      <c r="F70" s="170">
        <f t="shared" si="7"/>
        <v>13148</v>
      </c>
      <c r="G70" s="170">
        <f t="shared" si="7"/>
        <v>-52</v>
      </c>
      <c r="H70" s="170"/>
      <c r="I70" s="170"/>
      <c r="J70" s="170">
        <f t="shared" si="8"/>
        <v>0</v>
      </c>
      <c r="K70" s="170"/>
      <c r="L70" s="170"/>
      <c r="M70" s="170">
        <f t="shared" si="0"/>
        <v>0</v>
      </c>
      <c r="N70" s="170">
        <v>13200</v>
      </c>
      <c r="O70" s="170">
        <f>13200-52</f>
        <v>13148</v>
      </c>
      <c r="P70" s="170">
        <f t="shared" si="1"/>
        <v>-52</v>
      </c>
      <c r="Q70" s="170"/>
      <c r="R70" s="170"/>
      <c r="S70" s="170">
        <f t="shared" si="2"/>
        <v>0</v>
      </c>
      <c r="T70" s="170"/>
      <c r="U70" s="170"/>
      <c r="V70" s="170">
        <f t="shared" si="3"/>
        <v>0</v>
      </c>
      <c r="W70" s="170">
        <v>0</v>
      </c>
      <c r="X70" s="170">
        <v>0</v>
      </c>
      <c r="Y70" s="170">
        <f t="shared" si="4"/>
        <v>0</v>
      </c>
      <c r="Z70" s="170">
        <v>0</v>
      </c>
      <c r="AA70" s="170">
        <v>0</v>
      </c>
      <c r="AB70" s="170">
        <f t="shared" si="5"/>
        <v>0</v>
      </c>
      <c r="AC70" s="170"/>
      <c r="AD70" s="170"/>
      <c r="AE70" s="170">
        <f t="shared" si="6"/>
        <v>0</v>
      </c>
    </row>
    <row r="71" spans="1:192" s="159" customFormat="1" ht="31.5" x14ac:dyDescent="0.25">
      <c r="A71" s="175" t="s">
        <v>274</v>
      </c>
      <c r="B71" s="169">
        <v>2</v>
      </c>
      <c r="C71" s="169">
        <v>603</v>
      </c>
      <c r="D71" s="172">
        <v>5100</v>
      </c>
      <c r="E71" s="170">
        <f t="shared" si="7"/>
        <v>41100</v>
      </c>
      <c r="F71" s="170">
        <f t="shared" si="7"/>
        <v>0</v>
      </c>
      <c r="G71" s="170">
        <f t="shared" si="7"/>
        <v>-41100</v>
      </c>
      <c r="H71" s="170"/>
      <c r="I71" s="170"/>
      <c r="J71" s="170">
        <f t="shared" si="8"/>
        <v>0</v>
      </c>
      <c r="K71" s="170"/>
      <c r="L71" s="170"/>
      <c r="M71" s="170">
        <f t="shared" si="0"/>
        <v>0</v>
      </c>
      <c r="N71" s="170">
        <v>41100</v>
      </c>
      <c r="O71" s="170">
        <f>41100-41100</f>
        <v>0</v>
      </c>
      <c r="P71" s="170">
        <f t="shared" si="1"/>
        <v>-41100</v>
      </c>
      <c r="Q71" s="170"/>
      <c r="R71" s="170"/>
      <c r="S71" s="170">
        <f t="shared" si="2"/>
        <v>0</v>
      </c>
      <c r="T71" s="170"/>
      <c r="U71" s="170"/>
      <c r="V71" s="170">
        <f t="shared" si="3"/>
        <v>0</v>
      </c>
      <c r="W71" s="170">
        <v>0</v>
      </c>
      <c r="X71" s="170">
        <v>0</v>
      </c>
      <c r="Y71" s="170">
        <f t="shared" si="4"/>
        <v>0</v>
      </c>
      <c r="Z71" s="170">
        <v>0</v>
      </c>
      <c r="AA71" s="170">
        <v>0</v>
      </c>
      <c r="AB71" s="170">
        <f t="shared" si="5"/>
        <v>0</v>
      </c>
      <c r="AC71" s="170"/>
      <c r="AD71" s="170"/>
      <c r="AE71" s="170">
        <f t="shared" si="6"/>
        <v>0</v>
      </c>
    </row>
    <row r="72" spans="1:192" s="159" customFormat="1" ht="94.5" x14ac:dyDescent="0.25">
      <c r="A72" s="171" t="s">
        <v>275</v>
      </c>
      <c r="B72" s="169"/>
      <c r="C72" s="169"/>
      <c r="D72" s="172"/>
      <c r="E72" s="170">
        <f t="shared" si="7"/>
        <v>230380</v>
      </c>
      <c r="F72" s="170">
        <f t="shared" si="7"/>
        <v>0</v>
      </c>
      <c r="G72" s="170">
        <f t="shared" si="7"/>
        <v>-230380</v>
      </c>
      <c r="H72" s="170"/>
      <c r="I72" s="170"/>
      <c r="J72" s="170">
        <f t="shared" si="8"/>
        <v>0</v>
      </c>
      <c r="K72" s="170"/>
      <c r="L72" s="170"/>
      <c r="M72" s="170">
        <f t="shared" si="0"/>
        <v>0</v>
      </c>
      <c r="N72" s="170"/>
      <c r="O72" s="170"/>
      <c r="P72" s="170">
        <f t="shared" si="1"/>
        <v>0</v>
      </c>
      <c r="Q72" s="170">
        <v>230380</v>
      </c>
      <c r="R72" s="170">
        <v>0</v>
      </c>
      <c r="S72" s="170">
        <f t="shared" si="2"/>
        <v>-230380</v>
      </c>
      <c r="T72" s="170"/>
      <c r="U72" s="170"/>
      <c r="V72" s="170">
        <f t="shared" si="3"/>
        <v>0</v>
      </c>
      <c r="W72" s="170"/>
      <c r="X72" s="170"/>
      <c r="Y72" s="170">
        <f t="shared" si="4"/>
        <v>0</v>
      </c>
      <c r="Z72" s="170"/>
      <c r="AA72" s="170"/>
      <c r="AB72" s="170">
        <f t="shared" si="5"/>
        <v>0</v>
      </c>
      <c r="AC72" s="170"/>
      <c r="AD72" s="170"/>
      <c r="AE72" s="170">
        <f t="shared" si="6"/>
        <v>0</v>
      </c>
    </row>
    <row r="73" spans="1:192" s="159" customFormat="1" x14ac:dyDescent="0.25">
      <c r="A73" s="175" t="s">
        <v>276</v>
      </c>
      <c r="B73" s="169">
        <v>2</v>
      </c>
      <c r="C73" s="169">
        <v>604</v>
      </c>
      <c r="D73" s="172">
        <v>5100</v>
      </c>
      <c r="E73" s="170">
        <f t="shared" si="7"/>
        <v>132389</v>
      </c>
      <c r="F73" s="170">
        <f t="shared" si="7"/>
        <v>132389</v>
      </c>
      <c r="G73" s="170">
        <f t="shared" si="7"/>
        <v>0</v>
      </c>
      <c r="H73" s="170">
        <f>150000-17611</f>
        <v>132389</v>
      </c>
      <c r="I73" s="170">
        <f>150000-17611</f>
        <v>132389</v>
      </c>
      <c r="J73" s="170">
        <f t="shared" si="8"/>
        <v>0</v>
      </c>
      <c r="K73" s="170"/>
      <c r="L73" s="170"/>
      <c r="M73" s="170">
        <f t="shared" si="0"/>
        <v>0</v>
      </c>
      <c r="N73" s="170"/>
      <c r="O73" s="170"/>
      <c r="P73" s="170">
        <f t="shared" si="1"/>
        <v>0</v>
      </c>
      <c r="Q73" s="170"/>
      <c r="R73" s="170"/>
      <c r="S73" s="170">
        <f t="shared" si="2"/>
        <v>0</v>
      </c>
      <c r="T73" s="170"/>
      <c r="U73" s="170"/>
      <c r="V73" s="170">
        <f t="shared" si="3"/>
        <v>0</v>
      </c>
      <c r="W73" s="170"/>
      <c r="X73" s="170"/>
      <c r="Y73" s="170">
        <f t="shared" si="4"/>
        <v>0</v>
      </c>
      <c r="Z73" s="170"/>
      <c r="AA73" s="170"/>
      <c r="AB73" s="170">
        <f t="shared" si="5"/>
        <v>0</v>
      </c>
      <c r="AC73" s="170"/>
      <c r="AD73" s="170"/>
      <c r="AE73" s="170">
        <f t="shared" si="6"/>
        <v>0</v>
      </c>
    </row>
    <row r="74" spans="1:192" s="159" customFormat="1" ht="47.25" x14ac:dyDescent="0.25">
      <c r="A74" s="167" t="s">
        <v>277</v>
      </c>
      <c r="B74" s="168">
        <v>2</v>
      </c>
      <c r="C74" s="168">
        <v>606</v>
      </c>
      <c r="D74" s="172">
        <v>5100</v>
      </c>
      <c r="E74" s="170">
        <f t="shared" si="7"/>
        <v>2534</v>
      </c>
      <c r="F74" s="170">
        <f t="shared" si="7"/>
        <v>0</v>
      </c>
      <c r="G74" s="170">
        <f t="shared" si="7"/>
        <v>-2534</v>
      </c>
      <c r="H74" s="170"/>
      <c r="I74" s="170"/>
      <c r="J74" s="170">
        <f t="shared" si="8"/>
        <v>0</v>
      </c>
      <c r="K74" s="170"/>
      <c r="L74" s="170"/>
      <c r="M74" s="170">
        <f t="shared" ref="M74:M157" si="50">L74-K74</f>
        <v>0</v>
      </c>
      <c r="N74" s="170"/>
      <c r="O74" s="170"/>
      <c r="P74" s="170">
        <f t="shared" ref="P74:P157" si="51">O74-N74</f>
        <v>0</v>
      </c>
      <c r="Q74" s="170"/>
      <c r="R74" s="170"/>
      <c r="S74" s="170">
        <f t="shared" ref="S74:S157" si="52">R74-Q74</f>
        <v>0</v>
      </c>
      <c r="T74" s="170"/>
      <c r="U74" s="170"/>
      <c r="V74" s="170">
        <f t="shared" ref="V74:V157" si="53">U74-T74</f>
        <v>0</v>
      </c>
      <c r="W74" s="170">
        <f>2534</f>
        <v>2534</v>
      </c>
      <c r="X74" s="170">
        <f>2534-2534</f>
        <v>0</v>
      </c>
      <c r="Y74" s="170">
        <f t="shared" ref="Y74:Y157" si="54">X74-W74</f>
        <v>-2534</v>
      </c>
      <c r="Z74" s="170"/>
      <c r="AA74" s="170"/>
      <c r="AB74" s="170">
        <f t="shared" ref="AB74:AB157" si="55">AA74-Z74</f>
        <v>0</v>
      </c>
      <c r="AC74" s="170"/>
      <c r="AD74" s="170"/>
      <c r="AE74" s="170">
        <f t="shared" ref="AE74:AE157" si="56">AD74-AC74</f>
        <v>0</v>
      </c>
    </row>
    <row r="75" spans="1:192" s="159" customFormat="1" ht="141.75" x14ac:dyDescent="0.25">
      <c r="A75" s="161" t="s">
        <v>278</v>
      </c>
      <c r="B75" s="168"/>
      <c r="C75" s="168"/>
      <c r="D75" s="172"/>
      <c r="E75" s="170">
        <f t="shared" si="7"/>
        <v>4247463</v>
      </c>
      <c r="F75" s="170">
        <f t="shared" si="7"/>
        <v>17631</v>
      </c>
      <c r="G75" s="170">
        <f t="shared" si="7"/>
        <v>-4229832</v>
      </c>
      <c r="H75" s="170"/>
      <c r="I75" s="170"/>
      <c r="J75" s="170">
        <f t="shared" si="8"/>
        <v>0</v>
      </c>
      <c r="K75" s="170"/>
      <c r="L75" s="170"/>
      <c r="M75" s="170">
        <f t="shared" si="50"/>
        <v>0</v>
      </c>
      <c r="N75" s="170"/>
      <c r="O75" s="170"/>
      <c r="P75" s="170">
        <f t="shared" si="51"/>
        <v>0</v>
      </c>
      <c r="Q75" s="170">
        <v>4247463</v>
      </c>
      <c r="R75" s="170">
        <v>17631</v>
      </c>
      <c r="S75" s="170">
        <f t="shared" si="52"/>
        <v>-4229832</v>
      </c>
      <c r="T75" s="170"/>
      <c r="U75" s="170"/>
      <c r="V75" s="170">
        <f t="shared" si="53"/>
        <v>0</v>
      </c>
      <c r="W75" s="170"/>
      <c r="X75" s="170"/>
      <c r="Y75" s="170">
        <f t="shared" si="54"/>
        <v>0</v>
      </c>
      <c r="Z75" s="170"/>
      <c r="AA75" s="170"/>
      <c r="AB75" s="170">
        <f t="shared" si="55"/>
        <v>0</v>
      </c>
      <c r="AC75" s="170"/>
      <c r="AD75" s="170"/>
      <c r="AE75" s="170">
        <f t="shared" si="56"/>
        <v>0</v>
      </c>
    </row>
    <row r="76" spans="1:192" s="159" customFormat="1" ht="31.5" x14ac:dyDescent="0.25">
      <c r="A76" s="176" t="s">
        <v>279</v>
      </c>
      <c r="B76" s="168">
        <v>2</v>
      </c>
      <c r="C76" s="168">
        <v>623</v>
      </c>
      <c r="D76" s="172">
        <v>5100</v>
      </c>
      <c r="E76" s="170">
        <f t="shared" si="7"/>
        <v>876438</v>
      </c>
      <c r="F76" s="170">
        <f t="shared" si="7"/>
        <v>854939</v>
      </c>
      <c r="G76" s="170">
        <f t="shared" si="7"/>
        <v>-21499</v>
      </c>
      <c r="H76" s="170"/>
      <c r="I76" s="170"/>
      <c r="J76" s="170">
        <f t="shared" si="8"/>
        <v>0</v>
      </c>
      <c r="K76" s="170"/>
      <c r="L76" s="170"/>
      <c r="M76" s="170">
        <f t="shared" si="50"/>
        <v>0</v>
      </c>
      <c r="N76" s="170">
        <f>553628-485624-63930+21500-5</f>
        <v>25569</v>
      </c>
      <c r="O76" s="170">
        <f>553628-485624-63930+21500-5-21499</f>
        <v>4070</v>
      </c>
      <c r="P76" s="170">
        <f t="shared" si="51"/>
        <v>-21499</v>
      </c>
      <c r="Q76" s="170"/>
      <c r="R76" s="170"/>
      <c r="S76" s="170">
        <f t="shared" si="52"/>
        <v>0</v>
      </c>
      <c r="T76" s="170"/>
      <c r="U76" s="170"/>
      <c r="V76" s="170">
        <f t="shared" si="53"/>
        <v>0</v>
      </c>
      <c r="W76" s="170">
        <f>326372+5</f>
        <v>326377</v>
      </c>
      <c r="X76" s="170">
        <f>326372+5</f>
        <v>326377</v>
      </c>
      <c r="Y76" s="170">
        <f t="shared" si="54"/>
        <v>0</v>
      </c>
      <c r="Z76" s="170">
        <f>38868+485624</f>
        <v>524492</v>
      </c>
      <c r="AA76" s="170">
        <f>38868+485624</f>
        <v>524492</v>
      </c>
      <c r="AB76" s="170">
        <f t="shared" si="55"/>
        <v>0</v>
      </c>
      <c r="AC76" s="170"/>
      <c r="AD76" s="170"/>
      <c r="AE76" s="170">
        <f t="shared" si="56"/>
        <v>0</v>
      </c>
    </row>
    <row r="77" spans="1:192" s="159" customFormat="1" x14ac:dyDescent="0.25">
      <c r="A77" s="176" t="s">
        <v>280</v>
      </c>
      <c r="B77" s="168">
        <v>2</v>
      </c>
      <c r="C77" s="168">
        <v>623</v>
      </c>
      <c r="D77" s="172">
        <v>5100</v>
      </c>
      <c r="E77" s="170">
        <f t="shared" si="7"/>
        <v>3000</v>
      </c>
      <c r="F77" s="170">
        <f t="shared" si="7"/>
        <v>0</v>
      </c>
      <c r="G77" s="170">
        <f t="shared" si="7"/>
        <v>-3000</v>
      </c>
      <c r="H77" s="170"/>
      <c r="I77" s="170"/>
      <c r="J77" s="170">
        <f t="shared" si="8"/>
        <v>0</v>
      </c>
      <c r="K77" s="170"/>
      <c r="L77" s="170"/>
      <c r="M77" s="170">
        <f t="shared" si="50"/>
        <v>0</v>
      </c>
      <c r="N77" s="170">
        <v>3000</v>
      </c>
      <c r="O77" s="170">
        <f>3000-3000</f>
        <v>0</v>
      </c>
      <c r="P77" s="170">
        <f t="shared" si="51"/>
        <v>-3000</v>
      </c>
      <c r="Q77" s="170"/>
      <c r="R77" s="170"/>
      <c r="S77" s="170">
        <f t="shared" si="52"/>
        <v>0</v>
      </c>
      <c r="T77" s="170"/>
      <c r="U77" s="170"/>
      <c r="V77" s="170">
        <f t="shared" si="53"/>
        <v>0</v>
      </c>
      <c r="W77" s="170"/>
      <c r="X77" s="170"/>
      <c r="Y77" s="170">
        <f t="shared" si="54"/>
        <v>0</v>
      </c>
      <c r="Z77" s="170"/>
      <c r="AA77" s="170"/>
      <c r="AB77" s="170">
        <f t="shared" si="55"/>
        <v>0</v>
      </c>
      <c r="AC77" s="170"/>
      <c r="AD77" s="170"/>
      <c r="AE77" s="170">
        <f t="shared" si="56"/>
        <v>0</v>
      </c>
    </row>
    <row r="78" spans="1:192" s="159" customFormat="1" ht="31.5" x14ac:dyDescent="0.25">
      <c r="A78" s="167" t="s">
        <v>281</v>
      </c>
      <c r="B78" s="168">
        <v>2</v>
      </c>
      <c r="C78" s="168">
        <v>606</v>
      </c>
      <c r="D78" s="172">
        <v>5100</v>
      </c>
      <c r="E78" s="170">
        <f t="shared" si="7"/>
        <v>50000</v>
      </c>
      <c r="F78" s="170">
        <f t="shared" si="7"/>
        <v>50000</v>
      </c>
      <c r="G78" s="170">
        <f t="shared" si="7"/>
        <v>0</v>
      </c>
      <c r="H78" s="170">
        <v>18700</v>
      </c>
      <c r="I78" s="170">
        <v>18700</v>
      </c>
      <c r="J78" s="170">
        <f t="shared" si="8"/>
        <v>0</v>
      </c>
      <c r="K78" s="170"/>
      <c r="L78" s="170"/>
      <c r="M78" s="170">
        <f t="shared" si="50"/>
        <v>0</v>
      </c>
      <c r="N78" s="170"/>
      <c r="O78" s="170"/>
      <c r="P78" s="170">
        <f t="shared" si="51"/>
        <v>0</v>
      </c>
      <c r="Q78" s="170"/>
      <c r="R78" s="170"/>
      <c r="S78" s="170">
        <f t="shared" si="52"/>
        <v>0</v>
      </c>
      <c r="T78" s="170"/>
      <c r="U78" s="170"/>
      <c r="V78" s="170">
        <f t="shared" si="53"/>
        <v>0</v>
      </c>
      <c r="W78" s="170">
        <f>10904+20396</f>
        <v>31300</v>
      </c>
      <c r="X78" s="170">
        <f>10904+20396</f>
        <v>31300</v>
      </c>
      <c r="Y78" s="170">
        <f t="shared" si="54"/>
        <v>0</v>
      </c>
      <c r="Z78" s="170"/>
      <c r="AA78" s="170"/>
      <c r="AB78" s="170">
        <f t="shared" si="55"/>
        <v>0</v>
      </c>
      <c r="AC78" s="170"/>
      <c r="AD78" s="170"/>
      <c r="AE78" s="170">
        <f t="shared" si="56"/>
        <v>0</v>
      </c>
    </row>
    <row r="79" spans="1:192" s="159" customFormat="1" ht="47.25" x14ac:dyDescent="0.25">
      <c r="A79" s="167" t="s">
        <v>282</v>
      </c>
      <c r="B79" s="168">
        <v>2</v>
      </c>
      <c r="C79" s="168">
        <v>606</v>
      </c>
      <c r="D79" s="172">
        <v>5100</v>
      </c>
      <c r="E79" s="170">
        <f t="shared" si="7"/>
        <v>3850000</v>
      </c>
      <c r="F79" s="170">
        <f t="shared" si="7"/>
        <v>3850000</v>
      </c>
      <c r="G79" s="170">
        <f t="shared" si="7"/>
        <v>0</v>
      </c>
      <c r="H79" s="170"/>
      <c r="I79" s="170"/>
      <c r="J79" s="170">
        <f t="shared" si="8"/>
        <v>0</v>
      </c>
      <c r="K79" s="170"/>
      <c r="L79" s="170"/>
      <c r="M79" s="170">
        <f t="shared" si="50"/>
        <v>0</v>
      </c>
      <c r="N79" s="170"/>
      <c r="O79" s="170"/>
      <c r="P79" s="170">
        <f t="shared" si="51"/>
        <v>0</v>
      </c>
      <c r="Q79" s="170"/>
      <c r="R79" s="170"/>
      <c r="S79" s="170">
        <f t="shared" si="52"/>
        <v>0</v>
      </c>
      <c r="T79" s="170"/>
      <c r="U79" s="170"/>
      <c r="V79" s="170">
        <f t="shared" si="53"/>
        <v>0</v>
      </c>
      <c r="W79" s="170">
        <v>3850000</v>
      </c>
      <c r="X79" s="170">
        <v>3850000</v>
      </c>
      <c r="Y79" s="170">
        <f t="shared" si="54"/>
        <v>0</v>
      </c>
      <c r="Z79" s="170"/>
      <c r="AA79" s="170"/>
      <c r="AB79" s="170">
        <f t="shared" si="55"/>
        <v>0</v>
      </c>
      <c r="AC79" s="170"/>
      <c r="AD79" s="170"/>
      <c r="AE79" s="170">
        <f t="shared" si="56"/>
        <v>0</v>
      </c>
    </row>
    <row r="80" spans="1:192" s="156" customFormat="1" ht="47.25" x14ac:dyDescent="0.25">
      <c r="A80" s="177" t="s">
        <v>283</v>
      </c>
      <c r="B80" s="166"/>
      <c r="C80" s="166"/>
      <c r="D80" s="172"/>
      <c r="E80" s="158">
        <f t="shared" si="7"/>
        <v>585135</v>
      </c>
      <c r="F80" s="158">
        <f t="shared" si="7"/>
        <v>272829</v>
      </c>
      <c r="G80" s="158">
        <f t="shared" si="7"/>
        <v>-312306</v>
      </c>
      <c r="H80" s="158">
        <f t="shared" ref="H80" si="57">SUM(H81:H116)</f>
        <v>0</v>
      </c>
      <c r="I80" s="158">
        <f t="shared" ref="I80:AD80" si="58">SUM(I81:I116)</f>
        <v>0</v>
      </c>
      <c r="J80" s="158">
        <f t="shared" si="8"/>
        <v>0</v>
      </c>
      <c r="K80" s="158">
        <f t="shared" ref="K80" si="59">SUM(K81:K116)</f>
        <v>246684</v>
      </c>
      <c r="L80" s="158">
        <f t="shared" si="58"/>
        <v>85102</v>
      </c>
      <c r="M80" s="158">
        <f t="shared" si="50"/>
        <v>-161582</v>
      </c>
      <c r="N80" s="158">
        <f t="shared" ref="N80" si="60">SUM(N81:N116)</f>
        <v>338451</v>
      </c>
      <c r="O80" s="158">
        <f t="shared" si="58"/>
        <v>187727</v>
      </c>
      <c r="P80" s="158">
        <f t="shared" si="51"/>
        <v>-150724</v>
      </c>
      <c r="Q80" s="158">
        <f t="shared" ref="Q80" si="61">SUM(Q81:Q116)</f>
        <v>0</v>
      </c>
      <c r="R80" s="158">
        <f t="shared" si="58"/>
        <v>0</v>
      </c>
      <c r="S80" s="158">
        <f t="shared" si="52"/>
        <v>0</v>
      </c>
      <c r="T80" s="158">
        <f t="shared" ref="T80" si="62">SUM(T81:T116)</f>
        <v>0</v>
      </c>
      <c r="U80" s="158">
        <f t="shared" si="58"/>
        <v>0</v>
      </c>
      <c r="V80" s="158">
        <f t="shared" si="53"/>
        <v>0</v>
      </c>
      <c r="W80" s="158">
        <f t="shared" ref="W80" si="63">SUM(W81:W116)</f>
        <v>0</v>
      </c>
      <c r="X80" s="158">
        <f t="shared" si="58"/>
        <v>0</v>
      </c>
      <c r="Y80" s="158">
        <f t="shared" si="54"/>
        <v>0</v>
      </c>
      <c r="Z80" s="158">
        <f t="shared" ref="Z80" si="64">SUM(Z81:Z116)</f>
        <v>0</v>
      </c>
      <c r="AA80" s="158">
        <f t="shared" si="58"/>
        <v>0</v>
      </c>
      <c r="AB80" s="158">
        <f t="shared" si="55"/>
        <v>0</v>
      </c>
      <c r="AC80" s="158">
        <f t="shared" ref="AC80" si="65">SUM(AC81:AC116)</f>
        <v>0</v>
      </c>
      <c r="AD80" s="158">
        <f t="shared" si="58"/>
        <v>0</v>
      </c>
      <c r="AE80" s="158">
        <f t="shared" si="56"/>
        <v>0</v>
      </c>
    </row>
    <row r="81" spans="1:31" s="159" customFormat="1" ht="31.5" x14ac:dyDescent="0.25">
      <c r="A81" s="178" t="s">
        <v>284</v>
      </c>
      <c r="B81" s="168">
        <v>2</v>
      </c>
      <c r="C81" s="168">
        <v>606</v>
      </c>
      <c r="D81" s="172">
        <v>5100</v>
      </c>
      <c r="E81" s="170">
        <f t="shared" si="7"/>
        <v>57171</v>
      </c>
      <c r="F81" s="170">
        <f t="shared" si="7"/>
        <v>38908</v>
      </c>
      <c r="G81" s="170">
        <f t="shared" si="7"/>
        <v>-18263</v>
      </c>
      <c r="H81" s="170"/>
      <c r="I81" s="170"/>
      <c r="J81" s="170">
        <f t="shared" si="8"/>
        <v>0</v>
      </c>
      <c r="K81" s="170">
        <f>41161</f>
        <v>41161</v>
      </c>
      <c r="L81" s="170">
        <f>41161-2253</f>
        <v>38908</v>
      </c>
      <c r="M81" s="170">
        <f t="shared" si="50"/>
        <v>-2253</v>
      </c>
      <c r="N81" s="170">
        <f>5010+11000</f>
        <v>16010</v>
      </c>
      <c r="O81" s="170">
        <f>5010+11000-16010</f>
        <v>0</v>
      </c>
      <c r="P81" s="170">
        <f t="shared" si="51"/>
        <v>-16010</v>
      </c>
      <c r="Q81" s="170"/>
      <c r="R81" s="170"/>
      <c r="S81" s="170">
        <f t="shared" si="52"/>
        <v>0</v>
      </c>
      <c r="T81" s="170"/>
      <c r="U81" s="170"/>
      <c r="V81" s="170">
        <f t="shared" si="53"/>
        <v>0</v>
      </c>
      <c r="W81" s="170"/>
      <c r="X81" s="170"/>
      <c r="Y81" s="170">
        <f t="shared" si="54"/>
        <v>0</v>
      </c>
      <c r="Z81" s="170"/>
      <c r="AA81" s="170"/>
      <c r="AB81" s="170">
        <f t="shared" si="55"/>
        <v>0</v>
      </c>
      <c r="AC81" s="170"/>
      <c r="AD81" s="170"/>
      <c r="AE81" s="170">
        <f t="shared" si="56"/>
        <v>0</v>
      </c>
    </row>
    <row r="82" spans="1:31" s="159" customFormat="1" x14ac:dyDescent="0.25">
      <c r="A82" s="178" t="s">
        <v>285</v>
      </c>
      <c r="B82" s="168">
        <v>2</v>
      </c>
      <c r="C82" s="168">
        <v>606</v>
      </c>
      <c r="D82" s="172">
        <v>5100</v>
      </c>
      <c r="E82" s="170">
        <f t="shared" si="7"/>
        <v>11000</v>
      </c>
      <c r="F82" s="170">
        <f t="shared" si="7"/>
        <v>11000</v>
      </c>
      <c r="G82" s="170">
        <f t="shared" si="7"/>
        <v>0</v>
      </c>
      <c r="H82" s="170"/>
      <c r="I82" s="170"/>
      <c r="J82" s="170">
        <f t="shared" si="8"/>
        <v>0</v>
      </c>
      <c r="K82" s="170"/>
      <c r="L82" s="170"/>
      <c r="M82" s="170">
        <f t="shared" si="50"/>
        <v>0</v>
      </c>
      <c r="N82" s="170">
        <v>11000</v>
      </c>
      <c r="O82" s="170">
        <v>11000</v>
      </c>
      <c r="P82" s="170">
        <f t="shared" si="51"/>
        <v>0</v>
      </c>
      <c r="Q82" s="170"/>
      <c r="R82" s="170"/>
      <c r="S82" s="170">
        <f t="shared" si="52"/>
        <v>0</v>
      </c>
      <c r="T82" s="170"/>
      <c r="U82" s="170"/>
      <c r="V82" s="170">
        <f t="shared" si="53"/>
        <v>0</v>
      </c>
      <c r="W82" s="170"/>
      <c r="X82" s="170"/>
      <c r="Y82" s="170">
        <f t="shared" si="54"/>
        <v>0</v>
      </c>
      <c r="Z82" s="170"/>
      <c r="AA82" s="170"/>
      <c r="AB82" s="170">
        <f t="shared" si="55"/>
        <v>0</v>
      </c>
      <c r="AC82" s="170"/>
      <c r="AD82" s="170"/>
      <c r="AE82" s="170">
        <f t="shared" si="56"/>
        <v>0</v>
      </c>
    </row>
    <row r="83" spans="1:31" s="159" customFormat="1" ht="31.5" x14ac:dyDescent="0.25">
      <c r="A83" s="178" t="s">
        <v>286</v>
      </c>
      <c r="B83" s="168">
        <v>2</v>
      </c>
      <c r="C83" s="168">
        <v>606</v>
      </c>
      <c r="D83" s="172">
        <v>5100</v>
      </c>
      <c r="E83" s="170">
        <f t="shared" si="7"/>
        <v>35001</v>
      </c>
      <c r="F83" s="170">
        <f t="shared" si="7"/>
        <v>0</v>
      </c>
      <c r="G83" s="170">
        <f t="shared" si="7"/>
        <v>-35001</v>
      </c>
      <c r="H83" s="170"/>
      <c r="I83" s="170"/>
      <c r="J83" s="170">
        <f t="shared" si="8"/>
        <v>0</v>
      </c>
      <c r="K83" s="170">
        <f>4780+25712</f>
        <v>30492</v>
      </c>
      <c r="L83" s="170">
        <f>4780+25712-30492</f>
        <v>0</v>
      </c>
      <c r="M83" s="170">
        <f t="shared" si="50"/>
        <v>-30492</v>
      </c>
      <c r="N83" s="170">
        <f>4773+11000-13264+2000</f>
        <v>4509</v>
      </c>
      <c r="O83" s="170">
        <f>4773+11000-13264+2000-4509</f>
        <v>0</v>
      </c>
      <c r="P83" s="170">
        <f t="shared" si="51"/>
        <v>-4509</v>
      </c>
      <c r="Q83" s="170"/>
      <c r="R83" s="170"/>
      <c r="S83" s="170">
        <f t="shared" si="52"/>
        <v>0</v>
      </c>
      <c r="T83" s="170"/>
      <c r="U83" s="170"/>
      <c r="V83" s="170">
        <f t="shared" si="53"/>
        <v>0</v>
      </c>
      <c r="W83" s="170"/>
      <c r="X83" s="170"/>
      <c r="Y83" s="170">
        <f t="shared" si="54"/>
        <v>0</v>
      </c>
      <c r="Z83" s="170"/>
      <c r="AA83" s="170"/>
      <c r="AB83" s="170">
        <f t="shared" si="55"/>
        <v>0</v>
      </c>
      <c r="AC83" s="170"/>
      <c r="AD83" s="170"/>
      <c r="AE83" s="170">
        <f t="shared" si="56"/>
        <v>0</v>
      </c>
    </row>
    <row r="84" spans="1:31" s="159" customFormat="1" x14ac:dyDescent="0.25">
      <c r="A84" s="178" t="s">
        <v>287</v>
      </c>
      <c r="B84" s="168">
        <v>2</v>
      </c>
      <c r="C84" s="168">
        <v>606</v>
      </c>
      <c r="D84" s="172">
        <v>5100</v>
      </c>
      <c r="E84" s="170">
        <f t="shared" si="7"/>
        <v>4000</v>
      </c>
      <c r="F84" s="170">
        <f t="shared" si="7"/>
        <v>4000</v>
      </c>
      <c r="G84" s="170">
        <f t="shared" si="7"/>
        <v>0</v>
      </c>
      <c r="H84" s="170"/>
      <c r="I84" s="170"/>
      <c r="J84" s="170">
        <f t="shared" si="8"/>
        <v>0</v>
      </c>
      <c r="K84" s="170"/>
      <c r="L84" s="170"/>
      <c r="M84" s="170">
        <f t="shared" si="50"/>
        <v>0</v>
      </c>
      <c r="N84" s="170">
        <v>4000</v>
      </c>
      <c r="O84" s="170">
        <v>4000</v>
      </c>
      <c r="P84" s="170">
        <f t="shared" si="51"/>
        <v>0</v>
      </c>
      <c r="Q84" s="170"/>
      <c r="R84" s="170"/>
      <c r="S84" s="170">
        <f t="shared" si="52"/>
        <v>0</v>
      </c>
      <c r="T84" s="170"/>
      <c r="U84" s="170"/>
      <c r="V84" s="170">
        <f t="shared" si="53"/>
        <v>0</v>
      </c>
      <c r="W84" s="170"/>
      <c r="X84" s="170"/>
      <c r="Y84" s="170">
        <f t="shared" si="54"/>
        <v>0</v>
      </c>
      <c r="Z84" s="170"/>
      <c r="AA84" s="170"/>
      <c r="AB84" s="170">
        <f t="shared" si="55"/>
        <v>0</v>
      </c>
      <c r="AC84" s="170"/>
      <c r="AD84" s="170"/>
      <c r="AE84" s="170">
        <f t="shared" si="56"/>
        <v>0</v>
      </c>
    </row>
    <row r="85" spans="1:31" s="159" customFormat="1" x14ac:dyDescent="0.25">
      <c r="A85" s="178" t="s">
        <v>288</v>
      </c>
      <c r="B85" s="168">
        <v>2</v>
      </c>
      <c r="C85" s="168">
        <v>606</v>
      </c>
      <c r="D85" s="172">
        <v>5100</v>
      </c>
      <c r="E85" s="170">
        <f t="shared" si="7"/>
        <v>5000</v>
      </c>
      <c r="F85" s="170">
        <f t="shared" si="7"/>
        <v>0</v>
      </c>
      <c r="G85" s="170">
        <f t="shared" si="7"/>
        <v>-5000</v>
      </c>
      <c r="H85" s="170"/>
      <c r="I85" s="170"/>
      <c r="J85" s="170">
        <f t="shared" si="8"/>
        <v>0</v>
      </c>
      <c r="K85" s="170"/>
      <c r="L85" s="170"/>
      <c r="M85" s="170">
        <f t="shared" si="50"/>
        <v>0</v>
      </c>
      <c r="N85" s="170">
        <v>5000</v>
      </c>
      <c r="O85" s="170">
        <f>5000-5000</f>
        <v>0</v>
      </c>
      <c r="P85" s="170">
        <f t="shared" si="51"/>
        <v>-5000</v>
      </c>
      <c r="Q85" s="170"/>
      <c r="R85" s="170"/>
      <c r="S85" s="170">
        <f t="shared" si="52"/>
        <v>0</v>
      </c>
      <c r="T85" s="170"/>
      <c r="U85" s="170"/>
      <c r="V85" s="170">
        <f t="shared" si="53"/>
        <v>0</v>
      </c>
      <c r="W85" s="170"/>
      <c r="X85" s="170"/>
      <c r="Y85" s="170">
        <f t="shared" si="54"/>
        <v>0</v>
      </c>
      <c r="Z85" s="170"/>
      <c r="AA85" s="170"/>
      <c r="AB85" s="170">
        <f t="shared" si="55"/>
        <v>0</v>
      </c>
      <c r="AC85" s="170"/>
      <c r="AD85" s="170"/>
      <c r="AE85" s="170">
        <f t="shared" si="56"/>
        <v>0</v>
      </c>
    </row>
    <row r="86" spans="1:31" s="159" customFormat="1" x14ac:dyDescent="0.25">
      <c r="A86" s="178" t="s">
        <v>289</v>
      </c>
      <c r="B86" s="168">
        <v>2</v>
      </c>
      <c r="C86" s="168">
        <v>606</v>
      </c>
      <c r="D86" s="172">
        <v>5100</v>
      </c>
      <c r="E86" s="170">
        <f t="shared" ref="E86:G144" si="66">H86+K86+N86+Q86+T86+W86+AC86+Z86</f>
        <v>4000</v>
      </c>
      <c r="F86" s="170">
        <f t="shared" si="66"/>
        <v>4000</v>
      </c>
      <c r="G86" s="170">
        <f t="shared" si="66"/>
        <v>0</v>
      </c>
      <c r="H86" s="170"/>
      <c r="I86" s="170"/>
      <c r="J86" s="170">
        <f t="shared" si="8"/>
        <v>0</v>
      </c>
      <c r="K86" s="170"/>
      <c r="L86" s="170"/>
      <c r="M86" s="170">
        <f t="shared" si="50"/>
        <v>0</v>
      </c>
      <c r="N86" s="170">
        <v>4000</v>
      </c>
      <c r="O86" s="170">
        <v>4000</v>
      </c>
      <c r="P86" s="170">
        <f t="shared" si="51"/>
        <v>0</v>
      </c>
      <c r="Q86" s="170"/>
      <c r="R86" s="170"/>
      <c r="S86" s="170">
        <f t="shared" si="52"/>
        <v>0</v>
      </c>
      <c r="T86" s="170"/>
      <c r="U86" s="170"/>
      <c r="V86" s="170">
        <f t="shared" si="53"/>
        <v>0</v>
      </c>
      <c r="W86" s="170"/>
      <c r="X86" s="170"/>
      <c r="Y86" s="170">
        <f t="shared" si="54"/>
        <v>0</v>
      </c>
      <c r="Z86" s="170"/>
      <c r="AA86" s="170"/>
      <c r="AB86" s="170">
        <f t="shared" si="55"/>
        <v>0</v>
      </c>
      <c r="AC86" s="170"/>
      <c r="AD86" s="170"/>
      <c r="AE86" s="170">
        <f t="shared" si="56"/>
        <v>0</v>
      </c>
    </row>
    <row r="87" spans="1:31" s="159" customFormat="1" x14ac:dyDescent="0.25">
      <c r="A87" s="178" t="s">
        <v>290</v>
      </c>
      <c r="B87" s="168">
        <v>2</v>
      </c>
      <c r="C87" s="168">
        <v>606</v>
      </c>
      <c r="D87" s="172">
        <v>5100</v>
      </c>
      <c r="E87" s="170">
        <f t="shared" si="66"/>
        <v>7000</v>
      </c>
      <c r="F87" s="170">
        <f t="shared" si="66"/>
        <v>6999</v>
      </c>
      <c r="G87" s="170">
        <f t="shared" si="66"/>
        <v>-1</v>
      </c>
      <c r="H87" s="170"/>
      <c r="I87" s="170"/>
      <c r="J87" s="170">
        <f t="shared" si="8"/>
        <v>0</v>
      </c>
      <c r="K87" s="170"/>
      <c r="L87" s="170"/>
      <c r="M87" s="170">
        <f t="shared" si="50"/>
        <v>0</v>
      </c>
      <c r="N87" s="170">
        <v>7000</v>
      </c>
      <c r="O87" s="170">
        <f>7000-1</f>
        <v>6999</v>
      </c>
      <c r="P87" s="170">
        <f t="shared" si="51"/>
        <v>-1</v>
      </c>
      <c r="Q87" s="170"/>
      <c r="R87" s="170"/>
      <c r="S87" s="170">
        <f t="shared" si="52"/>
        <v>0</v>
      </c>
      <c r="T87" s="170"/>
      <c r="U87" s="170"/>
      <c r="V87" s="170">
        <f t="shared" si="53"/>
        <v>0</v>
      </c>
      <c r="W87" s="170"/>
      <c r="X87" s="170"/>
      <c r="Y87" s="170">
        <f t="shared" si="54"/>
        <v>0</v>
      </c>
      <c r="Z87" s="170"/>
      <c r="AA87" s="170"/>
      <c r="AB87" s="170">
        <f t="shared" si="55"/>
        <v>0</v>
      </c>
      <c r="AC87" s="170"/>
      <c r="AD87" s="170"/>
      <c r="AE87" s="170">
        <f t="shared" si="56"/>
        <v>0</v>
      </c>
    </row>
    <row r="88" spans="1:31" s="159" customFormat="1" ht="31.5" x14ac:dyDescent="0.25">
      <c r="A88" s="178" t="s">
        <v>291</v>
      </c>
      <c r="B88" s="168">
        <v>2</v>
      </c>
      <c r="C88" s="168">
        <v>606</v>
      </c>
      <c r="D88" s="172">
        <v>5100</v>
      </c>
      <c r="E88" s="170">
        <f t="shared" si="66"/>
        <v>16398</v>
      </c>
      <c r="F88" s="170">
        <f t="shared" si="66"/>
        <v>16396</v>
      </c>
      <c r="G88" s="170">
        <f t="shared" si="66"/>
        <v>-2</v>
      </c>
      <c r="H88" s="170"/>
      <c r="I88" s="170"/>
      <c r="J88" s="170">
        <f t="shared" si="8"/>
        <v>0</v>
      </c>
      <c r="K88" s="170">
        <v>8898</v>
      </c>
      <c r="L88" s="170">
        <v>8898</v>
      </c>
      <c r="M88" s="170">
        <f t="shared" si="50"/>
        <v>0</v>
      </c>
      <c r="N88" s="170">
        <v>7500</v>
      </c>
      <c r="O88" s="170">
        <f>7500-2</f>
        <v>7498</v>
      </c>
      <c r="P88" s="170">
        <f t="shared" si="51"/>
        <v>-2</v>
      </c>
      <c r="Q88" s="170"/>
      <c r="R88" s="170"/>
      <c r="S88" s="170">
        <f t="shared" si="52"/>
        <v>0</v>
      </c>
      <c r="T88" s="170"/>
      <c r="U88" s="170"/>
      <c r="V88" s="170">
        <f t="shared" si="53"/>
        <v>0</v>
      </c>
      <c r="W88" s="170"/>
      <c r="X88" s="170"/>
      <c r="Y88" s="170">
        <f t="shared" si="54"/>
        <v>0</v>
      </c>
      <c r="Z88" s="170"/>
      <c r="AA88" s="170"/>
      <c r="AB88" s="170">
        <f t="shared" si="55"/>
        <v>0</v>
      </c>
      <c r="AC88" s="170"/>
      <c r="AD88" s="170"/>
      <c r="AE88" s="170">
        <f t="shared" si="56"/>
        <v>0</v>
      </c>
    </row>
    <row r="89" spans="1:31" s="159" customFormat="1" x14ac:dyDescent="0.25">
      <c r="A89" s="178" t="s">
        <v>292</v>
      </c>
      <c r="B89" s="168">
        <v>2</v>
      </c>
      <c r="C89" s="168">
        <v>606</v>
      </c>
      <c r="D89" s="172">
        <v>5100</v>
      </c>
      <c r="E89" s="170">
        <f t="shared" si="66"/>
        <v>4000</v>
      </c>
      <c r="F89" s="170">
        <f t="shared" si="66"/>
        <v>4000</v>
      </c>
      <c r="G89" s="170">
        <f t="shared" si="66"/>
        <v>0</v>
      </c>
      <c r="H89" s="170"/>
      <c r="I89" s="170"/>
      <c r="J89" s="170">
        <f t="shared" si="8"/>
        <v>0</v>
      </c>
      <c r="K89" s="170"/>
      <c r="L89" s="170"/>
      <c r="M89" s="170">
        <f t="shared" si="50"/>
        <v>0</v>
      </c>
      <c r="N89" s="170">
        <v>4000</v>
      </c>
      <c r="O89" s="170">
        <v>4000</v>
      </c>
      <c r="P89" s="170">
        <f t="shared" si="51"/>
        <v>0</v>
      </c>
      <c r="Q89" s="170"/>
      <c r="R89" s="170"/>
      <c r="S89" s="170">
        <f t="shared" si="52"/>
        <v>0</v>
      </c>
      <c r="T89" s="170"/>
      <c r="U89" s="170"/>
      <c r="V89" s="170">
        <f t="shared" si="53"/>
        <v>0</v>
      </c>
      <c r="W89" s="170"/>
      <c r="X89" s="170"/>
      <c r="Y89" s="170">
        <f t="shared" si="54"/>
        <v>0</v>
      </c>
      <c r="Z89" s="170"/>
      <c r="AA89" s="170"/>
      <c r="AB89" s="170">
        <f t="shared" si="55"/>
        <v>0</v>
      </c>
      <c r="AC89" s="170"/>
      <c r="AD89" s="170"/>
      <c r="AE89" s="170">
        <f t="shared" si="56"/>
        <v>0</v>
      </c>
    </row>
    <row r="90" spans="1:31" s="159" customFormat="1" ht="31.5" x14ac:dyDescent="0.25">
      <c r="A90" s="178" t="s">
        <v>293</v>
      </c>
      <c r="B90" s="168">
        <v>2</v>
      </c>
      <c r="C90" s="168">
        <v>606</v>
      </c>
      <c r="D90" s="172">
        <v>5100</v>
      </c>
      <c r="E90" s="170">
        <f t="shared" si="66"/>
        <v>23702</v>
      </c>
      <c r="F90" s="170">
        <f t="shared" si="66"/>
        <v>0</v>
      </c>
      <c r="G90" s="170">
        <f t="shared" si="66"/>
        <v>-23702</v>
      </c>
      <c r="H90" s="170"/>
      <c r="I90" s="170"/>
      <c r="J90" s="170">
        <f t="shared" si="8"/>
        <v>0</v>
      </c>
      <c r="K90" s="170">
        <f>15702</f>
        <v>15702</v>
      </c>
      <c r="L90" s="170">
        <f>15702-15702</f>
        <v>0</v>
      </c>
      <c r="M90" s="170">
        <f t="shared" si="50"/>
        <v>-15702</v>
      </c>
      <c r="N90" s="170">
        <v>8000</v>
      </c>
      <c r="O90" s="170">
        <f>8000-8000</f>
        <v>0</v>
      </c>
      <c r="P90" s="170">
        <f t="shared" si="51"/>
        <v>-8000</v>
      </c>
      <c r="Q90" s="170"/>
      <c r="R90" s="170"/>
      <c r="S90" s="170">
        <f t="shared" si="52"/>
        <v>0</v>
      </c>
      <c r="T90" s="170"/>
      <c r="U90" s="170"/>
      <c r="V90" s="170">
        <f t="shared" si="53"/>
        <v>0</v>
      </c>
      <c r="W90" s="170"/>
      <c r="X90" s="170"/>
      <c r="Y90" s="170">
        <f t="shared" si="54"/>
        <v>0</v>
      </c>
      <c r="Z90" s="170"/>
      <c r="AA90" s="170"/>
      <c r="AB90" s="170">
        <f t="shared" si="55"/>
        <v>0</v>
      </c>
      <c r="AC90" s="170"/>
      <c r="AD90" s="170"/>
      <c r="AE90" s="170">
        <f t="shared" si="56"/>
        <v>0</v>
      </c>
    </row>
    <row r="91" spans="1:31" s="159" customFormat="1" x14ac:dyDescent="0.25">
      <c r="A91" s="178" t="s">
        <v>294</v>
      </c>
      <c r="B91" s="168">
        <v>2</v>
      </c>
      <c r="C91" s="168">
        <v>606</v>
      </c>
      <c r="D91" s="172">
        <v>5100</v>
      </c>
      <c r="E91" s="170">
        <f t="shared" si="66"/>
        <v>11000</v>
      </c>
      <c r="F91" s="170">
        <f t="shared" si="66"/>
        <v>0</v>
      </c>
      <c r="G91" s="170">
        <f t="shared" si="66"/>
        <v>-11000</v>
      </c>
      <c r="H91" s="170"/>
      <c r="I91" s="170"/>
      <c r="J91" s="170">
        <f t="shared" si="8"/>
        <v>0</v>
      </c>
      <c r="K91" s="170"/>
      <c r="L91" s="170"/>
      <c r="M91" s="170">
        <f t="shared" si="50"/>
        <v>0</v>
      </c>
      <c r="N91" s="170">
        <v>11000</v>
      </c>
      <c r="O91" s="170">
        <f>11000-11000</f>
        <v>0</v>
      </c>
      <c r="P91" s="170">
        <f t="shared" si="51"/>
        <v>-11000</v>
      </c>
      <c r="Q91" s="170"/>
      <c r="R91" s="170"/>
      <c r="S91" s="170">
        <f t="shared" si="52"/>
        <v>0</v>
      </c>
      <c r="T91" s="170"/>
      <c r="U91" s="170"/>
      <c r="V91" s="170">
        <f t="shared" si="53"/>
        <v>0</v>
      </c>
      <c r="W91" s="170"/>
      <c r="X91" s="170"/>
      <c r="Y91" s="170">
        <f t="shared" si="54"/>
        <v>0</v>
      </c>
      <c r="Z91" s="170"/>
      <c r="AA91" s="170"/>
      <c r="AB91" s="170">
        <f t="shared" si="55"/>
        <v>0</v>
      </c>
      <c r="AC91" s="170"/>
      <c r="AD91" s="170"/>
      <c r="AE91" s="170">
        <f t="shared" si="56"/>
        <v>0</v>
      </c>
    </row>
    <row r="92" spans="1:31" s="159" customFormat="1" ht="31.5" x14ac:dyDescent="0.25">
      <c r="A92" s="178" t="s">
        <v>295</v>
      </c>
      <c r="B92" s="168">
        <v>2</v>
      </c>
      <c r="C92" s="168">
        <v>606</v>
      </c>
      <c r="D92" s="172">
        <v>5100</v>
      </c>
      <c r="E92" s="170">
        <f t="shared" si="66"/>
        <v>8697</v>
      </c>
      <c r="F92" s="170">
        <f t="shared" si="66"/>
        <v>8673</v>
      </c>
      <c r="G92" s="170">
        <f t="shared" si="66"/>
        <v>-24</v>
      </c>
      <c r="H92" s="170"/>
      <c r="I92" s="170"/>
      <c r="J92" s="170">
        <f t="shared" si="8"/>
        <v>0</v>
      </c>
      <c r="K92" s="170"/>
      <c r="L92" s="170"/>
      <c r="M92" s="170">
        <f t="shared" si="50"/>
        <v>0</v>
      </c>
      <c r="N92" s="170">
        <f>197+8500</f>
        <v>8697</v>
      </c>
      <c r="O92" s="170">
        <f>197+8500-24</f>
        <v>8673</v>
      </c>
      <c r="P92" s="170">
        <f t="shared" si="51"/>
        <v>-24</v>
      </c>
      <c r="Q92" s="170"/>
      <c r="R92" s="170"/>
      <c r="S92" s="170">
        <f t="shared" si="52"/>
        <v>0</v>
      </c>
      <c r="T92" s="170"/>
      <c r="U92" s="170"/>
      <c r="V92" s="170">
        <f t="shared" si="53"/>
        <v>0</v>
      </c>
      <c r="W92" s="170"/>
      <c r="X92" s="170"/>
      <c r="Y92" s="170">
        <f t="shared" si="54"/>
        <v>0</v>
      </c>
      <c r="Z92" s="170"/>
      <c r="AA92" s="170"/>
      <c r="AB92" s="170">
        <f t="shared" si="55"/>
        <v>0</v>
      </c>
      <c r="AC92" s="170"/>
      <c r="AD92" s="170"/>
      <c r="AE92" s="170">
        <f t="shared" si="56"/>
        <v>0</v>
      </c>
    </row>
    <row r="93" spans="1:31" s="159" customFormat="1" x14ac:dyDescent="0.25">
      <c r="A93" s="178" t="s">
        <v>296</v>
      </c>
      <c r="B93" s="168">
        <v>2</v>
      </c>
      <c r="C93" s="168">
        <v>606</v>
      </c>
      <c r="D93" s="172">
        <v>5100</v>
      </c>
      <c r="E93" s="170">
        <f t="shared" si="66"/>
        <v>17000</v>
      </c>
      <c r="F93" s="170">
        <f t="shared" si="66"/>
        <v>0</v>
      </c>
      <c r="G93" s="170">
        <f t="shared" si="66"/>
        <v>-17000</v>
      </c>
      <c r="H93" s="170"/>
      <c r="I93" s="170"/>
      <c r="J93" s="170">
        <f t="shared" si="8"/>
        <v>0</v>
      </c>
      <c r="K93" s="170">
        <v>8500</v>
      </c>
      <c r="L93" s="170">
        <f>8500-8500</f>
        <v>0</v>
      </c>
      <c r="M93" s="170">
        <f t="shared" si="50"/>
        <v>-8500</v>
      </c>
      <c r="N93" s="170">
        <v>8500</v>
      </c>
      <c r="O93" s="170">
        <f>8500-8500</f>
        <v>0</v>
      </c>
      <c r="P93" s="170">
        <f t="shared" si="51"/>
        <v>-8500</v>
      </c>
      <c r="Q93" s="170"/>
      <c r="R93" s="170"/>
      <c r="S93" s="170">
        <f t="shared" si="52"/>
        <v>0</v>
      </c>
      <c r="T93" s="170"/>
      <c r="U93" s="170"/>
      <c r="V93" s="170">
        <f t="shared" si="53"/>
        <v>0</v>
      </c>
      <c r="W93" s="170"/>
      <c r="X93" s="170"/>
      <c r="Y93" s="170">
        <f t="shared" si="54"/>
        <v>0</v>
      </c>
      <c r="Z93" s="170"/>
      <c r="AA93" s="170"/>
      <c r="AB93" s="170">
        <f t="shared" si="55"/>
        <v>0</v>
      </c>
      <c r="AC93" s="170"/>
      <c r="AD93" s="170"/>
      <c r="AE93" s="170">
        <f t="shared" si="56"/>
        <v>0</v>
      </c>
    </row>
    <row r="94" spans="1:31" s="159" customFormat="1" x14ac:dyDescent="0.25">
      <c r="A94" s="178" t="s">
        <v>297</v>
      </c>
      <c r="B94" s="168">
        <v>2</v>
      </c>
      <c r="C94" s="168">
        <v>606</v>
      </c>
      <c r="D94" s="172">
        <v>5100</v>
      </c>
      <c r="E94" s="170">
        <f t="shared" si="66"/>
        <v>5500</v>
      </c>
      <c r="F94" s="170">
        <f t="shared" si="66"/>
        <v>5500</v>
      </c>
      <c r="G94" s="170">
        <f t="shared" si="66"/>
        <v>0</v>
      </c>
      <c r="H94" s="170"/>
      <c r="I94" s="170"/>
      <c r="J94" s="170">
        <f t="shared" si="8"/>
        <v>0</v>
      </c>
      <c r="K94" s="170"/>
      <c r="L94" s="170"/>
      <c r="M94" s="170">
        <f t="shared" si="50"/>
        <v>0</v>
      </c>
      <c r="N94" s="170">
        <v>5500</v>
      </c>
      <c r="O94" s="170">
        <v>5500</v>
      </c>
      <c r="P94" s="170">
        <f t="shared" si="51"/>
        <v>0</v>
      </c>
      <c r="Q94" s="170"/>
      <c r="R94" s="170"/>
      <c r="S94" s="170">
        <f t="shared" si="52"/>
        <v>0</v>
      </c>
      <c r="T94" s="170"/>
      <c r="U94" s="170"/>
      <c r="V94" s="170">
        <f t="shared" si="53"/>
        <v>0</v>
      </c>
      <c r="W94" s="170"/>
      <c r="X94" s="170"/>
      <c r="Y94" s="170">
        <f t="shared" si="54"/>
        <v>0</v>
      </c>
      <c r="Z94" s="170"/>
      <c r="AA94" s="170"/>
      <c r="AB94" s="170">
        <f t="shared" si="55"/>
        <v>0</v>
      </c>
      <c r="AC94" s="170"/>
      <c r="AD94" s="170"/>
      <c r="AE94" s="170">
        <f t="shared" si="56"/>
        <v>0</v>
      </c>
    </row>
    <row r="95" spans="1:31" s="159" customFormat="1" x14ac:dyDescent="0.25">
      <c r="A95" s="178" t="s">
        <v>298</v>
      </c>
      <c r="B95" s="168">
        <v>2</v>
      </c>
      <c r="C95" s="168">
        <v>606</v>
      </c>
      <c r="D95" s="172">
        <v>5100</v>
      </c>
      <c r="E95" s="170">
        <f t="shared" si="66"/>
        <v>9000</v>
      </c>
      <c r="F95" s="170">
        <f t="shared" si="66"/>
        <v>9000</v>
      </c>
      <c r="G95" s="170">
        <f t="shared" si="66"/>
        <v>0</v>
      </c>
      <c r="H95" s="170"/>
      <c r="I95" s="170"/>
      <c r="J95" s="170">
        <f t="shared" si="8"/>
        <v>0</v>
      </c>
      <c r="K95" s="170"/>
      <c r="L95" s="170"/>
      <c r="M95" s="170">
        <f t="shared" si="50"/>
        <v>0</v>
      </c>
      <c r="N95" s="170">
        <v>9000</v>
      </c>
      <c r="O95" s="170">
        <v>9000</v>
      </c>
      <c r="P95" s="170">
        <f t="shared" si="51"/>
        <v>0</v>
      </c>
      <c r="Q95" s="170"/>
      <c r="R95" s="170"/>
      <c r="S95" s="170">
        <f t="shared" si="52"/>
        <v>0</v>
      </c>
      <c r="T95" s="170"/>
      <c r="U95" s="170"/>
      <c r="V95" s="170">
        <f t="shared" si="53"/>
        <v>0</v>
      </c>
      <c r="W95" s="170"/>
      <c r="X95" s="170"/>
      <c r="Y95" s="170">
        <f t="shared" si="54"/>
        <v>0</v>
      </c>
      <c r="Z95" s="170"/>
      <c r="AA95" s="170"/>
      <c r="AB95" s="170">
        <f t="shared" si="55"/>
        <v>0</v>
      </c>
      <c r="AC95" s="170"/>
      <c r="AD95" s="170"/>
      <c r="AE95" s="170">
        <f t="shared" si="56"/>
        <v>0</v>
      </c>
    </row>
    <row r="96" spans="1:31" s="159" customFormat="1" ht="31.5" x14ac:dyDescent="0.25">
      <c r="A96" s="178" t="s">
        <v>299</v>
      </c>
      <c r="B96" s="168">
        <v>2</v>
      </c>
      <c r="C96" s="168">
        <v>606</v>
      </c>
      <c r="D96" s="172">
        <v>5100</v>
      </c>
      <c r="E96" s="170">
        <f t="shared" si="66"/>
        <v>41364</v>
      </c>
      <c r="F96" s="170">
        <f t="shared" si="66"/>
        <v>22006</v>
      </c>
      <c r="G96" s="170">
        <f t="shared" si="66"/>
        <v>-19358</v>
      </c>
      <c r="H96" s="170"/>
      <c r="I96" s="170"/>
      <c r="J96" s="170">
        <f t="shared" si="8"/>
        <v>0</v>
      </c>
      <c r="K96" s="170">
        <f>11000+19364</f>
        <v>30364</v>
      </c>
      <c r="L96" s="170">
        <f>11000+19364-19358</f>
        <v>11006</v>
      </c>
      <c r="M96" s="170">
        <f t="shared" si="50"/>
        <v>-19358</v>
      </c>
      <c r="N96" s="170">
        <v>11000</v>
      </c>
      <c r="O96" s="170">
        <v>11000</v>
      </c>
      <c r="P96" s="170">
        <f t="shared" si="51"/>
        <v>0</v>
      </c>
      <c r="Q96" s="170"/>
      <c r="R96" s="170"/>
      <c r="S96" s="170">
        <f t="shared" si="52"/>
        <v>0</v>
      </c>
      <c r="T96" s="170"/>
      <c r="U96" s="170"/>
      <c r="V96" s="170">
        <f t="shared" si="53"/>
        <v>0</v>
      </c>
      <c r="W96" s="170"/>
      <c r="X96" s="170"/>
      <c r="Y96" s="170">
        <f t="shared" si="54"/>
        <v>0</v>
      </c>
      <c r="Z96" s="170"/>
      <c r="AA96" s="170"/>
      <c r="AB96" s="170">
        <f t="shared" si="55"/>
        <v>0</v>
      </c>
      <c r="AC96" s="170"/>
      <c r="AD96" s="170"/>
      <c r="AE96" s="170">
        <f t="shared" si="56"/>
        <v>0</v>
      </c>
    </row>
    <row r="97" spans="1:31" s="159" customFormat="1" x14ac:dyDescent="0.25">
      <c r="A97" s="178" t="s">
        <v>300</v>
      </c>
      <c r="B97" s="168">
        <v>2</v>
      </c>
      <c r="C97" s="168">
        <v>606</v>
      </c>
      <c r="D97" s="172">
        <v>5100</v>
      </c>
      <c r="E97" s="170">
        <f t="shared" si="66"/>
        <v>8000</v>
      </c>
      <c r="F97" s="170">
        <f t="shared" si="66"/>
        <v>7999</v>
      </c>
      <c r="G97" s="170">
        <f t="shared" si="66"/>
        <v>-1</v>
      </c>
      <c r="H97" s="170"/>
      <c r="I97" s="170"/>
      <c r="J97" s="170">
        <f t="shared" ref="J97:J236" si="67">I97-H97</f>
        <v>0</v>
      </c>
      <c r="K97" s="170"/>
      <c r="L97" s="170"/>
      <c r="M97" s="170">
        <f t="shared" si="50"/>
        <v>0</v>
      </c>
      <c r="N97" s="170">
        <v>8000</v>
      </c>
      <c r="O97" s="170">
        <f>8000-1</f>
        <v>7999</v>
      </c>
      <c r="P97" s="170">
        <f t="shared" si="51"/>
        <v>-1</v>
      </c>
      <c r="Q97" s="170"/>
      <c r="R97" s="170"/>
      <c r="S97" s="170">
        <f t="shared" si="52"/>
        <v>0</v>
      </c>
      <c r="T97" s="170"/>
      <c r="U97" s="170"/>
      <c r="V97" s="170">
        <f t="shared" si="53"/>
        <v>0</v>
      </c>
      <c r="W97" s="170"/>
      <c r="X97" s="170"/>
      <c r="Y97" s="170">
        <f t="shared" si="54"/>
        <v>0</v>
      </c>
      <c r="Z97" s="170"/>
      <c r="AA97" s="170"/>
      <c r="AB97" s="170">
        <f t="shared" si="55"/>
        <v>0</v>
      </c>
      <c r="AC97" s="170"/>
      <c r="AD97" s="170"/>
      <c r="AE97" s="170">
        <f t="shared" si="56"/>
        <v>0</v>
      </c>
    </row>
    <row r="98" spans="1:31" s="159" customFormat="1" ht="31.5" x14ac:dyDescent="0.25">
      <c r="A98" s="178" t="s">
        <v>301</v>
      </c>
      <c r="B98" s="168">
        <v>2</v>
      </c>
      <c r="C98" s="168">
        <v>606</v>
      </c>
      <c r="D98" s="172">
        <v>5100</v>
      </c>
      <c r="E98" s="170">
        <f t="shared" si="66"/>
        <v>50432</v>
      </c>
      <c r="F98" s="170">
        <f t="shared" si="66"/>
        <v>0</v>
      </c>
      <c r="G98" s="170">
        <f t="shared" si="66"/>
        <v>-50432</v>
      </c>
      <c r="H98" s="170"/>
      <c r="I98" s="170"/>
      <c r="J98" s="170">
        <f t="shared" si="67"/>
        <v>0</v>
      </c>
      <c r="K98" s="170">
        <v>36432</v>
      </c>
      <c r="L98" s="170">
        <f>36432-36432</f>
        <v>0</v>
      </c>
      <c r="M98" s="170">
        <f t="shared" si="50"/>
        <v>-36432</v>
      </c>
      <c r="N98" s="170">
        <f>11000+3000</f>
        <v>14000</v>
      </c>
      <c r="O98" s="170">
        <f>11000+3000-14000</f>
        <v>0</v>
      </c>
      <c r="P98" s="170">
        <f t="shared" si="51"/>
        <v>-14000</v>
      </c>
      <c r="Q98" s="170"/>
      <c r="R98" s="170"/>
      <c r="S98" s="170">
        <f t="shared" si="52"/>
        <v>0</v>
      </c>
      <c r="T98" s="170"/>
      <c r="U98" s="170"/>
      <c r="V98" s="170">
        <f t="shared" si="53"/>
        <v>0</v>
      </c>
      <c r="W98" s="170"/>
      <c r="X98" s="170"/>
      <c r="Y98" s="170">
        <f t="shared" si="54"/>
        <v>0</v>
      </c>
      <c r="Z98" s="170"/>
      <c r="AA98" s="170"/>
      <c r="AB98" s="170">
        <f t="shared" si="55"/>
        <v>0</v>
      </c>
      <c r="AC98" s="170"/>
      <c r="AD98" s="170"/>
      <c r="AE98" s="170">
        <f t="shared" si="56"/>
        <v>0</v>
      </c>
    </row>
    <row r="99" spans="1:31" s="159" customFormat="1" ht="31.5" x14ac:dyDescent="0.25">
      <c r="A99" s="178" t="s">
        <v>302</v>
      </c>
      <c r="B99" s="168">
        <v>2</v>
      </c>
      <c r="C99" s="168">
        <v>606</v>
      </c>
      <c r="D99" s="172">
        <v>5100</v>
      </c>
      <c r="E99" s="170">
        <f t="shared" si="66"/>
        <v>7550</v>
      </c>
      <c r="F99" s="170">
        <f t="shared" si="66"/>
        <v>7549</v>
      </c>
      <c r="G99" s="170">
        <f t="shared" si="66"/>
        <v>-1</v>
      </c>
      <c r="H99" s="170"/>
      <c r="I99" s="170"/>
      <c r="J99" s="170">
        <f t="shared" si="67"/>
        <v>0</v>
      </c>
      <c r="K99" s="170"/>
      <c r="L99" s="170"/>
      <c r="M99" s="170">
        <f t="shared" si="50"/>
        <v>0</v>
      </c>
      <c r="N99" s="170">
        <f>5000+2550</f>
        <v>7550</v>
      </c>
      <c r="O99" s="170">
        <f>5000+2550-1</f>
        <v>7549</v>
      </c>
      <c r="P99" s="170">
        <f t="shared" si="51"/>
        <v>-1</v>
      </c>
      <c r="Q99" s="170"/>
      <c r="R99" s="170"/>
      <c r="S99" s="170">
        <f t="shared" si="52"/>
        <v>0</v>
      </c>
      <c r="T99" s="170"/>
      <c r="U99" s="170"/>
      <c r="V99" s="170">
        <f t="shared" si="53"/>
        <v>0</v>
      </c>
      <c r="W99" s="170"/>
      <c r="X99" s="170"/>
      <c r="Y99" s="170">
        <f t="shared" si="54"/>
        <v>0</v>
      </c>
      <c r="Z99" s="170"/>
      <c r="AA99" s="170"/>
      <c r="AB99" s="170">
        <f t="shared" si="55"/>
        <v>0</v>
      </c>
      <c r="AC99" s="170"/>
      <c r="AD99" s="170"/>
      <c r="AE99" s="170">
        <f t="shared" si="56"/>
        <v>0</v>
      </c>
    </row>
    <row r="100" spans="1:31" s="159" customFormat="1" x14ac:dyDescent="0.25">
      <c r="A100" s="178" t="s">
        <v>303</v>
      </c>
      <c r="B100" s="168">
        <v>2</v>
      </c>
      <c r="C100" s="168">
        <v>606</v>
      </c>
      <c r="D100" s="172">
        <v>5100</v>
      </c>
      <c r="E100" s="170">
        <f t="shared" si="66"/>
        <v>11000</v>
      </c>
      <c r="F100" s="170">
        <f t="shared" si="66"/>
        <v>0</v>
      </c>
      <c r="G100" s="170">
        <f t="shared" si="66"/>
        <v>-11000</v>
      </c>
      <c r="H100" s="170"/>
      <c r="I100" s="170"/>
      <c r="J100" s="170">
        <f t="shared" si="67"/>
        <v>0</v>
      </c>
      <c r="K100" s="170"/>
      <c r="L100" s="170"/>
      <c r="M100" s="170">
        <f t="shared" si="50"/>
        <v>0</v>
      </c>
      <c r="N100" s="170">
        <v>11000</v>
      </c>
      <c r="O100" s="170">
        <f>11000-11000</f>
        <v>0</v>
      </c>
      <c r="P100" s="170">
        <f t="shared" si="51"/>
        <v>-11000</v>
      </c>
      <c r="Q100" s="170"/>
      <c r="R100" s="170"/>
      <c r="S100" s="170">
        <f t="shared" si="52"/>
        <v>0</v>
      </c>
      <c r="T100" s="170"/>
      <c r="U100" s="170"/>
      <c r="V100" s="170">
        <f t="shared" si="53"/>
        <v>0</v>
      </c>
      <c r="W100" s="170"/>
      <c r="X100" s="170"/>
      <c r="Y100" s="170">
        <f t="shared" si="54"/>
        <v>0</v>
      </c>
      <c r="Z100" s="170"/>
      <c r="AA100" s="170"/>
      <c r="AB100" s="170">
        <f t="shared" si="55"/>
        <v>0</v>
      </c>
      <c r="AC100" s="170"/>
      <c r="AD100" s="170"/>
      <c r="AE100" s="170">
        <f t="shared" si="56"/>
        <v>0</v>
      </c>
    </row>
    <row r="101" spans="1:31" s="159" customFormat="1" x14ac:dyDescent="0.25">
      <c r="A101" s="178" t="s">
        <v>304</v>
      </c>
      <c r="B101" s="168">
        <v>2</v>
      </c>
      <c r="C101" s="168">
        <v>606</v>
      </c>
      <c r="D101" s="172">
        <v>5100</v>
      </c>
      <c r="E101" s="170">
        <f t="shared" si="66"/>
        <v>9000</v>
      </c>
      <c r="F101" s="170">
        <f t="shared" si="66"/>
        <v>0</v>
      </c>
      <c r="G101" s="170">
        <f t="shared" si="66"/>
        <v>-9000</v>
      </c>
      <c r="H101" s="170"/>
      <c r="I101" s="170"/>
      <c r="J101" s="170">
        <f t="shared" si="67"/>
        <v>0</v>
      </c>
      <c r="K101" s="170"/>
      <c r="L101" s="170"/>
      <c r="M101" s="170">
        <f t="shared" si="50"/>
        <v>0</v>
      </c>
      <c r="N101" s="170">
        <v>9000</v>
      </c>
      <c r="O101" s="170">
        <f>9000-9000</f>
        <v>0</v>
      </c>
      <c r="P101" s="170">
        <f t="shared" si="51"/>
        <v>-9000</v>
      </c>
      <c r="Q101" s="170"/>
      <c r="R101" s="170"/>
      <c r="S101" s="170">
        <f t="shared" si="52"/>
        <v>0</v>
      </c>
      <c r="T101" s="170"/>
      <c r="U101" s="170"/>
      <c r="V101" s="170">
        <f t="shared" si="53"/>
        <v>0</v>
      </c>
      <c r="W101" s="170"/>
      <c r="X101" s="170"/>
      <c r="Y101" s="170">
        <f t="shared" si="54"/>
        <v>0</v>
      </c>
      <c r="Z101" s="170"/>
      <c r="AA101" s="170"/>
      <c r="AB101" s="170">
        <f t="shared" si="55"/>
        <v>0</v>
      </c>
      <c r="AC101" s="170"/>
      <c r="AD101" s="170"/>
      <c r="AE101" s="170">
        <f t="shared" si="56"/>
        <v>0</v>
      </c>
    </row>
    <row r="102" spans="1:31" s="159" customFormat="1" ht="31.5" x14ac:dyDescent="0.25">
      <c r="A102" s="178" t="s">
        <v>305</v>
      </c>
      <c r="B102" s="168">
        <v>2</v>
      </c>
      <c r="C102" s="168">
        <v>606</v>
      </c>
      <c r="D102" s="172">
        <v>5100</v>
      </c>
      <c r="E102" s="170">
        <f t="shared" si="66"/>
        <v>12270</v>
      </c>
      <c r="F102" s="170">
        <f t="shared" si="66"/>
        <v>0</v>
      </c>
      <c r="G102" s="170">
        <f t="shared" si="66"/>
        <v>-12270</v>
      </c>
      <c r="H102" s="170"/>
      <c r="I102" s="170"/>
      <c r="J102" s="170">
        <f t="shared" si="67"/>
        <v>0</v>
      </c>
      <c r="K102" s="170"/>
      <c r="L102" s="170"/>
      <c r="M102" s="170">
        <f t="shared" si="50"/>
        <v>0</v>
      </c>
      <c r="N102" s="170">
        <f>3270+9000</f>
        <v>12270</v>
      </c>
      <c r="O102" s="170">
        <f>3270+9000-12270</f>
        <v>0</v>
      </c>
      <c r="P102" s="170">
        <f t="shared" si="51"/>
        <v>-12270</v>
      </c>
      <c r="Q102" s="170"/>
      <c r="R102" s="170"/>
      <c r="S102" s="170">
        <f t="shared" si="52"/>
        <v>0</v>
      </c>
      <c r="T102" s="170"/>
      <c r="U102" s="170"/>
      <c r="V102" s="170">
        <f t="shared" si="53"/>
        <v>0</v>
      </c>
      <c r="W102" s="170"/>
      <c r="X102" s="170"/>
      <c r="Y102" s="170">
        <f t="shared" si="54"/>
        <v>0</v>
      </c>
      <c r="Z102" s="170"/>
      <c r="AA102" s="170"/>
      <c r="AB102" s="170">
        <f t="shared" si="55"/>
        <v>0</v>
      </c>
      <c r="AC102" s="170"/>
      <c r="AD102" s="170"/>
      <c r="AE102" s="170">
        <f t="shared" si="56"/>
        <v>0</v>
      </c>
    </row>
    <row r="103" spans="1:31" s="159" customFormat="1" ht="31.5" x14ac:dyDescent="0.25">
      <c r="A103" s="178" t="s">
        <v>306</v>
      </c>
      <c r="B103" s="168">
        <v>2</v>
      </c>
      <c r="C103" s="168">
        <v>606</v>
      </c>
      <c r="D103" s="172">
        <v>5100</v>
      </c>
      <c r="E103" s="170">
        <f t="shared" si="66"/>
        <v>12034</v>
      </c>
      <c r="F103" s="170">
        <f t="shared" si="66"/>
        <v>12034</v>
      </c>
      <c r="G103" s="170">
        <f t="shared" si="66"/>
        <v>0</v>
      </c>
      <c r="H103" s="170"/>
      <c r="I103" s="170"/>
      <c r="J103" s="170">
        <f t="shared" si="67"/>
        <v>0</v>
      </c>
      <c r="K103" s="170"/>
      <c r="L103" s="170"/>
      <c r="M103" s="170">
        <f t="shared" si="50"/>
        <v>0</v>
      </c>
      <c r="N103" s="170">
        <f>3034+9000</f>
        <v>12034</v>
      </c>
      <c r="O103" s="170">
        <f>3034+9000</f>
        <v>12034</v>
      </c>
      <c r="P103" s="170">
        <f t="shared" si="51"/>
        <v>0</v>
      </c>
      <c r="Q103" s="170"/>
      <c r="R103" s="170"/>
      <c r="S103" s="170">
        <f t="shared" si="52"/>
        <v>0</v>
      </c>
      <c r="T103" s="170"/>
      <c r="U103" s="170"/>
      <c r="V103" s="170">
        <f t="shared" si="53"/>
        <v>0</v>
      </c>
      <c r="W103" s="170"/>
      <c r="X103" s="170"/>
      <c r="Y103" s="170">
        <f t="shared" si="54"/>
        <v>0</v>
      </c>
      <c r="Z103" s="170"/>
      <c r="AA103" s="170"/>
      <c r="AB103" s="170">
        <f t="shared" si="55"/>
        <v>0</v>
      </c>
      <c r="AC103" s="170"/>
      <c r="AD103" s="170"/>
      <c r="AE103" s="170">
        <f t="shared" si="56"/>
        <v>0</v>
      </c>
    </row>
    <row r="104" spans="1:31" s="159" customFormat="1" x14ac:dyDescent="0.25">
      <c r="A104" s="178" t="s">
        <v>307</v>
      </c>
      <c r="B104" s="168">
        <v>2</v>
      </c>
      <c r="C104" s="168">
        <v>606</v>
      </c>
      <c r="D104" s="172">
        <v>5100</v>
      </c>
      <c r="E104" s="170">
        <f t="shared" si="66"/>
        <v>9000</v>
      </c>
      <c r="F104" s="170">
        <f t="shared" si="66"/>
        <v>9000</v>
      </c>
      <c r="G104" s="170">
        <f t="shared" si="66"/>
        <v>0</v>
      </c>
      <c r="H104" s="170"/>
      <c r="I104" s="170"/>
      <c r="J104" s="170">
        <f t="shared" si="67"/>
        <v>0</v>
      </c>
      <c r="K104" s="170"/>
      <c r="L104" s="170"/>
      <c r="M104" s="170">
        <f t="shared" si="50"/>
        <v>0</v>
      </c>
      <c r="N104" s="170">
        <v>9000</v>
      </c>
      <c r="O104" s="170">
        <v>9000</v>
      </c>
      <c r="P104" s="170">
        <f t="shared" si="51"/>
        <v>0</v>
      </c>
      <c r="Q104" s="170"/>
      <c r="R104" s="170"/>
      <c r="S104" s="170">
        <f t="shared" si="52"/>
        <v>0</v>
      </c>
      <c r="T104" s="170"/>
      <c r="U104" s="170"/>
      <c r="V104" s="170">
        <f t="shared" si="53"/>
        <v>0</v>
      </c>
      <c r="W104" s="170"/>
      <c r="X104" s="170"/>
      <c r="Y104" s="170">
        <f t="shared" si="54"/>
        <v>0</v>
      </c>
      <c r="Z104" s="170"/>
      <c r="AA104" s="170"/>
      <c r="AB104" s="170">
        <f t="shared" si="55"/>
        <v>0</v>
      </c>
      <c r="AC104" s="170"/>
      <c r="AD104" s="170"/>
      <c r="AE104" s="170">
        <f t="shared" si="56"/>
        <v>0</v>
      </c>
    </row>
    <row r="105" spans="1:31" s="159" customFormat="1" x14ac:dyDescent="0.25">
      <c r="A105" s="178" t="s">
        <v>308</v>
      </c>
      <c r="B105" s="168">
        <v>2</v>
      </c>
      <c r="C105" s="168">
        <v>606</v>
      </c>
      <c r="D105" s="172">
        <v>5100</v>
      </c>
      <c r="E105" s="170">
        <f t="shared" si="66"/>
        <v>10000</v>
      </c>
      <c r="F105" s="170">
        <f t="shared" si="66"/>
        <v>0</v>
      </c>
      <c r="G105" s="170">
        <f t="shared" si="66"/>
        <v>-10000</v>
      </c>
      <c r="H105" s="170"/>
      <c r="I105" s="170"/>
      <c r="J105" s="170">
        <f t="shared" si="67"/>
        <v>0</v>
      </c>
      <c r="K105" s="170"/>
      <c r="L105" s="170"/>
      <c r="M105" s="170">
        <f t="shared" si="50"/>
        <v>0</v>
      </c>
      <c r="N105" s="170">
        <v>10000</v>
      </c>
      <c r="O105" s="170">
        <f>10000-10000</f>
        <v>0</v>
      </c>
      <c r="P105" s="170">
        <f t="shared" si="51"/>
        <v>-10000</v>
      </c>
      <c r="Q105" s="170"/>
      <c r="R105" s="170"/>
      <c r="S105" s="170">
        <f t="shared" si="52"/>
        <v>0</v>
      </c>
      <c r="T105" s="170"/>
      <c r="U105" s="170"/>
      <c r="V105" s="170">
        <f t="shared" si="53"/>
        <v>0</v>
      </c>
      <c r="W105" s="170"/>
      <c r="X105" s="170"/>
      <c r="Y105" s="170">
        <f t="shared" si="54"/>
        <v>0</v>
      </c>
      <c r="Z105" s="170"/>
      <c r="AA105" s="170"/>
      <c r="AB105" s="170">
        <f t="shared" si="55"/>
        <v>0</v>
      </c>
      <c r="AC105" s="170"/>
      <c r="AD105" s="170"/>
      <c r="AE105" s="170">
        <f t="shared" si="56"/>
        <v>0</v>
      </c>
    </row>
    <row r="106" spans="1:31" s="159" customFormat="1" ht="31.5" x14ac:dyDescent="0.25">
      <c r="A106" s="178" t="s">
        <v>309</v>
      </c>
      <c r="B106" s="168">
        <v>2</v>
      </c>
      <c r="C106" s="168">
        <v>606</v>
      </c>
      <c r="D106" s="172">
        <v>5100</v>
      </c>
      <c r="E106" s="170">
        <f t="shared" si="66"/>
        <v>6898</v>
      </c>
      <c r="F106" s="170">
        <f t="shared" si="66"/>
        <v>5500</v>
      </c>
      <c r="G106" s="170">
        <f t="shared" si="66"/>
        <v>-1398</v>
      </c>
      <c r="H106" s="170"/>
      <c r="I106" s="170"/>
      <c r="J106" s="170">
        <f t="shared" si="67"/>
        <v>0</v>
      </c>
      <c r="K106" s="170"/>
      <c r="L106" s="170"/>
      <c r="M106" s="170">
        <f t="shared" si="50"/>
        <v>0</v>
      </c>
      <c r="N106" s="170">
        <f>5500+1398</f>
        <v>6898</v>
      </c>
      <c r="O106" s="170">
        <f>5500+1398-1398</f>
        <v>5500</v>
      </c>
      <c r="P106" s="170">
        <f t="shared" si="51"/>
        <v>-1398</v>
      </c>
      <c r="Q106" s="170"/>
      <c r="R106" s="170"/>
      <c r="S106" s="170">
        <f t="shared" si="52"/>
        <v>0</v>
      </c>
      <c r="T106" s="170"/>
      <c r="U106" s="170"/>
      <c r="V106" s="170">
        <f t="shared" si="53"/>
        <v>0</v>
      </c>
      <c r="W106" s="170"/>
      <c r="X106" s="170"/>
      <c r="Y106" s="170">
        <f t="shared" si="54"/>
        <v>0</v>
      </c>
      <c r="Z106" s="170"/>
      <c r="AA106" s="170"/>
      <c r="AB106" s="170">
        <f t="shared" si="55"/>
        <v>0</v>
      </c>
      <c r="AC106" s="170"/>
      <c r="AD106" s="170"/>
      <c r="AE106" s="170">
        <f t="shared" si="56"/>
        <v>0</v>
      </c>
    </row>
    <row r="107" spans="1:31" s="159" customFormat="1" x14ac:dyDescent="0.25">
      <c r="A107" s="178" t="s">
        <v>310</v>
      </c>
      <c r="B107" s="168">
        <v>2</v>
      </c>
      <c r="C107" s="168">
        <v>606</v>
      </c>
      <c r="D107" s="172">
        <v>5100</v>
      </c>
      <c r="E107" s="170">
        <f t="shared" si="66"/>
        <v>9000</v>
      </c>
      <c r="F107" s="170">
        <f t="shared" si="66"/>
        <v>8997</v>
      </c>
      <c r="G107" s="170">
        <f t="shared" si="66"/>
        <v>-3</v>
      </c>
      <c r="H107" s="170"/>
      <c r="I107" s="170"/>
      <c r="J107" s="170">
        <f t="shared" si="67"/>
        <v>0</v>
      </c>
      <c r="K107" s="170"/>
      <c r="L107" s="170"/>
      <c r="M107" s="170">
        <f t="shared" si="50"/>
        <v>0</v>
      </c>
      <c r="N107" s="170">
        <v>9000</v>
      </c>
      <c r="O107" s="170">
        <f>9000-3</f>
        <v>8997</v>
      </c>
      <c r="P107" s="170">
        <f t="shared" si="51"/>
        <v>-3</v>
      </c>
      <c r="Q107" s="170"/>
      <c r="R107" s="170"/>
      <c r="S107" s="170">
        <f t="shared" si="52"/>
        <v>0</v>
      </c>
      <c r="T107" s="170"/>
      <c r="U107" s="170"/>
      <c r="V107" s="170">
        <f t="shared" si="53"/>
        <v>0</v>
      </c>
      <c r="W107" s="170"/>
      <c r="X107" s="170"/>
      <c r="Y107" s="170">
        <f t="shared" si="54"/>
        <v>0</v>
      </c>
      <c r="Z107" s="170"/>
      <c r="AA107" s="170"/>
      <c r="AB107" s="170">
        <f t="shared" si="55"/>
        <v>0</v>
      </c>
      <c r="AC107" s="170"/>
      <c r="AD107" s="170"/>
      <c r="AE107" s="170">
        <f t="shared" si="56"/>
        <v>0</v>
      </c>
    </row>
    <row r="108" spans="1:31" s="159" customFormat="1" x14ac:dyDescent="0.25">
      <c r="A108" s="178" t="s">
        <v>311</v>
      </c>
      <c r="B108" s="168">
        <v>2</v>
      </c>
      <c r="C108" s="168">
        <v>606</v>
      </c>
      <c r="D108" s="172">
        <v>5100</v>
      </c>
      <c r="E108" s="170">
        <f t="shared" si="66"/>
        <v>5500</v>
      </c>
      <c r="F108" s="170">
        <f t="shared" si="66"/>
        <v>5499</v>
      </c>
      <c r="G108" s="170">
        <f t="shared" si="66"/>
        <v>-1</v>
      </c>
      <c r="H108" s="170"/>
      <c r="I108" s="170"/>
      <c r="J108" s="170">
        <f t="shared" si="67"/>
        <v>0</v>
      </c>
      <c r="K108" s="170"/>
      <c r="L108" s="170"/>
      <c r="M108" s="170">
        <f t="shared" si="50"/>
        <v>0</v>
      </c>
      <c r="N108" s="170">
        <v>5500</v>
      </c>
      <c r="O108" s="170">
        <f>5500-1</f>
        <v>5499</v>
      </c>
      <c r="P108" s="170">
        <f t="shared" si="51"/>
        <v>-1</v>
      </c>
      <c r="Q108" s="170"/>
      <c r="R108" s="170"/>
      <c r="S108" s="170">
        <f t="shared" si="52"/>
        <v>0</v>
      </c>
      <c r="T108" s="170"/>
      <c r="U108" s="170"/>
      <c r="V108" s="170">
        <f t="shared" si="53"/>
        <v>0</v>
      </c>
      <c r="W108" s="170"/>
      <c r="X108" s="170"/>
      <c r="Y108" s="170">
        <f t="shared" si="54"/>
        <v>0</v>
      </c>
      <c r="Z108" s="170"/>
      <c r="AA108" s="170"/>
      <c r="AB108" s="170">
        <f t="shared" si="55"/>
        <v>0</v>
      </c>
      <c r="AC108" s="170"/>
      <c r="AD108" s="170"/>
      <c r="AE108" s="170">
        <f t="shared" si="56"/>
        <v>0</v>
      </c>
    </row>
    <row r="109" spans="1:31" s="159" customFormat="1" ht="31.5" x14ac:dyDescent="0.25">
      <c r="A109" s="178" t="s">
        <v>312</v>
      </c>
      <c r="B109" s="168">
        <v>2</v>
      </c>
      <c r="C109" s="168">
        <v>606</v>
      </c>
      <c r="D109" s="172">
        <v>5100</v>
      </c>
      <c r="E109" s="170">
        <f t="shared" si="66"/>
        <v>8727</v>
      </c>
      <c r="F109" s="170">
        <f t="shared" si="66"/>
        <v>8727</v>
      </c>
      <c r="G109" s="170">
        <f t="shared" si="66"/>
        <v>0</v>
      </c>
      <c r="H109" s="170"/>
      <c r="I109" s="170"/>
      <c r="J109" s="170">
        <f t="shared" si="67"/>
        <v>0</v>
      </c>
      <c r="K109" s="170"/>
      <c r="L109" s="170"/>
      <c r="M109" s="170">
        <f t="shared" si="50"/>
        <v>0</v>
      </c>
      <c r="N109" s="170">
        <f>2000+1227+5500</f>
        <v>8727</v>
      </c>
      <c r="O109" s="170">
        <f>2000+1227+5500</f>
        <v>8727</v>
      </c>
      <c r="P109" s="170">
        <f t="shared" si="51"/>
        <v>0</v>
      </c>
      <c r="Q109" s="170"/>
      <c r="R109" s="170"/>
      <c r="S109" s="170">
        <f t="shared" si="52"/>
        <v>0</v>
      </c>
      <c r="T109" s="170"/>
      <c r="U109" s="170"/>
      <c r="V109" s="170">
        <f t="shared" si="53"/>
        <v>0</v>
      </c>
      <c r="W109" s="170"/>
      <c r="X109" s="170"/>
      <c r="Y109" s="170">
        <f t="shared" si="54"/>
        <v>0</v>
      </c>
      <c r="Z109" s="170"/>
      <c r="AA109" s="170"/>
      <c r="AB109" s="170">
        <f t="shared" si="55"/>
        <v>0</v>
      </c>
      <c r="AC109" s="170"/>
      <c r="AD109" s="170"/>
      <c r="AE109" s="170">
        <f t="shared" si="56"/>
        <v>0</v>
      </c>
    </row>
    <row r="110" spans="1:31" s="159" customFormat="1" x14ac:dyDescent="0.25">
      <c r="A110" s="178" t="s">
        <v>313</v>
      </c>
      <c r="B110" s="168">
        <v>2</v>
      </c>
      <c r="C110" s="168">
        <v>606</v>
      </c>
      <c r="D110" s="172">
        <v>5100</v>
      </c>
      <c r="E110" s="170">
        <f t="shared" si="66"/>
        <v>5500</v>
      </c>
      <c r="F110" s="170">
        <f t="shared" si="66"/>
        <v>5500</v>
      </c>
      <c r="G110" s="170">
        <f t="shared" si="66"/>
        <v>0</v>
      </c>
      <c r="H110" s="170"/>
      <c r="I110" s="170"/>
      <c r="J110" s="170">
        <f t="shared" si="67"/>
        <v>0</v>
      </c>
      <c r="K110" s="170"/>
      <c r="L110" s="170"/>
      <c r="M110" s="170">
        <f t="shared" si="50"/>
        <v>0</v>
      </c>
      <c r="N110" s="170">
        <v>5500</v>
      </c>
      <c r="O110" s="170">
        <v>5500</v>
      </c>
      <c r="P110" s="170">
        <f t="shared" si="51"/>
        <v>0</v>
      </c>
      <c r="Q110" s="170"/>
      <c r="R110" s="170"/>
      <c r="S110" s="170">
        <f t="shared" si="52"/>
        <v>0</v>
      </c>
      <c r="T110" s="170"/>
      <c r="U110" s="170"/>
      <c r="V110" s="170">
        <f t="shared" si="53"/>
        <v>0</v>
      </c>
      <c r="W110" s="170"/>
      <c r="X110" s="170"/>
      <c r="Y110" s="170">
        <f t="shared" si="54"/>
        <v>0</v>
      </c>
      <c r="Z110" s="170"/>
      <c r="AA110" s="170"/>
      <c r="AB110" s="170">
        <f t="shared" si="55"/>
        <v>0</v>
      </c>
      <c r="AC110" s="170"/>
      <c r="AD110" s="170"/>
      <c r="AE110" s="170">
        <f t="shared" si="56"/>
        <v>0</v>
      </c>
    </row>
    <row r="111" spans="1:31" s="159" customFormat="1" x14ac:dyDescent="0.25">
      <c r="A111" s="178" t="s">
        <v>314</v>
      </c>
      <c r="B111" s="168">
        <v>2</v>
      </c>
      <c r="C111" s="168">
        <v>606</v>
      </c>
      <c r="D111" s="172">
        <v>5100</v>
      </c>
      <c r="E111" s="170">
        <f t="shared" si="66"/>
        <v>4500</v>
      </c>
      <c r="F111" s="170">
        <f t="shared" si="66"/>
        <v>4500</v>
      </c>
      <c r="G111" s="170">
        <f t="shared" si="66"/>
        <v>0</v>
      </c>
      <c r="H111" s="170"/>
      <c r="I111" s="170"/>
      <c r="J111" s="170">
        <f t="shared" si="67"/>
        <v>0</v>
      </c>
      <c r="K111" s="170"/>
      <c r="L111" s="170"/>
      <c r="M111" s="170">
        <f t="shared" si="50"/>
        <v>0</v>
      </c>
      <c r="N111" s="170">
        <v>4500</v>
      </c>
      <c r="O111" s="170">
        <v>4500</v>
      </c>
      <c r="P111" s="170">
        <f t="shared" si="51"/>
        <v>0</v>
      </c>
      <c r="Q111" s="170"/>
      <c r="R111" s="170"/>
      <c r="S111" s="170">
        <f t="shared" si="52"/>
        <v>0</v>
      </c>
      <c r="T111" s="170"/>
      <c r="U111" s="170"/>
      <c r="V111" s="170">
        <f t="shared" si="53"/>
        <v>0</v>
      </c>
      <c r="W111" s="170"/>
      <c r="X111" s="170"/>
      <c r="Y111" s="170">
        <f t="shared" si="54"/>
        <v>0</v>
      </c>
      <c r="Z111" s="170"/>
      <c r="AA111" s="170"/>
      <c r="AB111" s="170">
        <f t="shared" si="55"/>
        <v>0</v>
      </c>
      <c r="AC111" s="170"/>
      <c r="AD111" s="170"/>
      <c r="AE111" s="170">
        <f t="shared" si="56"/>
        <v>0</v>
      </c>
    </row>
    <row r="112" spans="1:31" s="159" customFormat="1" x14ac:dyDescent="0.25">
      <c r="A112" s="178" t="s">
        <v>315</v>
      </c>
      <c r="B112" s="168">
        <v>2</v>
      </c>
      <c r="C112" s="168">
        <v>606</v>
      </c>
      <c r="D112" s="172">
        <v>5100</v>
      </c>
      <c r="E112" s="170">
        <f t="shared" si="66"/>
        <v>4500</v>
      </c>
      <c r="F112" s="170">
        <f t="shared" si="66"/>
        <v>4499</v>
      </c>
      <c r="G112" s="170">
        <f t="shared" si="66"/>
        <v>-1</v>
      </c>
      <c r="H112" s="170"/>
      <c r="I112" s="170"/>
      <c r="J112" s="170">
        <f t="shared" si="67"/>
        <v>0</v>
      </c>
      <c r="K112" s="170"/>
      <c r="L112" s="170"/>
      <c r="M112" s="170">
        <f t="shared" si="50"/>
        <v>0</v>
      </c>
      <c r="N112" s="170">
        <v>4500</v>
      </c>
      <c r="O112" s="170">
        <f>4500-1</f>
        <v>4499</v>
      </c>
      <c r="P112" s="170">
        <f t="shared" si="51"/>
        <v>-1</v>
      </c>
      <c r="Q112" s="170"/>
      <c r="R112" s="170"/>
      <c r="S112" s="170">
        <f t="shared" si="52"/>
        <v>0</v>
      </c>
      <c r="T112" s="170"/>
      <c r="U112" s="170"/>
      <c r="V112" s="170">
        <f t="shared" si="53"/>
        <v>0</v>
      </c>
      <c r="W112" s="170"/>
      <c r="X112" s="170"/>
      <c r="Y112" s="170">
        <f t="shared" si="54"/>
        <v>0</v>
      </c>
      <c r="Z112" s="170"/>
      <c r="AA112" s="170"/>
      <c r="AB112" s="170">
        <f t="shared" si="55"/>
        <v>0</v>
      </c>
      <c r="AC112" s="170"/>
      <c r="AD112" s="170"/>
      <c r="AE112" s="170">
        <f t="shared" si="56"/>
        <v>0</v>
      </c>
    </row>
    <row r="113" spans="1:31" s="159" customFormat="1" x14ac:dyDescent="0.25">
      <c r="A113" s="178" t="s">
        <v>316</v>
      </c>
      <c r="B113" s="168">
        <v>2</v>
      </c>
      <c r="C113" s="168">
        <v>606</v>
      </c>
      <c r="D113" s="172">
        <v>5100</v>
      </c>
      <c r="E113" s="170">
        <f t="shared" si="66"/>
        <v>14000</v>
      </c>
      <c r="F113" s="170">
        <f t="shared" si="66"/>
        <v>0</v>
      </c>
      <c r="G113" s="170">
        <f t="shared" si="66"/>
        <v>-14000</v>
      </c>
      <c r="H113" s="170"/>
      <c r="I113" s="170"/>
      <c r="J113" s="170">
        <f t="shared" si="67"/>
        <v>0</v>
      </c>
      <c r="K113" s="170"/>
      <c r="L113" s="170"/>
      <c r="M113" s="170">
        <f t="shared" si="50"/>
        <v>0</v>
      </c>
      <c r="N113" s="170">
        <v>14000</v>
      </c>
      <c r="O113" s="170">
        <f>14000-14000</f>
        <v>0</v>
      </c>
      <c r="P113" s="170">
        <f t="shared" si="51"/>
        <v>-14000</v>
      </c>
      <c r="Q113" s="170"/>
      <c r="R113" s="170"/>
      <c r="S113" s="170">
        <f t="shared" si="52"/>
        <v>0</v>
      </c>
      <c r="T113" s="170"/>
      <c r="U113" s="170"/>
      <c r="V113" s="170">
        <f t="shared" si="53"/>
        <v>0</v>
      </c>
      <c r="W113" s="170"/>
      <c r="X113" s="170"/>
      <c r="Y113" s="170">
        <f t="shared" si="54"/>
        <v>0</v>
      </c>
      <c r="Z113" s="170"/>
      <c r="AA113" s="170"/>
      <c r="AB113" s="170">
        <f t="shared" si="55"/>
        <v>0</v>
      </c>
      <c r="AC113" s="170"/>
      <c r="AD113" s="170"/>
      <c r="AE113" s="170">
        <f t="shared" si="56"/>
        <v>0</v>
      </c>
    </row>
    <row r="114" spans="1:31" s="159" customFormat="1" x14ac:dyDescent="0.25">
      <c r="A114" s="178" t="s">
        <v>317</v>
      </c>
      <c r="B114" s="168">
        <v>2</v>
      </c>
      <c r="C114" s="168">
        <v>606</v>
      </c>
      <c r="D114" s="172">
        <v>5100</v>
      </c>
      <c r="E114" s="170">
        <f t="shared" si="66"/>
        <v>16600</v>
      </c>
      <c r="F114" s="170">
        <f t="shared" si="66"/>
        <v>16599</v>
      </c>
      <c r="G114" s="170">
        <f t="shared" si="66"/>
        <v>-1</v>
      </c>
      <c r="H114" s="170"/>
      <c r="I114" s="170"/>
      <c r="J114" s="170">
        <f t="shared" si="67"/>
        <v>0</v>
      </c>
      <c r="K114" s="170">
        <v>3600</v>
      </c>
      <c r="L114" s="170">
        <v>3600</v>
      </c>
      <c r="M114" s="170">
        <f t="shared" si="50"/>
        <v>0</v>
      </c>
      <c r="N114" s="170">
        <v>13000</v>
      </c>
      <c r="O114" s="170">
        <f>13000-1</f>
        <v>12999</v>
      </c>
      <c r="P114" s="170">
        <f t="shared" si="51"/>
        <v>-1</v>
      </c>
      <c r="Q114" s="170"/>
      <c r="R114" s="170"/>
      <c r="S114" s="170">
        <f t="shared" si="52"/>
        <v>0</v>
      </c>
      <c r="T114" s="170"/>
      <c r="U114" s="170"/>
      <c r="V114" s="170">
        <f t="shared" si="53"/>
        <v>0</v>
      </c>
      <c r="W114" s="170"/>
      <c r="X114" s="170"/>
      <c r="Y114" s="170">
        <f t="shared" si="54"/>
        <v>0</v>
      </c>
      <c r="Z114" s="170"/>
      <c r="AA114" s="170"/>
      <c r="AB114" s="170">
        <f t="shared" si="55"/>
        <v>0</v>
      </c>
      <c r="AC114" s="170"/>
      <c r="AD114" s="170"/>
      <c r="AE114" s="170">
        <f t="shared" si="56"/>
        <v>0</v>
      </c>
    </row>
    <row r="115" spans="1:31" s="159" customFormat="1" ht="31.5" x14ac:dyDescent="0.25">
      <c r="A115" s="178" t="s">
        <v>318</v>
      </c>
      <c r="B115" s="168">
        <v>2</v>
      </c>
      <c r="C115" s="168">
        <v>606</v>
      </c>
      <c r="D115" s="172">
        <v>5100</v>
      </c>
      <c r="E115" s="170">
        <f t="shared" si="66"/>
        <v>106436</v>
      </c>
      <c r="F115" s="170">
        <f t="shared" si="66"/>
        <v>45944</v>
      </c>
      <c r="G115" s="170">
        <f t="shared" si="66"/>
        <v>-60492</v>
      </c>
      <c r="H115" s="170"/>
      <c r="I115" s="170"/>
      <c r="J115" s="170">
        <f t="shared" si="67"/>
        <v>0</v>
      </c>
      <c r="K115" s="170">
        <f>9690+60490</f>
        <v>70180</v>
      </c>
      <c r="L115" s="170">
        <f>9690+60490-47490</f>
        <v>22690</v>
      </c>
      <c r="M115" s="170">
        <f t="shared" si="50"/>
        <v>-47490</v>
      </c>
      <c r="N115" s="170">
        <f>13000+23256</f>
        <v>36256</v>
      </c>
      <c r="O115" s="170">
        <f>13000+23256-13002</f>
        <v>23254</v>
      </c>
      <c r="P115" s="170">
        <f t="shared" si="51"/>
        <v>-13002</v>
      </c>
      <c r="Q115" s="170"/>
      <c r="R115" s="170"/>
      <c r="S115" s="170">
        <f t="shared" si="52"/>
        <v>0</v>
      </c>
      <c r="T115" s="170"/>
      <c r="U115" s="170"/>
      <c r="V115" s="170">
        <f t="shared" si="53"/>
        <v>0</v>
      </c>
      <c r="W115" s="170"/>
      <c r="X115" s="170"/>
      <c r="Y115" s="170">
        <f t="shared" si="54"/>
        <v>0</v>
      </c>
      <c r="Z115" s="170"/>
      <c r="AA115" s="170"/>
      <c r="AB115" s="170">
        <f t="shared" si="55"/>
        <v>0</v>
      </c>
      <c r="AC115" s="170"/>
      <c r="AD115" s="170"/>
      <c r="AE115" s="170">
        <f t="shared" si="56"/>
        <v>0</v>
      </c>
    </row>
    <row r="116" spans="1:31" s="159" customFormat="1" x14ac:dyDescent="0.25">
      <c r="A116" s="178" t="s">
        <v>319</v>
      </c>
      <c r="B116" s="168">
        <v>2</v>
      </c>
      <c r="C116" s="168">
        <v>606</v>
      </c>
      <c r="D116" s="172">
        <v>5100</v>
      </c>
      <c r="E116" s="170">
        <f t="shared" si="66"/>
        <v>14355</v>
      </c>
      <c r="F116" s="170">
        <f t="shared" si="66"/>
        <v>0</v>
      </c>
      <c r="G116" s="170">
        <f t="shared" si="66"/>
        <v>-14355</v>
      </c>
      <c r="H116" s="170"/>
      <c r="I116" s="170"/>
      <c r="J116" s="170">
        <f t="shared" si="67"/>
        <v>0</v>
      </c>
      <c r="K116" s="170">
        <v>1355</v>
      </c>
      <c r="L116" s="170">
        <f>1355-1355</f>
        <v>0</v>
      </c>
      <c r="M116" s="170">
        <f t="shared" si="50"/>
        <v>-1355</v>
      </c>
      <c r="N116" s="170">
        <v>13000</v>
      </c>
      <c r="O116" s="170">
        <f>13000-13000</f>
        <v>0</v>
      </c>
      <c r="P116" s="170">
        <f t="shared" si="51"/>
        <v>-13000</v>
      </c>
      <c r="Q116" s="170"/>
      <c r="R116" s="170"/>
      <c r="S116" s="170">
        <f t="shared" si="52"/>
        <v>0</v>
      </c>
      <c r="T116" s="170"/>
      <c r="U116" s="170"/>
      <c r="V116" s="170">
        <f t="shared" si="53"/>
        <v>0</v>
      </c>
      <c r="W116" s="170"/>
      <c r="X116" s="170"/>
      <c r="Y116" s="170">
        <f t="shared" si="54"/>
        <v>0</v>
      </c>
      <c r="Z116" s="170"/>
      <c r="AA116" s="170"/>
      <c r="AB116" s="170">
        <f t="shared" si="55"/>
        <v>0</v>
      </c>
      <c r="AC116" s="170"/>
      <c r="AD116" s="170"/>
      <c r="AE116" s="170">
        <f t="shared" si="56"/>
        <v>0</v>
      </c>
    </row>
    <row r="117" spans="1:31" s="156" customFormat="1" ht="63" x14ac:dyDescent="0.25">
      <c r="A117" s="177" t="s">
        <v>320</v>
      </c>
      <c r="B117" s="166"/>
      <c r="C117" s="166"/>
      <c r="D117" s="172"/>
      <c r="E117" s="158">
        <f t="shared" si="66"/>
        <v>405957</v>
      </c>
      <c r="F117" s="158">
        <f t="shared" si="66"/>
        <v>238968</v>
      </c>
      <c r="G117" s="158">
        <f t="shared" si="66"/>
        <v>-166989</v>
      </c>
      <c r="H117" s="158">
        <f>SUM(H118:H147)</f>
        <v>0</v>
      </c>
      <c r="I117" s="158">
        <f>SUM(I118:I147)</f>
        <v>0</v>
      </c>
      <c r="J117" s="158">
        <f t="shared" si="67"/>
        <v>0</v>
      </c>
      <c r="K117" s="158">
        <f t="shared" ref="K117:L117" si="68">SUM(K118:K147)</f>
        <v>31465</v>
      </c>
      <c r="L117" s="158">
        <f t="shared" si="68"/>
        <v>31465</v>
      </c>
      <c r="M117" s="158">
        <f t="shared" si="50"/>
        <v>0</v>
      </c>
      <c r="N117" s="158">
        <f t="shared" ref="N117:O117" si="69">SUM(N118:N147)</f>
        <v>374492</v>
      </c>
      <c r="O117" s="158">
        <f t="shared" si="69"/>
        <v>207503</v>
      </c>
      <c r="P117" s="158">
        <f t="shared" si="51"/>
        <v>-166989</v>
      </c>
      <c r="Q117" s="158">
        <f t="shared" ref="Q117:R117" si="70">SUM(Q118:Q147)</f>
        <v>0</v>
      </c>
      <c r="R117" s="158">
        <f t="shared" si="70"/>
        <v>0</v>
      </c>
      <c r="S117" s="158">
        <f t="shared" si="52"/>
        <v>0</v>
      </c>
      <c r="T117" s="158">
        <f t="shared" ref="T117:U117" si="71">SUM(T118:T147)</f>
        <v>0</v>
      </c>
      <c r="U117" s="158">
        <f t="shared" si="71"/>
        <v>0</v>
      </c>
      <c r="V117" s="158">
        <f t="shared" si="53"/>
        <v>0</v>
      </c>
      <c r="W117" s="158">
        <f t="shared" ref="W117:X117" si="72">SUM(W118:W147)</f>
        <v>0</v>
      </c>
      <c r="X117" s="158">
        <f t="shared" si="72"/>
        <v>0</v>
      </c>
      <c r="Y117" s="158">
        <f t="shared" si="54"/>
        <v>0</v>
      </c>
      <c r="Z117" s="158">
        <f t="shared" ref="Z117:AA117" si="73">SUM(Z118:Z147)</f>
        <v>0</v>
      </c>
      <c r="AA117" s="158">
        <f t="shared" si="73"/>
        <v>0</v>
      </c>
      <c r="AB117" s="158">
        <f t="shared" si="55"/>
        <v>0</v>
      </c>
      <c r="AC117" s="158">
        <f t="shared" ref="AC117:AD117" si="74">SUM(AC118:AC147)</f>
        <v>0</v>
      </c>
      <c r="AD117" s="158">
        <f t="shared" si="74"/>
        <v>0</v>
      </c>
      <c r="AE117" s="158">
        <f t="shared" si="56"/>
        <v>0</v>
      </c>
    </row>
    <row r="118" spans="1:31" s="159" customFormat="1" x14ac:dyDescent="0.25">
      <c r="A118" s="178" t="s">
        <v>321</v>
      </c>
      <c r="B118" s="168">
        <v>2</v>
      </c>
      <c r="C118" s="168">
        <v>606</v>
      </c>
      <c r="D118" s="172">
        <v>5100</v>
      </c>
      <c r="E118" s="170">
        <f t="shared" si="66"/>
        <v>15999</v>
      </c>
      <c r="F118" s="170">
        <f t="shared" si="66"/>
        <v>0</v>
      </c>
      <c r="G118" s="170">
        <f t="shared" si="66"/>
        <v>-15999</v>
      </c>
      <c r="H118" s="170"/>
      <c r="I118" s="170"/>
      <c r="J118" s="170">
        <f t="shared" si="67"/>
        <v>0</v>
      </c>
      <c r="K118" s="170"/>
      <c r="L118" s="170"/>
      <c r="M118" s="170">
        <f t="shared" si="50"/>
        <v>0</v>
      </c>
      <c r="N118" s="170">
        <v>15999</v>
      </c>
      <c r="O118" s="170">
        <f>15999-15999</f>
        <v>0</v>
      </c>
      <c r="P118" s="170">
        <f t="shared" si="51"/>
        <v>-15999</v>
      </c>
      <c r="Q118" s="170"/>
      <c r="R118" s="170"/>
      <c r="S118" s="170">
        <f t="shared" si="52"/>
        <v>0</v>
      </c>
      <c r="T118" s="170"/>
      <c r="U118" s="170"/>
      <c r="V118" s="170">
        <f t="shared" si="53"/>
        <v>0</v>
      </c>
      <c r="W118" s="170"/>
      <c r="X118" s="170"/>
      <c r="Y118" s="170">
        <f t="shared" si="54"/>
        <v>0</v>
      </c>
      <c r="Z118" s="170"/>
      <c r="AA118" s="170"/>
      <c r="AB118" s="170">
        <f t="shared" si="55"/>
        <v>0</v>
      </c>
      <c r="AC118" s="170"/>
      <c r="AD118" s="170"/>
      <c r="AE118" s="170">
        <f t="shared" si="56"/>
        <v>0</v>
      </c>
    </row>
    <row r="119" spans="1:31" s="159" customFormat="1" x14ac:dyDescent="0.25">
      <c r="A119" s="178" t="s">
        <v>285</v>
      </c>
      <c r="B119" s="168">
        <v>2</v>
      </c>
      <c r="C119" s="168">
        <v>606</v>
      </c>
      <c r="D119" s="172">
        <v>5100</v>
      </c>
      <c r="E119" s="170">
        <f t="shared" si="66"/>
        <v>15999</v>
      </c>
      <c r="F119" s="170">
        <f t="shared" si="66"/>
        <v>15999</v>
      </c>
      <c r="G119" s="170">
        <f t="shared" si="66"/>
        <v>0</v>
      </c>
      <c r="H119" s="170"/>
      <c r="I119" s="170"/>
      <c r="J119" s="170">
        <f t="shared" si="67"/>
        <v>0</v>
      </c>
      <c r="K119" s="170"/>
      <c r="L119" s="170"/>
      <c r="M119" s="170">
        <f t="shared" si="50"/>
        <v>0</v>
      </c>
      <c r="N119" s="170">
        <v>15999</v>
      </c>
      <c r="O119" s="170">
        <v>15999</v>
      </c>
      <c r="P119" s="170">
        <f t="shared" si="51"/>
        <v>0</v>
      </c>
      <c r="Q119" s="170"/>
      <c r="R119" s="170"/>
      <c r="S119" s="170">
        <f t="shared" si="52"/>
        <v>0</v>
      </c>
      <c r="T119" s="170"/>
      <c r="U119" s="170"/>
      <c r="V119" s="170">
        <f t="shared" si="53"/>
        <v>0</v>
      </c>
      <c r="W119" s="170"/>
      <c r="X119" s="170"/>
      <c r="Y119" s="170">
        <f t="shared" si="54"/>
        <v>0</v>
      </c>
      <c r="Z119" s="170"/>
      <c r="AA119" s="170"/>
      <c r="AB119" s="170">
        <f t="shared" si="55"/>
        <v>0</v>
      </c>
      <c r="AC119" s="170"/>
      <c r="AD119" s="170"/>
      <c r="AE119" s="170">
        <f t="shared" si="56"/>
        <v>0</v>
      </c>
    </row>
    <row r="120" spans="1:31" s="159" customFormat="1" x14ac:dyDescent="0.25">
      <c r="A120" s="178" t="s">
        <v>287</v>
      </c>
      <c r="B120" s="168">
        <v>2</v>
      </c>
      <c r="C120" s="168">
        <v>606</v>
      </c>
      <c r="D120" s="172">
        <v>5100</v>
      </c>
      <c r="E120" s="170">
        <f t="shared" si="66"/>
        <v>11000</v>
      </c>
      <c r="F120" s="170">
        <f t="shared" si="66"/>
        <v>11000</v>
      </c>
      <c r="G120" s="170">
        <f t="shared" si="66"/>
        <v>0</v>
      </c>
      <c r="H120" s="170"/>
      <c r="I120" s="170"/>
      <c r="J120" s="170">
        <f t="shared" si="67"/>
        <v>0</v>
      </c>
      <c r="K120" s="170"/>
      <c r="L120" s="170"/>
      <c r="M120" s="170">
        <f t="shared" si="50"/>
        <v>0</v>
      </c>
      <c r="N120" s="170">
        <v>11000</v>
      </c>
      <c r="O120" s="170">
        <v>11000</v>
      </c>
      <c r="P120" s="170">
        <f t="shared" si="51"/>
        <v>0</v>
      </c>
      <c r="Q120" s="170"/>
      <c r="R120" s="170"/>
      <c r="S120" s="170">
        <f t="shared" si="52"/>
        <v>0</v>
      </c>
      <c r="T120" s="170"/>
      <c r="U120" s="170"/>
      <c r="V120" s="170">
        <f t="shared" si="53"/>
        <v>0</v>
      </c>
      <c r="W120" s="170"/>
      <c r="X120" s="170"/>
      <c r="Y120" s="170">
        <f t="shared" si="54"/>
        <v>0</v>
      </c>
      <c r="Z120" s="170"/>
      <c r="AA120" s="170"/>
      <c r="AB120" s="170">
        <f t="shared" si="55"/>
        <v>0</v>
      </c>
      <c r="AC120" s="170"/>
      <c r="AD120" s="170"/>
      <c r="AE120" s="170">
        <f t="shared" si="56"/>
        <v>0</v>
      </c>
    </row>
    <row r="121" spans="1:31" s="159" customFormat="1" x14ac:dyDescent="0.25">
      <c r="A121" s="178" t="s">
        <v>288</v>
      </c>
      <c r="B121" s="168">
        <v>2</v>
      </c>
      <c r="C121" s="168">
        <v>606</v>
      </c>
      <c r="D121" s="172">
        <v>5100</v>
      </c>
      <c r="E121" s="170">
        <f t="shared" si="66"/>
        <v>10998</v>
      </c>
      <c r="F121" s="170">
        <f t="shared" si="66"/>
        <v>0</v>
      </c>
      <c r="G121" s="170">
        <f t="shared" si="66"/>
        <v>-10998</v>
      </c>
      <c r="H121" s="170"/>
      <c r="I121" s="170"/>
      <c r="J121" s="170">
        <f t="shared" si="67"/>
        <v>0</v>
      </c>
      <c r="K121" s="170"/>
      <c r="L121" s="170"/>
      <c r="M121" s="170">
        <f t="shared" si="50"/>
        <v>0</v>
      </c>
      <c r="N121" s="170">
        <v>10998</v>
      </c>
      <c r="O121" s="170">
        <f>10998-10998</f>
        <v>0</v>
      </c>
      <c r="P121" s="170">
        <f t="shared" si="51"/>
        <v>-10998</v>
      </c>
      <c r="Q121" s="170"/>
      <c r="R121" s="170"/>
      <c r="S121" s="170">
        <f t="shared" si="52"/>
        <v>0</v>
      </c>
      <c r="T121" s="170"/>
      <c r="U121" s="170"/>
      <c r="V121" s="170">
        <f t="shared" si="53"/>
        <v>0</v>
      </c>
      <c r="W121" s="170"/>
      <c r="X121" s="170"/>
      <c r="Y121" s="170">
        <f t="shared" si="54"/>
        <v>0</v>
      </c>
      <c r="Z121" s="170"/>
      <c r="AA121" s="170"/>
      <c r="AB121" s="170">
        <f t="shared" si="55"/>
        <v>0</v>
      </c>
      <c r="AC121" s="170"/>
      <c r="AD121" s="170"/>
      <c r="AE121" s="170">
        <f t="shared" si="56"/>
        <v>0</v>
      </c>
    </row>
    <row r="122" spans="1:31" s="159" customFormat="1" x14ac:dyDescent="0.25">
      <c r="A122" s="178" t="s">
        <v>290</v>
      </c>
      <c r="B122" s="168">
        <v>2</v>
      </c>
      <c r="C122" s="168">
        <v>606</v>
      </c>
      <c r="D122" s="172">
        <v>5100</v>
      </c>
      <c r="E122" s="170">
        <f t="shared" si="66"/>
        <v>14999</v>
      </c>
      <c r="F122" s="170">
        <f t="shared" si="66"/>
        <v>14999</v>
      </c>
      <c r="G122" s="170">
        <f t="shared" si="66"/>
        <v>0</v>
      </c>
      <c r="H122" s="170"/>
      <c r="I122" s="170"/>
      <c r="J122" s="170">
        <f t="shared" si="67"/>
        <v>0</v>
      </c>
      <c r="K122" s="170"/>
      <c r="L122" s="170"/>
      <c r="M122" s="170">
        <f t="shared" si="50"/>
        <v>0</v>
      </c>
      <c r="N122" s="170">
        <v>14999</v>
      </c>
      <c r="O122" s="170">
        <v>14999</v>
      </c>
      <c r="P122" s="170">
        <f t="shared" si="51"/>
        <v>0</v>
      </c>
      <c r="Q122" s="170"/>
      <c r="R122" s="170"/>
      <c r="S122" s="170">
        <f t="shared" si="52"/>
        <v>0</v>
      </c>
      <c r="T122" s="170"/>
      <c r="U122" s="170"/>
      <c r="V122" s="170">
        <f t="shared" si="53"/>
        <v>0</v>
      </c>
      <c r="W122" s="170"/>
      <c r="X122" s="170"/>
      <c r="Y122" s="170">
        <f t="shared" si="54"/>
        <v>0</v>
      </c>
      <c r="Z122" s="170"/>
      <c r="AA122" s="170"/>
      <c r="AB122" s="170">
        <f t="shared" si="55"/>
        <v>0</v>
      </c>
      <c r="AC122" s="170"/>
      <c r="AD122" s="170"/>
      <c r="AE122" s="170">
        <f t="shared" si="56"/>
        <v>0</v>
      </c>
    </row>
    <row r="123" spans="1:31" s="159" customFormat="1" x14ac:dyDescent="0.25">
      <c r="A123" s="178" t="s">
        <v>322</v>
      </c>
      <c r="B123" s="168">
        <v>2</v>
      </c>
      <c r="C123" s="168">
        <v>606</v>
      </c>
      <c r="D123" s="172">
        <v>5100</v>
      </c>
      <c r="E123" s="170">
        <f t="shared" si="66"/>
        <v>13998</v>
      </c>
      <c r="F123" s="170">
        <f t="shared" si="66"/>
        <v>13998</v>
      </c>
      <c r="G123" s="170">
        <f t="shared" si="66"/>
        <v>0</v>
      </c>
      <c r="H123" s="170"/>
      <c r="I123" s="170"/>
      <c r="J123" s="170">
        <f t="shared" si="67"/>
        <v>0</v>
      </c>
      <c r="K123" s="170"/>
      <c r="L123" s="170"/>
      <c r="M123" s="170">
        <f t="shared" si="50"/>
        <v>0</v>
      </c>
      <c r="N123" s="170">
        <v>13998</v>
      </c>
      <c r="O123" s="170">
        <v>13998</v>
      </c>
      <c r="P123" s="170">
        <f t="shared" si="51"/>
        <v>0</v>
      </c>
      <c r="Q123" s="170"/>
      <c r="R123" s="170"/>
      <c r="S123" s="170">
        <f t="shared" si="52"/>
        <v>0</v>
      </c>
      <c r="T123" s="170"/>
      <c r="U123" s="170"/>
      <c r="V123" s="170">
        <f t="shared" si="53"/>
        <v>0</v>
      </c>
      <c r="W123" s="170"/>
      <c r="X123" s="170"/>
      <c r="Y123" s="170">
        <f t="shared" si="54"/>
        <v>0</v>
      </c>
      <c r="Z123" s="170"/>
      <c r="AA123" s="170"/>
      <c r="AB123" s="170">
        <f t="shared" si="55"/>
        <v>0</v>
      </c>
      <c r="AC123" s="170"/>
      <c r="AD123" s="170"/>
      <c r="AE123" s="170">
        <f t="shared" si="56"/>
        <v>0</v>
      </c>
    </row>
    <row r="124" spans="1:31" s="159" customFormat="1" x14ac:dyDescent="0.25">
      <c r="A124" s="178" t="s">
        <v>292</v>
      </c>
      <c r="B124" s="168">
        <v>2</v>
      </c>
      <c r="C124" s="168">
        <v>606</v>
      </c>
      <c r="D124" s="172">
        <v>5100</v>
      </c>
      <c r="E124" s="170">
        <f t="shared" si="66"/>
        <v>10998</v>
      </c>
      <c r="F124" s="170">
        <f t="shared" si="66"/>
        <v>10998</v>
      </c>
      <c r="G124" s="170">
        <f t="shared" si="66"/>
        <v>0</v>
      </c>
      <c r="H124" s="170"/>
      <c r="I124" s="170"/>
      <c r="J124" s="170">
        <f t="shared" si="67"/>
        <v>0</v>
      </c>
      <c r="K124" s="170"/>
      <c r="L124" s="170"/>
      <c r="M124" s="170">
        <f t="shared" si="50"/>
        <v>0</v>
      </c>
      <c r="N124" s="170">
        <v>10998</v>
      </c>
      <c r="O124" s="170">
        <v>10998</v>
      </c>
      <c r="P124" s="170">
        <f t="shared" si="51"/>
        <v>0</v>
      </c>
      <c r="Q124" s="170"/>
      <c r="R124" s="170"/>
      <c r="S124" s="170">
        <f t="shared" si="52"/>
        <v>0</v>
      </c>
      <c r="T124" s="170"/>
      <c r="U124" s="170"/>
      <c r="V124" s="170">
        <f t="shared" si="53"/>
        <v>0</v>
      </c>
      <c r="W124" s="170"/>
      <c r="X124" s="170"/>
      <c r="Y124" s="170">
        <f t="shared" si="54"/>
        <v>0</v>
      </c>
      <c r="Z124" s="170"/>
      <c r="AA124" s="170"/>
      <c r="AB124" s="170">
        <f t="shared" si="55"/>
        <v>0</v>
      </c>
      <c r="AC124" s="170"/>
      <c r="AD124" s="170"/>
      <c r="AE124" s="170">
        <f t="shared" si="56"/>
        <v>0</v>
      </c>
    </row>
    <row r="125" spans="1:31" s="159" customFormat="1" x14ac:dyDescent="0.25">
      <c r="A125" s="178" t="s">
        <v>323</v>
      </c>
      <c r="B125" s="168">
        <v>2</v>
      </c>
      <c r="C125" s="168">
        <v>606</v>
      </c>
      <c r="D125" s="172">
        <v>5100</v>
      </c>
      <c r="E125" s="170">
        <f t="shared" si="66"/>
        <v>13998</v>
      </c>
      <c r="F125" s="170">
        <f t="shared" si="66"/>
        <v>0</v>
      </c>
      <c r="G125" s="170">
        <f t="shared" si="66"/>
        <v>-13998</v>
      </c>
      <c r="H125" s="170"/>
      <c r="I125" s="170"/>
      <c r="J125" s="170">
        <f t="shared" si="67"/>
        <v>0</v>
      </c>
      <c r="K125" s="170"/>
      <c r="L125" s="170"/>
      <c r="M125" s="170">
        <f t="shared" si="50"/>
        <v>0</v>
      </c>
      <c r="N125" s="170">
        <v>13998</v>
      </c>
      <c r="O125" s="170">
        <f>13998-13998</f>
        <v>0</v>
      </c>
      <c r="P125" s="170">
        <f t="shared" si="51"/>
        <v>-13998</v>
      </c>
      <c r="Q125" s="170"/>
      <c r="R125" s="170"/>
      <c r="S125" s="170">
        <f t="shared" si="52"/>
        <v>0</v>
      </c>
      <c r="T125" s="170"/>
      <c r="U125" s="170"/>
      <c r="V125" s="170">
        <f t="shared" si="53"/>
        <v>0</v>
      </c>
      <c r="W125" s="170"/>
      <c r="X125" s="170"/>
      <c r="Y125" s="170">
        <f t="shared" si="54"/>
        <v>0</v>
      </c>
      <c r="Z125" s="170"/>
      <c r="AA125" s="170"/>
      <c r="AB125" s="170">
        <f t="shared" si="55"/>
        <v>0</v>
      </c>
      <c r="AC125" s="170"/>
      <c r="AD125" s="170"/>
      <c r="AE125" s="170">
        <f t="shared" si="56"/>
        <v>0</v>
      </c>
    </row>
    <row r="126" spans="1:31" s="159" customFormat="1" x14ac:dyDescent="0.25">
      <c r="A126" s="178" t="s">
        <v>294</v>
      </c>
      <c r="B126" s="168">
        <v>2</v>
      </c>
      <c r="C126" s="168">
        <v>606</v>
      </c>
      <c r="D126" s="172">
        <v>5100</v>
      </c>
      <c r="E126" s="170">
        <f t="shared" si="66"/>
        <v>15999</v>
      </c>
      <c r="F126" s="170">
        <f t="shared" si="66"/>
        <v>0</v>
      </c>
      <c r="G126" s="170">
        <f t="shared" si="66"/>
        <v>-15999</v>
      </c>
      <c r="H126" s="170"/>
      <c r="I126" s="170"/>
      <c r="J126" s="170">
        <f t="shared" si="67"/>
        <v>0</v>
      </c>
      <c r="K126" s="170"/>
      <c r="L126" s="170"/>
      <c r="M126" s="170">
        <f t="shared" si="50"/>
        <v>0</v>
      </c>
      <c r="N126" s="170">
        <v>15999</v>
      </c>
      <c r="O126" s="170">
        <f>15999-15999</f>
        <v>0</v>
      </c>
      <c r="P126" s="170">
        <f t="shared" si="51"/>
        <v>-15999</v>
      </c>
      <c r="Q126" s="170"/>
      <c r="R126" s="170"/>
      <c r="S126" s="170">
        <f t="shared" si="52"/>
        <v>0</v>
      </c>
      <c r="T126" s="170"/>
      <c r="U126" s="170"/>
      <c r="V126" s="170">
        <f t="shared" si="53"/>
        <v>0</v>
      </c>
      <c r="W126" s="170"/>
      <c r="X126" s="170"/>
      <c r="Y126" s="170">
        <f t="shared" si="54"/>
        <v>0</v>
      </c>
      <c r="Z126" s="170"/>
      <c r="AA126" s="170"/>
      <c r="AB126" s="170">
        <f t="shared" si="55"/>
        <v>0</v>
      </c>
      <c r="AC126" s="170"/>
      <c r="AD126" s="170"/>
      <c r="AE126" s="170">
        <f t="shared" si="56"/>
        <v>0</v>
      </c>
    </row>
    <row r="127" spans="1:31" s="159" customFormat="1" x14ac:dyDescent="0.25">
      <c r="A127" s="178" t="s">
        <v>324</v>
      </c>
      <c r="B127" s="168">
        <v>2</v>
      </c>
      <c r="C127" s="168">
        <v>606</v>
      </c>
      <c r="D127" s="172">
        <v>5100</v>
      </c>
      <c r="E127" s="170">
        <f t="shared" si="66"/>
        <v>13998</v>
      </c>
      <c r="F127" s="170">
        <f t="shared" si="66"/>
        <v>13998</v>
      </c>
      <c r="G127" s="170">
        <f t="shared" si="66"/>
        <v>0</v>
      </c>
      <c r="H127" s="170"/>
      <c r="I127" s="170"/>
      <c r="J127" s="170">
        <f t="shared" si="67"/>
        <v>0</v>
      </c>
      <c r="K127" s="170"/>
      <c r="L127" s="170"/>
      <c r="M127" s="170">
        <f t="shared" si="50"/>
        <v>0</v>
      </c>
      <c r="N127" s="170">
        <v>13998</v>
      </c>
      <c r="O127" s="170">
        <v>13998</v>
      </c>
      <c r="P127" s="170">
        <f t="shared" si="51"/>
        <v>0</v>
      </c>
      <c r="Q127" s="170"/>
      <c r="R127" s="170"/>
      <c r="S127" s="170">
        <f t="shared" si="52"/>
        <v>0</v>
      </c>
      <c r="T127" s="170"/>
      <c r="U127" s="170"/>
      <c r="V127" s="170">
        <f t="shared" si="53"/>
        <v>0</v>
      </c>
      <c r="W127" s="170"/>
      <c r="X127" s="170"/>
      <c r="Y127" s="170">
        <f t="shared" si="54"/>
        <v>0</v>
      </c>
      <c r="Z127" s="170"/>
      <c r="AA127" s="170"/>
      <c r="AB127" s="170">
        <f t="shared" si="55"/>
        <v>0</v>
      </c>
      <c r="AC127" s="170"/>
      <c r="AD127" s="170"/>
      <c r="AE127" s="170">
        <f t="shared" si="56"/>
        <v>0</v>
      </c>
    </row>
    <row r="128" spans="1:31" s="159" customFormat="1" x14ac:dyDescent="0.25">
      <c r="A128" s="178" t="s">
        <v>325</v>
      </c>
      <c r="B128" s="168">
        <v>2</v>
      </c>
      <c r="C128" s="168">
        <v>606</v>
      </c>
      <c r="D128" s="172">
        <v>5100</v>
      </c>
      <c r="E128" s="170">
        <f t="shared" si="66"/>
        <v>13998</v>
      </c>
      <c r="F128" s="170">
        <f t="shared" si="66"/>
        <v>0</v>
      </c>
      <c r="G128" s="170">
        <f t="shared" si="66"/>
        <v>-13998</v>
      </c>
      <c r="H128" s="170"/>
      <c r="I128" s="170"/>
      <c r="J128" s="170">
        <f t="shared" si="67"/>
        <v>0</v>
      </c>
      <c r="K128" s="170"/>
      <c r="L128" s="170"/>
      <c r="M128" s="170">
        <f t="shared" si="50"/>
        <v>0</v>
      </c>
      <c r="N128" s="170">
        <v>13998</v>
      </c>
      <c r="O128" s="170">
        <f>13998-13998</f>
        <v>0</v>
      </c>
      <c r="P128" s="170">
        <f t="shared" si="51"/>
        <v>-13998</v>
      </c>
      <c r="Q128" s="170"/>
      <c r="R128" s="170"/>
      <c r="S128" s="170">
        <f t="shared" si="52"/>
        <v>0</v>
      </c>
      <c r="T128" s="170"/>
      <c r="U128" s="170"/>
      <c r="V128" s="170">
        <f t="shared" si="53"/>
        <v>0</v>
      </c>
      <c r="W128" s="170"/>
      <c r="X128" s="170"/>
      <c r="Y128" s="170">
        <f t="shared" si="54"/>
        <v>0</v>
      </c>
      <c r="Z128" s="170"/>
      <c r="AA128" s="170"/>
      <c r="AB128" s="170">
        <f t="shared" si="55"/>
        <v>0</v>
      </c>
      <c r="AC128" s="170"/>
      <c r="AD128" s="170"/>
      <c r="AE128" s="170">
        <f t="shared" si="56"/>
        <v>0</v>
      </c>
    </row>
    <row r="129" spans="1:31" s="159" customFormat="1" x14ac:dyDescent="0.25">
      <c r="A129" s="178" t="s">
        <v>298</v>
      </c>
      <c r="B129" s="168">
        <v>2</v>
      </c>
      <c r="C129" s="168">
        <v>606</v>
      </c>
      <c r="D129" s="172">
        <v>5100</v>
      </c>
      <c r="E129" s="170">
        <f t="shared" si="66"/>
        <v>13998</v>
      </c>
      <c r="F129" s="170">
        <f t="shared" si="66"/>
        <v>13998</v>
      </c>
      <c r="G129" s="170">
        <f t="shared" si="66"/>
        <v>0</v>
      </c>
      <c r="H129" s="170"/>
      <c r="I129" s="170"/>
      <c r="J129" s="170">
        <f t="shared" si="67"/>
        <v>0</v>
      </c>
      <c r="K129" s="170"/>
      <c r="L129" s="170"/>
      <c r="M129" s="170">
        <f t="shared" si="50"/>
        <v>0</v>
      </c>
      <c r="N129" s="170">
        <v>13998</v>
      </c>
      <c r="O129" s="170">
        <v>13998</v>
      </c>
      <c r="P129" s="170">
        <f t="shared" si="51"/>
        <v>0</v>
      </c>
      <c r="Q129" s="170"/>
      <c r="R129" s="170"/>
      <c r="S129" s="170">
        <f t="shared" si="52"/>
        <v>0</v>
      </c>
      <c r="T129" s="170"/>
      <c r="U129" s="170"/>
      <c r="V129" s="170">
        <f t="shared" si="53"/>
        <v>0</v>
      </c>
      <c r="W129" s="170"/>
      <c r="X129" s="170"/>
      <c r="Y129" s="170">
        <f t="shared" si="54"/>
        <v>0</v>
      </c>
      <c r="Z129" s="170"/>
      <c r="AA129" s="170"/>
      <c r="AB129" s="170">
        <f t="shared" si="55"/>
        <v>0</v>
      </c>
      <c r="AC129" s="170"/>
      <c r="AD129" s="170"/>
      <c r="AE129" s="170">
        <f t="shared" si="56"/>
        <v>0</v>
      </c>
    </row>
    <row r="130" spans="1:31" s="159" customFormat="1" x14ac:dyDescent="0.25">
      <c r="A130" s="178" t="s">
        <v>300</v>
      </c>
      <c r="B130" s="168">
        <v>2</v>
      </c>
      <c r="C130" s="168">
        <v>606</v>
      </c>
      <c r="D130" s="172">
        <v>5100</v>
      </c>
      <c r="E130" s="170">
        <f t="shared" si="66"/>
        <v>13998</v>
      </c>
      <c r="F130" s="170">
        <f t="shared" si="66"/>
        <v>13998</v>
      </c>
      <c r="G130" s="170">
        <f t="shared" si="66"/>
        <v>0</v>
      </c>
      <c r="H130" s="170"/>
      <c r="I130" s="170"/>
      <c r="J130" s="170">
        <f t="shared" si="67"/>
        <v>0</v>
      </c>
      <c r="K130" s="170"/>
      <c r="L130" s="170"/>
      <c r="M130" s="170">
        <f t="shared" si="50"/>
        <v>0</v>
      </c>
      <c r="N130" s="170">
        <v>13998</v>
      </c>
      <c r="O130" s="170">
        <v>13998</v>
      </c>
      <c r="P130" s="170">
        <f t="shared" si="51"/>
        <v>0</v>
      </c>
      <c r="Q130" s="170"/>
      <c r="R130" s="170"/>
      <c r="S130" s="170">
        <f t="shared" si="52"/>
        <v>0</v>
      </c>
      <c r="T130" s="170"/>
      <c r="U130" s="170"/>
      <c r="V130" s="170">
        <f t="shared" si="53"/>
        <v>0</v>
      </c>
      <c r="W130" s="170"/>
      <c r="X130" s="170"/>
      <c r="Y130" s="170">
        <f t="shared" si="54"/>
        <v>0</v>
      </c>
      <c r="Z130" s="170"/>
      <c r="AA130" s="170"/>
      <c r="AB130" s="170">
        <f t="shared" si="55"/>
        <v>0</v>
      </c>
      <c r="AC130" s="170"/>
      <c r="AD130" s="170"/>
      <c r="AE130" s="170">
        <f t="shared" si="56"/>
        <v>0</v>
      </c>
    </row>
    <row r="131" spans="1:31" s="159" customFormat="1" x14ac:dyDescent="0.25">
      <c r="A131" s="178" t="s">
        <v>326</v>
      </c>
      <c r="B131" s="168">
        <v>2</v>
      </c>
      <c r="C131" s="168">
        <v>606</v>
      </c>
      <c r="D131" s="172">
        <v>5100</v>
      </c>
      <c r="E131" s="170">
        <f t="shared" si="66"/>
        <v>15999</v>
      </c>
      <c r="F131" s="170">
        <f t="shared" si="66"/>
        <v>0</v>
      </c>
      <c r="G131" s="170">
        <f t="shared" si="66"/>
        <v>-15999</v>
      </c>
      <c r="H131" s="170"/>
      <c r="I131" s="170"/>
      <c r="J131" s="170">
        <f t="shared" si="67"/>
        <v>0</v>
      </c>
      <c r="K131" s="170"/>
      <c r="L131" s="170"/>
      <c r="M131" s="170">
        <f t="shared" si="50"/>
        <v>0</v>
      </c>
      <c r="N131" s="170">
        <v>15999</v>
      </c>
      <c r="O131" s="170">
        <f>15999-15999</f>
        <v>0</v>
      </c>
      <c r="P131" s="170">
        <f t="shared" si="51"/>
        <v>-15999</v>
      </c>
      <c r="Q131" s="170"/>
      <c r="R131" s="170"/>
      <c r="S131" s="170">
        <f t="shared" si="52"/>
        <v>0</v>
      </c>
      <c r="T131" s="170"/>
      <c r="U131" s="170"/>
      <c r="V131" s="170">
        <f t="shared" si="53"/>
        <v>0</v>
      </c>
      <c r="W131" s="170"/>
      <c r="X131" s="170"/>
      <c r="Y131" s="170">
        <f t="shared" si="54"/>
        <v>0</v>
      </c>
      <c r="Z131" s="170"/>
      <c r="AA131" s="170"/>
      <c r="AB131" s="170">
        <f t="shared" si="55"/>
        <v>0</v>
      </c>
      <c r="AC131" s="170"/>
      <c r="AD131" s="170"/>
      <c r="AE131" s="170">
        <f t="shared" si="56"/>
        <v>0</v>
      </c>
    </row>
    <row r="132" spans="1:31" s="159" customFormat="1" x14ac:dyDescent="0.25">
      <c r="A132" s="178" t="s">
        <v>327</v>
      </c>
      <c r="B132" s="168">
        <v>2</v>
      </c>
      <c r="C132" s="168">
        <v>606</v>
      </c>
      <c r="D132" s="172">
        <v>5100</v>
      </c>
      <c r="E132" s="170">
        <f t="shared" si="66"/>
        <v>10998</v>
      </c>
      <c r="F132" s="170">
        <f t="shared" si="66"/>
        <v>10998</v>
      </c>
      <c r="G132" s="170">
        <f t="shared" si="66"/>
        <v>0</v>
      </c>
      <c r="H132" s="170"/>
      <c r="I132" s="170"/>
      <c r="J132" s="170">
        <f t="shared" si="67"/>
        <v>0</v>
      </c>
      <c r="K132" s="170"/>
      <c r="L132" s="170"/>
      <c r="M132" s="170">
        <f t="shared" si="50"/>
        <v>0</v>
      </c>
      <c r="N132" s="170">
        <v>10998</v>
      </c>
      <c r="O132" s="170">
        <v>10998</v>
      </c>
      <c r="P132" s="170">
        <f t="shared" si="51"/>
        <v>0</v>
      </c>
      <c r="Q132" s="170"/>
      <c r="R132" s="170"/>
      <c r="S132" s="170">
        <f t="shared" si="52"/>
        <v>0</v>
      </c>
      <c r="T132" s="170"/>
      <c r="U132" s="170"/>
      <c r="V132" s="170">
        <f t="shared" si="53"/>
        <v>0</v>
      </c>
      <c r="W132" s="170"/>
      <c r="X132" s="170"/>
      <c r="Y132" s="170">
        <f t="shared" si="54"/>
        <v>0</v>
      </c>
      <c r="Z132" s="170"/>
      <c r="AA132" s="170"/>
      <c r="AB132" s="170">
        <f t="shared" si="55"/>
        <v>0</v>
      </c>
      <c r="AC132" s="170"/>
      <c r="AD132" s="170"/>
      <c r="AE132" s="170">
        <f t="shared" si="56"/>
        <v>0</v>
      </c>
    </row>
    <row r="133" spans="1:31" s="159" customFormat="1" x14ac:dyDescent="0.25">
      <c r="A133" s="178" t="s">
        <v>303</v>
      </c>
      <c r="B133" s="168">
        <v>2</v>
      </c>
      <c r="C133" s="168">
        <v>606</v>
      </c>
      <c r="D133" s="172">
        <v>5100</v>
      </c>
      <c r="E133" s="170">
        <f t="shared" si="66"/>
        <v>15999</v>
      </c>
      <c r="F133" s="170">
        <f t="shared" si="66"/>
        <v>0</v>
      </c>
      <c r="G133" s="170">
        <f t="shared" si="66"/>
        <v>-15999</v>
      </c>
      <c r="H133" s="170"/>
      <c r="I133" s="170"/>
      <c r="J133" s="170">
        <f t="shared" si="67"/>
        <v>0</v>
      </c>
      <c r="K133" s="170"/>
      <c r="L133" s="170"/>
      <c r="M133" s="170">
        <f t="shared" si="50"/>
        <v>0</v>
      </c>
      <c r="N133" s="170">
        <v>15999</v>
      </c>
      <c r="O133" s="170">
        <f>15999-15999</f>
        <v>0</v>
      </c>
      <c r="P133" s="170">
        <f t="shared" si="51"/>
        <v>-15999</v>
      </c>
      <c r="Q133" s="170"/>
      <c r="R133" s="170"/>
      <c r="S133" s="170">
        <f t="shared" si="52"/>
        <v>0</v>
      </c>
      <c r="T133" s="170"/>
      <c r="U133" s="170"/>
      <c r="V133" s="170">
        <f t="shared" si="53"/>
        <v>0</v>
      </c>
      <c r="W133" s="170"/>
      <c r="X133" s="170"/>
      <c r="Y133" s="170">
        <f t="shared" si="54"/>
        <v>0</v>
      </c>
      <c r="Z133" s="170"/>
      <c r="AA133" s="170"/>
      <c r="AB133" s="170">
        <f t="shared" si="55"/>
        <v>0</v>
      </c>
      <c r="AC133" s="170"/>
      <c r="AD133" s="170"/>
      <c r="AE133" s="170">
        <f t="shared" si="56"/>
        <v>0</v>
      </c>
    </row>
    <row r="134" spans="1:31" s="159" customFormat="1" x14ac:dyDescent="0.25">
      <c r="A134" s="178" t="s">
        <v>328</v>
      </c>
      <c r="B134" s="168">
        <v>2</v>
      </c>
      <c r="C134" s="168">
        <v>606</v>
      </c>
      <c r="D134" s="172">
        <v>5100</v>
      </c>
      <c r="E134" s="170">
        <f t="shared" si="66"/>
        <v>13998</v>
      </c>
      <c r="F134" s="170">
        <f t="shared" si="66"/>
        <v>0</v>
      </c>
      <c r="G134" s="170">
        <f t="shared" si="66"/>
        <v>-13998</v>
      </c>
      <c r="H134" s="170"/>
      <c r="I134" s="170"/>
      <c r="J134" s="170">
        <f t="shared" si="67"/>
        <v>0</v>
      </c>
      <c r="K134" s="170"/>
      <c r="L134" s="170"/>
      <c r="M134" s="170">
        <f t="shared" si="50"/>
        <v>0</v>
      </c>
      <c r="N134" s="170">
        <v>13998</v>
      </c>
      <c r="O134" s="170">
        <f>13998-13998</f>
        <v>0</v>
      </c>
      <c r="P134" s="170">
        <f t="shared" si="51"/>
        <v>-13998</v>
      </c>
      <c r="Q134" s="170"/>
      <c r="R134" s="170"/>
      <c r="S134" s="170">
        <f t="shared" si="52"/>
        <v>0</v>
      </c>
      <c r="T134" s="170"/>
      <c r="U134" s="170"/>
      <c r="V134" s="170">
        <f t="shared" si="53"/>
        <v>0</v>
      </c>
      <c r="W134" s="170"/>
      <c r="X134" s="170"/>
      <c r="Y134" s="170">
        <f t="shared" si="54"/>
        <v>0</v>
      </c>
      <c r="Z134" s="170"/>
      <c r="AA134" s="170"/>
      <c r="AB134" s="170">
        <f t="shared" si="55"/>
        <v>0</v>
      </c>
      <c r="AC134" s="170"/>
      <c r="AD134" s="170"/>
      <c r="AE134" s="170">
        <f t="shared" si="56"/>
        <v>0</v>
      </c>
    </row>
    <row r="135" spans="1:31" s="159" customFormat="1" x14ac:dyDescent="0.25">
      <c r="A135" s="178" t="s">
        <v>329</v>
      </c>
      <c r="B135" s="168">
        <v>2</v>
      </c>
      <c r="C135" s="168">
        <v>606</v>
      </c>
      <c r="D135" s="172">
        <v>5100</v>
      </c>
      <c r="E135" s="170">
        <f t="shared" si="66"/>
        <v>13998</v>
      </c>
      <c r="F135" s="170">
        <f t="shared" si="66"/>
        <v>13996</v>
      </c>
      <c r="G135" s="170">
        <f t="shared" si="66"/>
        <v>-2</v>
      </c>
      <c r="H135" s="170"/>
      <c r="I135" s="170"/>
      <c r="J135" s="170">
        <f t="shared" si="67"/>
        <v>0</v>
      </c>
      <c r="K135" s="170"/>
      <c r="L135" s="170"/>
      <c r="M135" s="170">
        <f t="shared" si="50"/>
        <v>0</v>
      </c>
      <c r="N135" s="170">
        <v>13998</v>
      </c>
      <c r="O135" s="170">
        <f>13998-2</f>
        <v>13996</v>
      </c>
      <c r="P135" s="170">
        <f t="shared" si="51"/>
        <v>-2</v>
      </c>
      <c r="Q135" s="170"/>
      <c r="R135" s="170"/>
      <c r="S135" s="170">
        <f t="shared" si="52"/>
        <v>0</v>
      </c>
      <c r="T135" s="170"/>
      <c r="U135" s="170"/>
      <c r="V135" s="170">
        <f t="shared" si="53"/>
        <v>0</v>
      </c>
      <c r="W135" s="170"/>
      <c r="X135" s="170"/>
      <c r="Y135" s="170">
        <f t="shared" si="54"/>
        <v>0</v>
      </c>
      <c r="Z135" s="170"/>
      <c r="AA135" s="170"/>
      <c r="AB135" s="170">
        <f t="shared" si="55"/>
        <v>0</v>
      </c>
      <c r="AC135" s="170"/>
      <c r="AD135" s="170"/>
      <c r="AE135" s="170">
        <f t="shared" si="56"/>
        <v>0</v>
      </c>
    </row>
    <row r="136" spans="1:31" s="159" customFormat="1" x14ac:dyDescent="0.25">
      <c r="A136" s="178" t="s">
        <v>308</v>
      </c>
      <c r="B136" s="168">
        <v>2</v>
      </c>
      <c r="C136" s="168">
        <v>606</v>
      </c>
      <c r="D136" s="172">
        <v>5100</v>
      </c>
      <c r="E136" s="170">
        <f t="shared" si="66"/>
        <v>15999</v>
      </c>
      <c r="F136" s="170">
        <f t="shared" si="66"/>
        <v>0</v>
      </c>
      <c r="G136" s="170">
        <f t="shared" si="66"/>
        <v>-15999</v>
      </c>
      <c r="H136" s="170"/>
      <c r="I136" s="170"/>
      <c r="J136" s="170">
        <f t="shared" si="67"/>
        <v>0</v>
      </c>
      <c r="K136" s="170"/>
      <c r="L136" s="170"/>
      <c r="M136" s="170">
        <f t="shared" si="50"/>
        <v>0</v>
      </c>
      <c r="N136" s="170">
        <v>15999</v>
      </c>
      <c r="O136" s="170">
        <f>15999-15999</f>
        <v>0</v>
      </c>
      <c r="P136" s="170">
        <f t="shared" si="51"/>
        <v>-15999</v>
      </c>
      <c r="Q136" s="170"/>
      <c r="R136" s="170"/>
      <c r="S136" s="170">
        <f t="shared" si="52"/>
        <v>0</v>
      </c>
      <c r="T136" s="170"/>
      <c r="U136" s="170"/>
      <c r="V136" s="170">
        <f t="shared" si="53"/>
        <v>0</v>
      </c>
      <c r="W136" s="170"/>
      <c r="X136" s="170"/>
      <c r="Y136" s="170">
        <f t="shared" si="54"/>
        <v>0</v>
      </c>
      <c r="Z136" s="170"/>
      <c r="AA136" s="170"/>
      <c r="AB136" s="170">
        <f t="shared" si="55"/>
        <v>0</v>
      </c>
      <c r="AC136" s="170"/>
      <c r="AD136" s="170"/>
      <c r="AE136" s="170">
        <f t="shared" si="56"/>
        <v>0</v>
      </c>
    </row>
    <row r="137" spans="1:31" s="159" customFormat="1" x14ac:dyDescent="0.25">
      <c r="A137" s="178" t="s">
        <v>330</v>
      </c>
      <c r="B137" s="168">
        <v>2</v>
      </c>
      <c r="C137" s="168">
        <v>606</v>
      </c>
      <c r="D137" s="172">
        <v>5100</v>
      </c>
      <c r="E137" s="170">
        <f t="shared" si="66"/>
        <v>10998</v>
      </c>
      <c r="F137" s="170">
        <f t="shared" si="66"/>
        <v>10998</v>
      </c>
      <c r="G137" s="170">
        <f t="shared" si="66"/>
        <v>0</v>
      </c>
      <c r="H137" s="170"/>
      <c r="I137" s="170"/>
      <c r="J137" s="170">
        <f t="shared" si="67"/>
        <v>0</v>
      </c>
      <c r="K137" s="170">
        <v>10998</v>
      </c>
      <c r="L137" s="170">
        <v>10998</v>
      </c>
      <c r="M137" s="170">
        <f t="shared" si="50"/>
        <v>0</v>
      </c>
      <c r="N137" s="170">
        <v>0</v>
      </c>
      <c r="O137" s="170">
        <v>0</v>
      </c>
      <c r="P137" s="170">
        <f t="shared" si="51"/>
        <v>0</v>
      </c>
      <c r="Q137" s="170"/>
      <c r="R137" s="170"/>
      <c r="S137" s="170">
        <f t="shared" si="52"/>
        <v>0</v>
      </c>
      <c r="T137" s="170"/>
      <c r="U137" s="170"/>
      <c r="V137" s="170">
        <f t="shared" si="53"/>
        <v>0</v>
      </c>
      <c r="W137" s="170"/>
      <c r="X137" s="170"/>
      <c r="Y137" s="170">
        <f t="shared" si="54"/>
        <v>0</v>
      </c>
      <c r="Z137" s="170"/>
      <c r="AA137" s="170"/>
      <c r="AB137" s="170">
        <f t="shared" si="55"/>
        <v>0</v>
      </c>
      <c r="AC137" s="170"/>
      <c r="AD137" s="170"/>
      <c r="AE137" s="170">
        <f t="shared" si="56"/>
        <v>0</v>
      </c>
    </row>
    <row r="138" spans="1:31" s="159" customFormat="1" x14ac:dyDescent="0.25">
      <c r="A138" s="178" t="s">
        <v>310</v>
      </c>
      <c r="B138" s="168">
        <v>2</v>
      </c>
      <c r="C138" s="168">
        <v>606</v>
      </c>
      <c r="D138" s="172">
        <v>5100</v>
      </c>
      <c r="E138" s="170">
        <f t="shared" si="66"/>
        <v>13998</v>
      </c>
      <c r="F138" s="170">
        <f t="shared" si="66"/>
        <v>13998</v>
      </c>
      <c r="G138" s="170">
        <f t="shared" si="66"/>
        <v>0</v>
      </c>
      <c r="H138" s="170"/>
      <c r="I138" s="170"/>
      <c r="J138" s="170">
        <f t="shared" si="67"/>
        <v>0</v>
      </c>
      <c r="K138" s="170"/>
      <c r="L138" s="170"/>
      <c r="M138" s="170">
        <f t="shared" si="50"/>
        <v>0</v>
      </c>
      <c r="N138" s="170">
        <v>13998</v>
      </c>
      <c r="O138" s="170">
        <v>13998</v>
      </c>
      <c r="P138" s="170">
        <f t="shared" si="51"/>
        <v>0</v>
      </c>
      <c r="Q138" s="170"/>
      <c r="R138" s="170"/>
      <c r="S138" s="170">
        <f t="shared" si="52"/>
        <v>0</v>
      </c>
      <c r="T138" s="170"/>
      <c r="U138" s="170"/>
      <c r="V138" s="170">
        <f t="shared" si="53"/>
        <v>0</v>
      </c>
      <c r="W138" s="170"/>
      <c r="X138" s="170"/>
      <c r="Y138" s="170">
        <f t="shared" si="54"/>
        <v>0</v>
      </c>
      <c r="Z138" s="170"/>
      <c r="AA138" s="170"/>
      <c r="AB138" s="170">
        <f t="shared" si="55"/>
        <v>0</v>
      </c>
      <c r="AC138" s="170"/>
      <c r="AD138" s="170"/>
      <c r="AE138" s="170">
        <f t="shared" si="56"/>
        <v>0</v>
      </c>
    </row>
    <row r="139" spans="1:31" s="159" customFormat="1" x14ac:dyDescent="0.25">
      <c r="A139" s="178" t="s">
        <v>311</v>
      </c>
      <c r="B139" s="168">
        <v>2</v>
      </c>
      <c r="C139" s="168">
        <v>606</v>
      </c>
      <c r="D139" s="172">
        <v>5100</v>
      </c>
      <c r="E139" s="170">
        <f t="shared" si="66"/>
        <v>10998</v>
      </c>
      <c r="F139" s="170">
        <f t="shared" si="66"/>
        <v>10998</v>
      </c>
      <c r="G139" s="170">
        <f t="shared" si="66"/>
        <v>0</v>
      </c>
      <c r="H139" s="170"/>
      <c r="I139" s="170"/>
      <c r="J139" s="170">
        <f t="shared" si="67"/>
        <v>0</v>
      </c>
      <c r="K139" s="170"/>
      <c r="L139" s="170"/>
      <c r="M139" s="170">
        <f t="shared" si="50"/>
        <v>0</v>
      </c>
      <c r="N139" s="170">
        <v>10998</v>
      </c>
      <c r="O139" s="170">
        <v>10998</v>
      </c>
      <c r="P139" s="170">
        <f t="shared" si="51"/>
        <v>0</v>
      </c>
      <c r="Q139" s="170"/>
      <c r="R139" s="170"/>
      <c r="S139" s="170">
        <f t="shared" si="52"/>
        <v>0</v>
      </c>
      <c r="T139" s="170"/>
      <c r="U139" s="170"/>
      <c r="V139" s="170">
        <f t="shared" si="53"/>
        <v>0</v>
      </c>
      <c r="W139" s="170"/>
      <c r="X139" s="170"/>
      <c r="Y139" s="170">
        <f t="shared" si="54"/>
        <v>0</v>
      </c>
      <c r="Z139" s="170"/>
      <c r="AA139" s="170"/>
      <c r="AB139" s="170">
        <f t="shared" si="55"/>
        <v>0</v>
      </c>
      <c r="AC139" s="170"/>
      <c r="AD139" s="170"/>
      <c r="AE139" s="170">
        <f t="shared" si="56"/>
        <v>0</v>
      </c>
    </row>
    <row r="140" spans="1:31" s="159" customFormat="1" x14ac:dyDescent="0.25">
      <c r="A140" s="178" t="s">
        <v>331</v>
      </c>
      <c r="B140" s="168">
        <v>2</v>
      </c>
      <c r="C140" s="168">
        <v>606</v>
      </c>
      <c r="D140" s="172">
        <v>5100</v>
      </c>
      <c r="E140" s="170">
        <f t="shared" si="66"/>
        <v>10998</v>
      </c>
      <c r="F140" s="170">
        <f t="shared" si="66"/>
        <v>10998</v>
      </c>
      <c r="G140" s="170">
        <f t="shared" si="66"/>
        <v>0</v>
      </c>
      <c r="H140" s="170"/>
      <c r="I140" s="170"/>
      <c r="J140" s="170">
        <f t="shared" si="67"/>
        <v>0</v>
      </c>
      <c r="K140" s="170"/>
      <c r="L140" s="170"/>
      <c r="M140" s="170">
        <f t="shared" si="50"/>
        <v>0</v>
      </c>
      <c r="N140" s="170">
        <v>10998</v>
      </c>
      <c r="O140" s="170">
        <v>10998</v>
      </c>
      <c r="P140" s="170">
        <f t="shared" si="51"/>
        <v>0</v>
      </c>
      <c r="Q140" s="170"/>
      <c r="R140" s="170"/>
      <c r="S140" s="170">
        <f t="shared" si="52"/>
        <v>0</v>
      </c>
      <c r="T140" s="170"/>
      <c r="U140" s="170"/>
      <c r="V140" s="170">
        <f t="shared" si="53"/>
        <v>0</v>
      </c>
      <c r="W140" s="170"/>
      <c r="X140" s="170"/>
      <c r="Y140" s="170">
        <f t="shared" si="54"/>
        <v>0</v>
      </c>
      <c r="Z140" s="170"/>
      <c r="AA140" s="170"/>
      <c r="AB140" s="170">
        <f t="shared" si="55"/>
        <v>0</v>
      </c>
      <c r="AC140" s="170"/>
      <c r="AD140" s="170"/>
      <c r="AE140" s="170">
        <f t="shared" si="56"/>
        <v>0</v>
      </c>
    </row>
    <row r="141" spans="1:31" s="159" customFormat="1" x14ac:dyDescent="0.25">
      <c r="A141" s="178" t="s">
        <v>313</v>
      </c>
      <c r="B141" s="168">
        <v>2</v>
      </c>
      <c r="C141" s="168">
        <v>606</v>
      </c>
      <c r="D141" s="172">
        <v>5100</v>
      </c>
      <c r="E141" s="170">
        <f t="shared" si="66"/>
        <v>4000</v>
      </c>
      <c r="F141" s="170">
        <f t="shared" si="66"/>
        <v>3999</v>
      </c>
      <c r="G141" s="170">
        <f t="shared" si="66"/>
        <v>-1</v>
      </c>
      <c r="H141" s="170"/>
      <c r="I141" s="170"/>
      <c r="J141" s="170">
        <f t="shared" si="67"/>
        <v>0</v>
      </c>
      <c r="K141" s="170"/>
      <c r="L141" s="170"/>
      <c r="M141" s="170">
        <f t="shared" si="50"/>
        <v>0</v>
      </c>
      <c r="N141" s="170">
        <v>4000</v>
      </c>
      <c r="O141" s="170">
        <f>4000-1</f>
        <v>3999</v>
      </c>
      <c r="P141" s="170">
        <f t="shared" si="51"/>
        <v>-1</v>
      </c>
      <c r="Q141" s="170"/>
      <c r="R141" s="170"/>
      <c r="S141" s="170">
        <f t="shared" si="52"/>
        <v>0</v>
      </c>
      <c r="T141" s="170"/>
      <c r="U141" s="170"/>
      <c r="V141" s="170">
        <f t="shared" si="53"/>
        <v>0</v>
      </c>
      <c r="W141" s="170"/>
      <c r="X141" s="170"/>
      <c r="Y141" s="170">
        <f t="shared" si="54"/>
        <v>0</v>
      </c>
      <c r="Z141" s="170"/>
      <c r="AA141" s="170"/>
      <c r="AB141" s="170">
        <f t="shared" si="55"/>
        <v>0</v>
      </c>
      <c r="AC141" s="170"/>
      <c r="AD141" s="170"/>
      <c r="AE141" s="170">
        <f t="shared" si="56"/>
        <v>0</v>
      </c>
    </row>
    <row r="142" spans="1:31" s="159" customFormat="1" x14ac:dyDescent="0.25">
      <c r="A142" s="178" t="s">
        <v>314</v>
      </c>
      <c r="B142" s="168">
        <v>2</v>
      </c>
      <c r="C142" s="168">
        <v>606</v>
      </c>
      <c r="D142" s="172">
        <v>5100</v>
      </c>
      <c r="E142" s="170">
        <f t="shared" si="66"/>
        <v>9000</v>
      </c>
      <c r="F142" s="170">
        <f t="shared" si="66"/>
        <v>9000</v>
      </c>
      <c r="G142" s="170">
        <f t="shared" si="66"/>
        <v>0</v>
      </c>
      <c r="H142" s="170"/>
      <c r="I142" s="170"/>
      <c r="J142" s="170">
        <f t="shared" si="67"/>
        <v>0</v>
      </c>
      <c r="K142" s="170"/>
      <c r="L142" s="170"/>
      <c r="M142" s="170">
        <f t="shared" si="50"/>
        <v>0</v>
      </c>
      <c r="N142" s="170">
        <v>9000</v>
      </c>
      <c r="O142" s="170">
        <v>9000</v>
      </c>
      <c r="P142" s="170">
        <f t="shared" si="51"/>
        <v>0</v>
      </c>
      <c r="Q142" s="170"/>
      <c r="R142" s="170"/>
      <c r="S142" s="170">
        <f t="shared" si="52"/>
        <v>0</v>
      </c>
      <c r="T142" s="170"/>
      <c r="U142" s="170"/>
      <c r="V142" s="170">
        <f t="shared" si="53"/>
        <v>0</v>
      </c>
      <c r="W142" s="170"/>
      <c r="X142" s="170"/>
      <c r="Y142" s="170">
        <f t="shared" si="54"/>
        <v>0</v>
      </c>
      <c r="Z142" s="170"/>
      <c r="AA142" s="170"/>
      <c r="AB142" s="170">
        <f t="shared" si="55"/>
        <v>0</v>
      </c>
      <c r="AC142" s="170"/>
      <c r="AD142" s="170"/>
      <c r="AE142" s="170">
        <f t="shared" si="56"/>
        <v>0</v>
      </c>
    </row>
    <row r="143" spans="1:31" s="159" customFormat="1" x14ac:dyDescent="0.25">
      <c r="A143" s="178" t="s">
        <v>315</v>
      </c>
      <c r="B143" s="168">
        <v>2</v>
      </c>
      <c r="C143" s="168">
        <v>606</v>
      </c>
      <c r="D143" s="172">
        <v>5100</v>
      </c>
      <c r="E143" s="170">
        <f t="shared" si="66"/>
        <v>10996</v>
      </c>
      <c r="F143" s="170">
        <f t="shared" si="66"/>
        <v>10996</v>
      </c>
      <c r="G143" s="170">
        <f t="shared" si="66"/>
        <v>0</v>
      </c>
      <c r="H143" s="170"/>
      <c r="I143" s="170"/>
      <c r="J143" s="170">
        <f t="shared" si="67"/>
        <v>0</v>
      </c>
      <c r="K143" s="170">
        <v>10996</v>
      </c>
      <c r="L143" s="170">
        <v>10996</v>
      </c>
      <c r="M143" s="170">
        <f t="shared" si="50"/>
        <v>0</v>
      </c>
      <c r="N143" s="170">
        <v>0</v>
      </c>
      <c r="O143" s="170">
        <v>0</v>
      </c>
      <c r="P143" s="170">
        <f t="shared" si="51"/>
        <v>0</v>
      </c>
      <c r="Q143" s="170"/>
      <c r="R143" s="170"/>
      <c r="S143" s="170">
        <f t="shared" si="52"/>
        <v>0</v>
      </c>
      <c r="T143" s="170"/>
      <c r="U143" s="170"/>
      <c r="V143" s="170">
        <f t="shared" si="53"/>
        <v>0</v>
      </c>
      <c r="W143" s="170"/>
      <c r="X143" s="170"/>
      <c r="Y143" s="170">
        <f t="shared" si="54"/>
        <v>0</v>
      </c>
      <c r="Z143" s="170"/>
      <c r="AA143" s="170"/>
      <c r="AB143" s="170">
        <f t="shared" si="55"/>
        <v>0</v>
      </c>
      <c r="AC143" s="170"/>
      <c r="AD143" s="170"/>
      <c r="AE143" s="170">
        <f t="shared" si="56"/>
        <v>0</v>
      </c>
    </row>
    <row r="144" spans="1:31" s="159" customFormat="1" x14ac:dyDescent="0.25">
      <c r="A144" s="178" t="s">
        <v>316</v>
      </c>
      <c r="B144" s="168">
        <v>2</v>
      </c>
      <c r="C144" s="168">
        <v>606</v>
      </c>
      <c r="D144" s="172">
        <v>5100</v>
      </c>
      <c r="E144" s="170">
        <f t="shared" si="66"/>
        <v>17000</v>
      </c>
      <c r="F144" s="170">
        <f t="shared" si="66"/>
        <v>0</v>
      </c>
      <c r="G144" s="170">
        <f t="shared" si="66"/>
        <v>-17000</v>
      </c>
      <c r="H144" s="170"/>
      <c r="I144" s="170"/>
      <c r="J144" s="170">
        <f t="shared" si="67"/>
        <v>0</v>
      </c>
      <c r="K144" s="170"/>
      <c r="L144" s="170"/>
      <c r="M144" s="170">
        <f t="shared" si="50"/>
        <v>0</v>
      </c>
      <c r="N144" s="170">
        <v>17000</v>
      </c>
      <c r="O144" s="170">
        <f>17000-17000</f>
        <v>0</v>
      </c>
      <c r="P144" s="170">
        <f t="shared" si="51"/>
        <v>-17000</v>
      </c>
      <c r="Q144" s="170"/>
      <c r="R144" s="170"/>
      <c r="S144" s="170">
        <f t="shared" si="52"/>
        <v>0</v>
      </c>
      <c r="T144" s="170"/>
      <c r="U144" s="170"/>
      <c r="V144" s="170">
        <f t="shared" si="53"/>
        <v>0</v>
      </c>
      <c r="W144" s="170"/>
      <c r="X144" s="170"/>
      <c r="Y144" s="170">
        <f t="shared" si="54"/>
        <v>0</v>
      </c>
      <c r="Z144" s="170"/>
      <c r="AA144" s="170"/>
      <c r="AB144" s="170">
        <f t="shared" si="55"/>
        <v>0</v>
      </c>
      <c r="AC144" s="170"/>
      <c r="AD144" s="170"/>
      <c r="AE144" s="170">
        <f t="shared" si="56"/>
        <v>0</v>
      </c>
    </row>
    <row r="145" spans="1:192" s="159" customFormat="1" x14ac:dyDescent="0.25">
      <c r="A145" s="178" t="s">
        <v>332</v>
      </c>
      <c r="B145" s="168">
        <v>2</v>
      </c>
      <c r="C145" s="168">
        <v>606</v>
      </c>
      <c r="D145" s="172">
        <v>5100</v>
      </c>
      <c r="E145" s="170">
        <f t="shared" ref="E145:G231" si="75">H145+K145+N145+Q145+T145+W145+AC145+Z145</f>
        <v>16999</v>
      </c>
      <c r="F145" s="170">
        <f t="shared" si="75"/>
        <v>16999</v>
      </c>
      <c r="G145" s="170">
        <f t="shared" si="75"/>
        <v>0</v>
      </c>
      <c r="H145" s="170"/>
      <c r="I145" s="170"/>
      <c r="J145" s="170">
        <f t="shared" si="67"/>
        <v>0</v>
      </c>
      <c r="K145" s="170"/>
      <c r="L145" s="170"/>
      <c r="M145" s="170">
        <f t="shared" si="50"/>
        <v>0</v>
      </c>
      <c r="N145" s="170">
        <v>16999</v>
      </c>
      <c r="O145" s="170">
        <v>16999</v>
      </c>
      <c r="P145" s="170">
        <f t="shared" si="51"/>
        <v>0</v>
      </c>
      <c r="Q145" s="170"/>
      <c r="R145" s="170"/>
      <c r="S145" s="170">
        <f t="shared" si="52"/>
        <v>0</v>
      </c>
      <c r="T145" s="170"/>
      <c r="U145" s="170"/>
      <c r="V145" s="170">
        <f t="shared" si="53"/>
        <v>0</v>
      </c>
      <c r="W145" s="170"/>
      <c r="X145" s="170"/>
      <c r="Y145" s="170">
        <f t="shared" si="54"/>
        <v>0</v>
      </c>
      <c r="Z145" s="170"/>
      <c r="AA145" s="170"/>
      <c r="AB145" s="170">
        <f t="shared" si="55"/>
        <v>0</v>
      </c>
      <c r="AC145" s="170"/>
      <c r="AD145" s="170"/>
      <c r="AE145" s="170">
        <f t="shared" si="56"/>
        <v>0</v>
      </c>
    </row>
    <row r="146" spans="1:192" s="159" customFormat="1" x14ac:dyDescent="0.25">
      <c r="A146" s="178" t="s">
        <v>333</v>
      </c>
      <c r="B146" s="168">
        <v>2</v>
      </c>
      <c r="C146" s="168">
        <v>606</v>
      </c>
      <c r="D146" s="172">
        <v>5100</v>
      </c>
      <c r="E146" s="170">
        <f t="shared" si="75"/>
        <v>17000</v>
      </c>
      <c r="F146" s="170">
        <f t="shared" si="75"/>
        <v>17000</v>
      </c>
      <c r="G146" s="170">
        <f t="shared" si="75"/>
        <v>0</v>
      </c>
      <c r="H146" s="170"/>
      <c r="I146" s="170"/>
      <c r="J146" s="170">
        <f t="shared" si="67"/>
        <v>0</v>
      </c>
      <c r="K146" s="170">
        <v>9471</v>
      </c>
      <c r="L146" s="170">
        <v>9471</v>
      </c>
      <c r="M146" s="170">
        <f t="shared" si="50"/>
        <v>0</v>
      </c>
      <c r="N146" s="170">
        <f>17000-9471</f>
        <v>7529</v>
      </c>
      <c r="O146" s="170">
        <f>17000-9471</f>
        <v>7529</v>
      </c>
      <c r="P146" s="170">
        <f t="shared" si="51"/>
        <v>0</v>
      </c>
      <c r="Q146" s="170"/>
      <c r="R146" s="170"/>
      <c r="S146" s="170">
        <f t="shared" si="52"/>
        <v>0</v>
      </c>
      <c r="T146" s="170"/>
      <c r="U146" s="170"/>
      <c r="V146" s="170">
        <f t="shared" si="53"/>
        <v>0</v>
      </c>
      <c r="W146" s="170"/>
      <c r="X146" s="170"/>
      <c r="Y146" s="170">
        <f t="shared" si="54"/>
        <v>0</v>
      </c>
      <c r="Z146" s="170"/>
      <c r="AA146" s="170"/>
      <c r="AB146" s="170">
        <f t="shared" si="55"/>
        <v>0</v>
      </c>
      <c r="AC146" s="170"/>
      <c r="AD146" s="170"/>
      <c r="AE146" s="170">
        <f t="shared" si="56"/>
        <v>0</v>
      </c>
    </row>
    <row r="147" spans="1:192" s="159" customFormat="1" x14ac:dyDescent="0.25">
      <c r="A147" s="178" t="s">
        <v>334</v>
      </c>
      <c r="B147" s="168">
        <v>2</v>
      </c>
      <c r="C147" s="168">
        <v>606</v>
      </c>
      <c r="D147" s="172">
        <v>5100</v>
      </c>
      <c r="E147" s="170">
        <f t="shared" si="75"/>
        <v>16999</v>
      </c>
      <c r="F147" s="170">
        <f t="shared" si="75"/>
        <v>0</v>
      </c>
      <c r="G147" s="170">
        <f t="shared" si="75"/>
        <v>-16999</v>
      </c>
      <c r="H147" s="170"/>
      <c r="I147" s="170"/>
      <c r="J147" s="170">
        <f t="shared" si="67"/>
        <v>0</v>
      </c>
      <c r="K147" s="170"/>
      <c r="L147" s="170"/>
      <c r="M147" s="170">
        <f t="shared" si="50"/>
        <v>0</v>
      </c>
      <c r="N147" s="170">
        <v>16999</v>
      </c>
      <c r="O147" s="170">
        <f>16999-16999</f>
        <v>0</v>
      </c>
      <c r="P147" s="170">
        <f t="shared" si="51"/>
        <v>-16999</v>
      </c>
      <c r="Q147" s="170"/>
      <c r="R147" s="170"/>
      <c r="S147" s="170">
        <f t="shared" si="52"/>
        <v>0</v>
      </c>
      <c r="T147" s="170"/>
      <c r="U147" s="170"/>
      <c r="V147" s="170">
        <f t="shared" si="53"/>
        <v>0</v>
      </c>
      <c r="W147" s="170"/>
      <c r="X147" s="170"/>
      <c r="Y147" s="170">
        <f t="shared" si="54"/>
        <v>0</v>
      </c>
      <c r="Z147" s="170"/>
      <c r="AA147" s="170"/>
      <c r="AB147" s="170">
        <f t="shared" si="55"/>
        <v>0</v>
      </c>
      <c r="AC147" s="170"/>
      <c r="AD147" s="170"/>
      <c r="AE147" s="170">
        <f t="shared" si="56"/>
        <v>0</v>
      </c>
    </row>
    <row r="148" spans="1:192" s="159" customFormat="1" ht="47.25" x14ac:dyDescent="0.25">
      <c r="A148" s="178" t="s">
        <v>335</v>
      </c>
      <c r="B148" s="168">
        <v>2</v>
      </c>
      <c r="C148" s="168">
        <v>619</v>
      </c>
      <c r="D148" s="172">
        <v>5100</v>
      </c>
      <c r="E148" s="170">
        <f t="shared" si="75"/>
        <v>29264</v>
      </c>
      <c r="F148" s="170">
        <f t="shared" si="75"/>
        <v>29264</v>
      </c>
      <c r="G148" s="170">
        <f t="shared" si="75"/>
        <v>0</v>
      </c>
      <c r="H148" s="170"/>
      <c r="I148" s="170"/>
      <c r="J148" s="170">
        <f>I148-H148</f>
        <v>0</v>
      </c>
      <c r="K148" s="170"/>
      <c r="L148" s="170"/>
      <c r="M148" s="170">
        <f>L148-K148</f>
        <v>0</v>
      </c>
      <c r="N148" s="170">
        <v>29264</v>
      </c>
      <c r="O148" s="170">
        <v>29264</v>
      </c>
      <c r="P148" s="170">
        <f>O148-N148</f>
        <v>0</v>
      </c>
      <c r="Q148" s="170"/>
      <c r="R148" s="170"/>
      <c r="S148" s="170">
        <f>R148-Q148</f>
        <v>0</v>
      </c>
      <c r="T148" s="170"/>
      <c r="U148" s="170"/>
      <c r="V148" s="170">
        <f>U148-T148</f>
        <v>0</v>
      </c>
      <c r="W148" s="170"/>
      <c r="X148" s="170"/>
      <c r="Y148" s="170">
        <f>X148-W148</f>
        <v>0</v>
      </c>
      <c r="Z148" s="170"/>
      <c r="AA148" s="170"/>
      <c r="AB148" s="170">
        <f>AA148-Z148</f>
        <v>0</v>
      </c>
      <c r="AC148" s="170"/>
      <c r="AD148" s="170"/>
      <c r="AE148" s="170">
        <f>AD148-AC148</f>
        <v>0</v>
      </c>
    </row>
    <row r="149" spans="1:192" s="156" customFormat="1" ht="31.5" x14ac:dyDescent="0.25">
      <c r="A149" s="157" t="s">
        <v>336</v>
      </c>
      <c r="B149" s="166"/>
      <c r="C149" s="166"/>
      <c r="D149" s="172">
        <v>5100</v>
      </c>
      <c r="E149" s="158">
        <f t="shared" si="75"/>
        <v>1995455</v>
      </c>
      <c r="F149" s="158">
        <f t="shared" si="75"/>
        <v>943304</v>
      </c>
      <c r="G149" s="158">
        <f t="shared" si="75"/>
        <v>-1052151</v>
      </c>
      <c r="H149" s="158">
        <f t="shared" ref="H149:AD149" si="76">SUM(H150)</f>
        <v>207047</v>
      </c>
      <c r="I149" s="158">
        <f t="shared" si="76"/>
        <v>207047</v>
      </c>
      <c r="J149" s="158">
        <f t="shared" si="67"/>
        <v>0</v>
      </c>
      <c r="K149" s="158">
        <f t="shared" si="76"/>
        <v>155362</v>
      </c>
      <c r="L149" s="158">
        <f t="shared" si="76"/>
        <v>0</v>
      </c>
      <c r="M149" s="158">
        <f t="shared" ref="M149:M150" si="77">L149-K149</f>
        <v>-155362</v>
      </c>
      <c r="N149" s="158">
        <f t="shared" si="76"/>
        <v>164250</v>
      </c>
      <c r="O149" s="158">
        <f t="shared" si="76"/>
        <v>131639</v>
      </c>
      <c r="P149" s="158">
        <f t="shared" ref="P149:P150" si="78">O149-N149</f>
        <v>-32611</v>
      </c>
      <c r="Q149" s="158">
        <f t="shared" si="76"/>
        <v>1465160</v>
      </c>
      <c r="R149" s="158">
        <f t="shared" si="76"/>
        <v>600982</v>
      </c>
      <c r="S149" s="158">
        <f t="shared" ref="S149:S150" si="79">R149-Q149</f>
        <v>-864178</v>
      </c>
      <c r="T149" s="158">
        <f t="shared" si="76"/>
        <v>0</v>
      </c>
      <c r="U149" s="158">
        <f t="shared" si="76"/>
        <v>0</v>
      </c>
      <c r="V149" s="158">
        <f t="shared" ref="V149:V150" si="80">U149-T149</f>
        <v>0</v>
      </c>
      <c r="W149" s="158">
        <f t="shared" si="76"/>
        <v>3636</v>
      </c>
      <c r="X149" s="158">
        <f t="shared" si="76"/>
        <v>3636</v>
      </c>
      <c r="Y149" s="158">
        <f t="shared" ref="Y149:Y150" si="81">X149-W149</f>
        <v>0</v>
      </c>
      <c r="Z149" s="158">
        <f t="shared" si="76"/>
        <v>0</v>
      </c>
      <c r="AA149" s="158">
        <f t="shared" si="76"/>
        <v>0</v>
      </c>
      <c r="AB149" s="158">
        <f t="shared" ref="AB149:AB150" si="82">AA149-Z149</f>
        <v>0</v>
      </c>
      <c r="AC149" s="158">
        <f t="shared" si="76"/>
        <v>0</v>
      </c>
      <c r="AD149" s="158">
        <f t="shared" si="76"/>
        <v>0</v>
      </c>
      <c r="AE149" s="158">
        <f t="shared" ref="AE149:AE150" si="83">AD149-AC149</f>
        <v>0</v>
      </c>
    </row>
    <row r="150" spans="1:192" s="159" customFormat="1" x14ac:dyDescent="0.25">
      <c r="A150" s="157" t="s">
        <v>218</v>
      </c>
      <c r="B150" s="166"/>
      <c r="C150" s="166"/>
      <c r="D150" s="172">
        <v>5100</v>
      </c>
      <c r="E150" s="158">
        <f t="shared" si="75"/>
        <v>1995455</v>
      </c>
      <c r="F150" s="158">
        <f t="shared" si="75"/>
        <v>943304</v>
      </c>
      <c r="G150" s="158">
        <f t="shared" si="75"/>
        <v>-1052151</v>
      </c>
      <c r="H150" s="158">
        <f>SUM(H151:H170)</f>
        <v>207047</v>
      </c>
      <c r="I150" s="158">
        <f>SUM(I151:I170)</f>
        <v>207047</v>
      </c>
      <c r="J150" s="158">
        <f t="shared" si="67"/>
        <v>0</v>
      </c>
      <c r="K150" s="158">
        <f t="shared" ref="K150:L150" si="84">SUM(K151:K170)</f>
        <v>155362</v>
      </c>
      <c r="L150" s="158">
        <f t="shared" si="84"/>
        <v>0</v>
      </c>
      <c r="M150" s="158">
        <f t="shared" si="77"/>
        <v>-155362</v>
      </c>
      <c r="N150" s="158">
        <f t="shared" ref="N150:O150" si="85">SUM(N151:N170)</f>
        <v>164250</v>
      </c>
      <c r="O150" s="158">
        <f t="shared" si="85"/>
        <v>131639</v>
      </c>
      <c r="P150" s="158">
        <f t="shared" si="78"/>
        <v>-32611</v>
      </c>
      <c r="Q150" s="158">
        <f t="shared" ref="Q150:R150" si="86">SUM(Q151:Q170)</f>
        <v>1465160</v>
      </c>
      <c r="R150" s="158">
        <f t="shared" si="86"/>
        <v>600982</v>
      </c>
      <c r="S150" s="158">
        <f t="shared" si="79"/>
        <v>-864178</v>
      </c>
      <c r="T150" s="158">
        <f t="shared" ref="T150:U150" si="87">SUM(T151:T170)</f>
        <v>0</v>
      </c>
      <c r="U150" s="158">
        <f t="shared" si="87"/>
        <v>0</v>
      </c>
      <c r="V150" s="158">
        <f t="shared" si="80"/>
        <v>0</v>
      </c>
      <c r="W150" s="158">
        <f t="shared" ref="W150:X150" si="88">SUM(W151:W170)</f>
        <v>3636</v>
      </c>
      <c r="X150" s="158">
        <f t="shared" si="88"/>
        <v>3636</v>
      </c>
      <c r="Y150" s="158">
        <f t="shared" si="81"/>
        <v>0</v>
      </c>
      <c r="Z150" s="158">
        <f t="shared" ref="Z150:AA150" si="89">SUM(Z151:Z170)</f>
        <v>0</v>
      </c>
      <c r="AA150" s="158">
        <f t="shared" si="89"/>
        <v>0</v>
      </c>
      <c r="AB150" s="158">
        <f t="shared" si="82"/>
        <v>0</v>
      </c>
      <c r="AC150" s="158">
        <f t="shared" ref="AC150:AD150" si="90">SUM(AC151:AC170)</f>
        <v>0</v>
      </c>
      <c r="AD150" s="158">
        <f t="shared" si="90"/>
        <v>0</v>
      </c>
      <c r="AE150" s="158">
        <f t="shared" si="83"/>
        <v>0</v>
      </c>
      <c r="AF150" s="156"/>
      <c r="AG150" s="156"/>
      <c r="AH150" s="156"/>
      <c r="AI150" s="156"/>
      <c r="AJ150" s="156"/>
      <c r="AK150" s="156"/>
      <c r="AL150" s="156"/>
      <c r="AM150" s="156"/>
      <c r="AN150" s="156"/>
      <c r="AO150" s="156"/>
      <c r="AP150" s="156"/>
      <c r="AQ150" s="156"/>
      <c r="AR150" s="156"/>
      <c r="AS150" s="156"/>
      <c r="AT150" s="156"/>
      <c r="AU150" s="156"/>
      <c r="AV150" s="156"/>
      <c r="AW150" s="156"/>
      <c r="AX150" s="156"/>
      <c r="AY150" s="156"/>
      <c r="AZ150" s="156"/>
      <c r="BA150" s="156"/>
      <c r="BB150" s="156"/>
      <c r="BC150" s="156"/>
      <c r="BD150" s="156"/>
      <c r="BE150" s="156"/>
      <c r="BF150" s="156"/>
      <c r="BG150" s="156"/>
      <c r="BH150" s="156"/>
      <c r="BI150" s="156"/>
      <c r="BJ150" s="156"/>
      <c r="BK150" s="156"/>
      <c r="BL150" s="156"/>
      <c r="BM150" s="156"/>
      <c r="BN150" s="156"/>
      <c r="BO150" s="156"/>
      <c r="BP150" s="156"/>
      <c r="BQ150" s="156"/>
      <c r="BR150" s="156"/>
      <c r="BS150" s="156"/>
      <c r="BT150" s="156"/>
      <c r="BU150" s="156"/>
      <c r="BV150" s="156"/>
      <c r="BW150" s="156"/>
      <c r="BX150" s="156"/>
      <c r="BY150" s="156"/>
      <c r="BZ150" s="156"/>
      <c r="CA150" s="156"/>
      <c r="CB150" s="156"/>
      <c r="CC150" s="156"/>
      <c r="CD150" s="156"/>
      <c r="CE150" s="156"/>
      <c r="CF150" s="156"/>
      <c r="CG150" s="156"/>
      <c r="CH150" s="156"/>
      <c r="CI150" s="156"/>
      <c r="CJ150" s="156"/>
      <c r="CK150" s="156"/>
      <c r="CL150" s="156"/>
      <c r="CM150" s="156"/>
      <c r="CN150" s="156"/>
      <c r="CO150" s="156"/>
      <c r="CP150" s="156"/>
      <c r="CQ150" s="156"/>
      <c r="CR150" s="156"/>
      <c r="CS150" s="156"/>
      <c r="CT150" s="156"/>
      <c r="CU150" s="156"/>
      <c r="CV150" s="156"/>
      <c r="CW150" s="156"/>
      <c r="CX150" s="156"/>
      <c r="CY150" s="156"/>
      <c r="CZ150" s="156"/>
      <c r="DA150" s="156"/>
      <c r="DB150" s="156"/>
      <c r="DC150" s="156"/>
      <c r="DD150" s="156"/>
      <c r="DE150" s="156"/>
      <c r="DF150" s="156"/>
      <c r="DG150" s="156"/>
      <c r="DH150" s="156"/>
      <c r="DI150" s="156"/>
      <c r="DJ150" s="156"/>
      <c r="DK150" s="156"/>
      <c r="DL150" s="156"/>
      <c r="DM150" s="156"/>
      <c r="DN150" s="156"/>
      <c r="DO150" s="156"/>
      <c r="DP150" s="156"/>
      <c r="DQ150" s="156"/>
      <c r="DR150" s="156"/>
      <c r="DS150" s="156"/>
      <c r="DT150" s="156"/>
      <c r="DU150" s="156"/>
      <c r="DV150" s="156"/>
      <c r="DW150" s="156"/>
      <c r="DX150" s="156"/>
      <c r="DY150" s="156"/>
      <c r="DZ150" s="156"/>
      <c r="EA150" s="156"/>
      <c r="EB150" s="156"/>
      <c r="EC150" s="156"/>
      <c r="ED150" s="156"/>
      <c r="EE150" s="156"/>
      <c r="EF150" s="156"/>
      <c r="EG150" s="156"/>
      <c r="EH150" s="156"/>
      <c r="EI150" s="156"/>
      <c r="EJ150" s="156"/>
      <c r="EK150" s="156"/>
      <c r="EL150" s="156"/>
      <c r="EM150" s="156"/>
      <c r="EN150" s="156"/>
      <c r="EO150" s="156"/>
      <c r="EP150" s="156"/>
      <c r="EQ150" s="156"/>
      <c r="ER150" s="156"/>
      <c r="ES150" s="156"/>
      <c r="ET150" s="156"/>
      <c r="EU150" s="156"/>
      <c r="EV150" s="156"/>
      <c r="EW150" s="156"/>
      <c r="EX150" s="156"/>
      <c r="EY150" s="156"/>
      <c r="EZ150" s="156"/>
      <c r="FA150" s="156"/>
      <c r="FB150" s="156"/>
      <c r="FC150" s="156"/>
      <c r="FD150" s="156"/>
      <c r="FE150" s="156"/>
      <c r="FF150" s="156"/>
      <c r="FG150" s="156"/>
      <c r="FH150" s="156"/>
      <c r="FI150" s="156"/>
      <c r="FJ150" s="156"/>
      <c r="FK150" s="156"/>
      <c r="FL150" s="156"/>
      <c r="FM150" s="156"/>
      <c r="FN150" s="156"/>
      <c r="FO150" s="156"/>
      <c r="FP150" s="156"/>
      <c r="FQ150" s="156"/>
      <c r="FR150" s="156"/>
      <c r="FS150" s="156"/>
      <c r="FT150" s="156"/>
      <c r="FU150" s="156"/>
      <c r="FV150" s="156"/>
      <c r="FW150" s="156"/>
      <c r="FX150" s="156"/>
      <c r="FY150" s="156"/>
      <c r="FZ150" s="156"/>
      <c r="GA150" s="156"/>
      <c r="GB150" s="156"/>
      <c r="GC150" s="156"/>
      <c r="GD150" s="156"/>
      <c r="GE150" s="156"/>
      <c r="GF150" s="156"/>
      <c r="GG150" s="156"/>
      <c r="GH150" s="156"/>
      <c r="GI150" s="156"/>
      <c r="GJ150" s="156"/>
    </row>
    <row r="151" spans="1:192" s="159" customFormat="1" x14ac:dyDescent="0.25">
      <c r="A151" s="175" t="s">
        <v>337</v>
      </c>
      <c r="B151" s="169">
        <v>2</v>
      </c>
      <c r="C151" s="169">
        <v>759</v>
      </c>
      <c r="D151" s="172">
        <v>5100</v>
      </c>
      <c r="E151" s="170">
        <f t="shared" si="75"/>
        <v>56545</v>
      </c>
      <c r="F151" s="170">
        <f t="shared" si="75"/>
        <v>23545</v>
      </c>
      <c r="G151" s="170">
        <f t="shared" si="75"/>
        <v>-33000</v>
      </c>
      <c r="H151" s="170">
        <f>57000-33000-455</f>
        <v>23545</v>
      </c>
      <c r="I151" s="170">
        <f>57000-33000-455</f>
        <v>23545</v>
      </c>
      <c r="J151" s="170">
        <f t="shared" si="67"/>
        <v>0</v>
      </c>
      <c r="K151" s="170">
        <v>33000</v>
      </c>
      <c r="L151" s="170">
        <f>33000-33000</f>
        <v>0</v>
      </c>
      <c r="M151" s="170">
        <f t="shared" si="50"/>
        <v>-33000</v>
      </c>
      <c r="N151" s="170"/>
      <c r="O151" s="170"/>
      <c r="P151" s="170">
        <f t="shared" si="51"/>
        <v>0</v>
      </c>
      <c r="Q151" s="170"/>
      <c r="R151" s="170"/>
      <c r="S151" s="170">
        <f t="shared" si="52"/>
        <v>0</v>
      </c>
      <c r="T151" s="170"/>
      <c r="U151" s="170"/>
      <c r="V151" s="170">
        <f t="shared" si="53"/>
        <v>0</v>
      </c>
      <c r="W151" s="170"/>
      <c r="X151" s="170"/>
      <c r="Y151" s="170">
        <f t="shared" si="54"/>
        <v>0</v>
      </c>
      <c r="Z151" s="170"/>
      <c r="AA151" s="170"/>
      <c r="AB151" s="170">
        <f t="shared" si="55"/>
        <v>0</v>
      </c>
      <c r="AC151" s="170"/>
      <c r="AD151" s="170"/>
      <c r="AE151" s="170">
        <f t="shared" si="56"/>
        <v>0</v>
      </c>
    </row>
    <row r="152" spans="1:192" s="159" customFormat="1" ht="31.5" x14ac:dyDescent="0.25">
      <c r="A152" s="175" t="s">
        <v>338</v>
      </c>
      <c r="B152" s="169">
        <v>2</v>
      </c>
      <c r="C152" s="169">
        <v>735</v>
      </c>
      <c r="D152" s="172">
        <v>5100</v>
      </c>
      <c r="E152" s="170">
        <f t="shared" si="75"/>
        <v>18285</v>
      </c>
      <c r="F152" s="170">
        <f t="shared" si="75"/>
        <v>18285</v>
      </c>
      <c r="G152" s="170">
        <f t="shared" si="75"/>
        <v>0</v>
      </c>
      <c r="H152" s="170"/>
      <c r="I152" s="170"/>
      <c r="J152" s="170">
        <f t="shared" si="67"/>
        <v>0</v>
      </c>
      <c r="K152" s="170"/>
      <c r="L152" s="170"/>
      <c r="M152" s="170">
        <f t="shared" si="50"/>
        <v>0</v>
      </c>
      <c r="N152" s="170">
        <v>18285</v>
      </c>
      <c r="O152" s="170">
        <v>18285</v>
      </c>
      <c r="P152" s="170">
        <f t="shared" si="51"/>
        <v>0</v>
      </c>
      <c r="Q152" s="170"/>
      <c r="R152" s="170"/>
      <c r="S152" s="170">
        <f t="shared" si="52"/>
        <v>0</v>
      </c>
      <c r="T152" s="170"/>
      <c r="U152" s="170"/>
      <c r="V152" s="170">
        <f t="shared" si="53"/>
        <v>0</v>
      </c>
      <c r="W152" s="170"/>
      <c r="X152" s="170"/>
      <c r="Y152" s="170">
        <f t="shared" si="54"/>
        <v>0</v>
      </c>
      <c r="Z152" s="170"/>
      <c r="AA152" s="170"/>
      <c r="AB152" s="170">
        <f t="shared" si="55"/>
        <v>0</v>
      </c>
      <c r="AC152" s="170"/>
      <c r="AD152" s="170"/>
      <c r="AE152" s="170">
        <f t="shared" si="56"/>
        <v>0</v>
      </c>
    </row>
    <row r="153" spans="1:192" s="159" customFormat="1" ht="31.5" x14ac:dyDescent="0.25">
      <c r="A153" s="161" t="s">
        <v>339</v>
      </c>
      <c r="B153" s="162">
        <v>3</v>
      </c>
      <c r="C153" s="162">
        <v>739</v>
      </c>
      <c r="D153" s="162">
        <v>5100</v>
      </c>
      <c r="E153" s="163">
        <f t="shared" si="75"/>
        <v>183502</v>
      </c>
      <c r="F153" s="163">
        <f t="shared" si="75"/>
        <v>183502</v>
      </c>
      <c r="G153" s="163">
        <f t="shared" si="75"/>
        <v>0</v>
      </c>
      <c r="H153" s="163">
        <f>190000+70000-12278-64202-18</f>
        <v>183502</v>
      </c>
      <c r="I153" s="163">
        <f>190000+70000-12278-64202-18</f>
        <v>183502</v>
      </c>
      <c r="J153" s="163">
        <f t="shared" si="67"/>
        <v>0</v>
      </c>
      <c r="K153" s="163"/>
      <c r="L153" s="163"/>
      <c r="M153" s="163">
        <f t="shared" si="50"/>
        <v>0</v>
      </c>
      <c r="N153" s="163"/>
      <c r="O153" s="163"/>
      <c r="P153" s="163">
        <f t="shared" si="51"/>
        <v>0</v>
      </c>
      <c r="Q153" s="163"/>
      <c r="R153" s="163"/>
      <c r="S153" s="163">
        <f t="shared" si="52"/>
        <v>0</v>
      </c>
      <c r="T153" s="163"/>
      <c r="U153" s="163"/>
      <c r="V153" s="163">
        <f t="shared" si="53"/>
        <v>0</v>
      </c>
      <c r="W153" s="163"/>
      <c r="X153" s="163"/>
      <c r="Y153" s="163">
        <f t="shared" si="54"/>
        <v>0</v>
      </c>
      <c r="Z153" s="163"/>
      <c r="AA153" s="163"/>
      <c r="AB153" s="163">
        <f t="shared" si="55"/>
        <v>0</v>
      </c>
      <c r="AC153" s="163"/>
      <c r="AD153" s="163"/>
      <c r="AE153" s="163">
        <f t="shared" si="56"/>
        <v>0</v>
      </c>
    </row>
    <row r="154" spans="1:192" s="159" customFormat="1" ht="31.5" x14ac:dyDescent="0.25">
      <c r="A154" s="161" t="s">
        <v>340</v>
      </c>
      <c r="B154" s="162">
        <v>3</v>
      </c>
      <c r="C154" s="162">
        <v>738</v>
      </c>
      <c r="D154" s="162">
        <v>5100</v>
      </c>
      <c r="E154" s="163">
        <f t="shared" si="75"/>
        <v>5362</v>
      </c>
      <c r="F154" s="163">
        <f t="shared" si="75"/>
        <v>0</v>
      </c>
      <c r="G154" s="163">
        <f t="shared" si="75"/>
        <v>-5362</v>
      </c>
      <c r="H154" s="163"/>
      <c r="I154" s="163"/>
      <c r="J154" s="163">
        <f t="shared" si="67"/>
        <v>0</v>
      </c>
      <c r="K154" s="163">
        <f>5730-368</f>
        <v>5362</v>
      </c>
      <c r="L154" s="163">
        <f>5730-368-5362</f>
        <v>0</v>
      </c>
      <c r="M154" s="163">
        <f t="shared" si="50"/>
        <v>-5362</v>
      </c>
      <c r="N154" s="163"/>
      <c r="O154" s="163"/>
      <c r="P154" s="163">
        <f t="shared" si="51"/>
        <v>0</v>
      </c>
      <c r="Q154" s="163"/>
      <c r="R154" s="163"/>
      <c r="S154" s="163">
        <f t="shared" si="52"/>
        <v>0</v>
      </c>
      <c r="T154" s="163"/>
      <c r="U154" s="163"/>
      <c r="V154" s="163">
        <f t="shared" si="53"/>
        <v>0</v>
      </c>
      <c r="W154" s="163"/>
      <c r="X154" s="163"/>
      <c r="Y154" s="163">
        <f t="shared" si="54"/>
        <v>0</v>
      </c>
      <c r="Z154" s="163"/>
      <c r="AA154" s="163"/>
      <c r="AB154" s="163">
        <f t="shared" si="55"/>
        <v>0</v>
      </c>
      <c r="AC154" s="163"/>
      <c r="AD154" s="163"/>
      <c r="AE154" s="163">
        <f t="shared" si="56"/>
        <v>0</v>
      </c>
    </row>
    <row r="155" spans="1:192" s="159" customFormat="1" ht="31.5" x14ac:dyDescent="0.25">
      <c r="A155" s="161" t="s">
        <v>341</v>
      </c>
      <c r="B155" s="162">
        <v>3</v>
      </c>
      <c r="C155" s="162">
        <v>738</v>
      </c>
      <c r="D155" s="162">
        <v>5100</v>
      </c>
      <c r="E155" s="163">
        <f t="shared" si="75"/>
        <v>2498</v>
      </c>
      <c r="F155" s="163">
        <f t="shared" si="75"/>
        <v>2498</v>
      </c>
      <c r="G155" s="163">
        <f t="shared" si="75"/>
        <v>0</v>
      </c>
      <c r="H155" s="163"/>
      <c r="I155" s="163"/>
      <c r="J155" s="163">
        <f t="shared" si="67"/>
        <v>0</v>
      </c>
      <c r="K155" s="163"/>
      <c r="L155" s="163"/>
      <c r="M155" s="163">
        <f t="shared" si="50"/>
        <v>0</v>
      </c>
      <c r="N155" s="163">
        <v>2498</v>
      </c>
      <c r="O155" s="163">
        <v>2498</v>
      </c>
      <c r="P155" s="163">
        <f t="shared" si="51"/>
        <v>0</v>
      </c>
      <c r="Q155" s="163"/>
      <c r="R155" s="163"/>
      <c r="S155" s="163">
        <f t="shared" si="52"/>
        <v>0</v>
      </c>
      <c r="T155" s="163"/>
      <c r="U155" s="163"/>
      <c r="V155" s="163">
        <f t="shared" si="53"/>
        <v>0</v>
      </c>
      <c r="W155" s="163"/>
      <c r="X155" s="163"/>
      <c r="Y155" s="163">
        <f t="shared" si="54"/>
        <v>0</v>
      </c>
      <c r="Z155" s="163"/>
      <c r="AA155" s="163"/>
      <c r="AB155" s="163">
        <f t="shared" si="55"/>
        <v>0</v>
      </c>
      <c r="AC155" s="163"/>
      <c r="AD155" s="163"/>
      <c r="AE155" s="163">
        <f t="shared" si="56"/>
        <v>0</v>
      </c>
    </row>
    <row r="156" spans="1:192" s="159" customFormat="1" ht="31.5" x14ac:dyDescent="0.25">
      <c r="A156" s="178" t="s">
        <v>342</v>
      </c>
      <c r="B156" s="168">
        <v>3</v>
      </c>
      <c r="C156" s="168">
        <v>738</v>
      </c>
      <c r="D156" s="172">
        <v>5100</v>
      </c>
      <c r="E156" s="170">
        <f t="shared" si="75"/>
        <v>15571</v>
      </c>
      <c r="F156" s="170">
        <f t="shared" si="75"/>
        <v>15571</v>
      </c>
      <c r="G156" s="170">
        <f t="shared" si="75"/>
        <v>0</v>
      </c>
      <c r="H156" s="170"/>
      <c r="I156" s="170"/>
      <c r="J156" s="170">
        <f t="shared" si="67"/>
        <v>0</v>
      </c>
      <c r="K156" s="170"/>
      <c r="L156" s="170"/>
      <c r="M156" s="170">
        <f t="shared" si="50"/>
        <v>0</v>
      </c>
      <c r="N156" s="170">
        <v>15571</v>
      </c>
      <c r="O156" s="170">
        <v>15571</v>
      </c>
      <c r="P156" s="170">
        <f t="shared" si="51"/>
        <v>0</v>
      </c>
      <c r="Q156" s="170"/>
      <c r="R156" s="170"/>
      <c r="S156" s="170">
        <f t="shared" si="52"/>
        <v>0</v>
      </c>
      <c r="T156" s="170"/>
      <c r="U156" s="170"/>
      <c r="V156" s="170">
        <f t="shared" si="53"/>
        <v>0</v>
      </c>
      <c r="W156" s="170"/>
      <c r="X156" s="170"/>
      <c r="Y156" s="170">
        <f t="shared" si="54"/>
        <v>0</v>
      </c>
      <c r="Z156" s="170"/>
      <c r="AA156" s="170"/>
      <c r="AB156" s="170">
        <f t="shared" si="55"/>
        <v>0</v>
      </c>
      <c r="AC156" s="170"/>
      <c r="AD156" s="170"/>
      <c r="AE156" s="170">
        <f t="shared" si="56"/>
        <v>0</v>
      </c>
    </row>
    <row r="157" spans="1:192" s="159" customFormat="1" ht="31.5" x14ac:dyDescent="0.25">
      <c r="A157" s="178" t="s">
        <v>343</v>
      </c>
      <c r="B157" s="168">
        <v>3</v>
      </c>
      <c r="C157" s="168">
        <v>738</v>
      </c>
      <c r="D157" s="172">
        <v>5100</v>
      </c>
      <c r="E157" s="170">
        <f t="shared" si="75"/>
        <v>15993</v>
      </c>
      <c r="F157" s="170">
        <f t="shared" si="75"/>
        <v>15993</v>
      </c>
      <c r="G157" s="170">
        <f t="shared" si="75"/>
        <v>0</v>
      </c>
      <c r="H157" s="170"/>
      <c r="I157" s="170"/>
      <c r="J157" s="170">
        <f t="shared" si="67"/>
        <v>0</v>
      </c>
      <c r="K157" s="170"/>
      <c r="L157" s="170"/>
      <c r="M157" s="170">
        <f t="shared" si="50"/>
        <v>0</v>
      </c>
      <c r="N157" s="170">
        <v>15993</v>
      </c>
      <c r="O157" s="170">
        <v>15993</v>
      </c>
      <c r="P157" s="170">
        <f t="shared" si="51"/>
        <v>0</v>
      </c>
      <c r="Q157" s="170"/>
      <c r="R157" s="170"/>
      <c r="S157" s="170">
        <f t="shared" si="52"/>
        <v>0</v>
      </c>
      <c r="T157" s="170"/>
      <c r="U157" s="170"/>
      <c r="V157" s="170">
        <f t="shared" si="53"/>
        <v>0</v>
      </c>
      <c r="W157" s="170"/>
      <c r="X157" s="170"/>
      <c r="Y157" s="170">
        <f t="shared" si="54"/>
        <v>0</v>
      </c>
      <c r="Z157" s="170"/>
      <c r="AA157" s="170"/>
      <c r="AB157" s="170">
        <f t="shared" si="55"/>
        <v>0</v>
      </c>
      <c r="AC157" s="170"/>
      <c r="AD157" s="170"/>
      <c r="AE157" s="170">
        <f t="shared" si="56"/>
        <v>0</v>
      </c>
    </row>
    <row r="158" spans="1:192" s="159" customFormat="1" ht="31.5" x14ac:dyDescent="0.25">
      <c r="A158" s="178" t="s">
        <v>344</v>
      </c>
      <c r="B158" s="168">
        <v>3</v>
      </c>
      <c r="C158" s="168">
        <v>738</v>
      </c>
      <c r="D158" s="172">
        <v>5100</v>
      </c>
      <c r="E158" s="170">
        <f t="shared" si="75"/>
        <v>12998</v>
      </c>
      <c r="F158" s="170">
        <f t="shared" si="75"/>
        <v>12989</v>
      </c>
      <c r="G158" s="170">
        <f t="shared" si="75"/>
        <v>-9</v>
      </c>
      <c r="H158" s="170"/>
      <c r="I158" s="170"/>
      <c r="J158" s="170">
        <f t="shared" si="67"/>
        <v>0</v>
      </c>
      <c r="K158" s="170"/>
      <c r="L158" s="170"/>
      <c r="M158" s="170">
        <f t="shared" ref="M158:M322" si="91">L158-K158</f>
        <v>0</v>
      </c>
      <c r="N158" s="170">
        <v>12998</v>
      </c>
      <c r="O158" s="170">
        <f>12998-9</f>
        <v>12989</v>
      </c>
      <c r="P158" s="170">
        <f t="shared" ref="P158:P322" si="92">O158-N158</f>
        <v>-9</v>
      </c>
      <c r="Q158" s="170"/>
      <c r="R158" s="170"/>
      <c r="S158" s="170">
        <f t="shared" ref="S158:S322" si="93">R158-Q158</f>
        <v>0</v>
      </c>
      <c r="T158" s="170"/>
      <c r="U158" s="170"/>
      <c r="V158" s="170">
        <f t="shared" ref="V158:V322" si="94">U158-T158</f>
        <v>0</v>
      </c>
      <c r="W158" s="170"/>
      <c r="X158" s="170"/>
      <c r="Y158" s="170">
        <f t="shared" ref="Y158:Y322" si="95">X158-W158</f>
        <v>0</v>
      </c>
      <c r="Z158" s="170"/>
      <c r="AA158" s="170"/>
      <c r="AB158" s="170">
        <f t="shared" ref="AB158:AB322" si="96">AA158-Z158</f>
        <v>0</v>
      </c>
      <c r="AC158" s="170"/>
      <c r="AD158" s="170"/>
      <c r="AE158" s="170">
        <f t="shared" ref="AE158:AE322" si="97">AD158-AC158</f>
        <v>0</v>
      </c>
    </row>
    <row r="159" spans="1:192" s="159" customFormat="1" ht="31.5" x14ac:dyDescent="0.25">
      <c r="A159" s="178" t="s">
        <v>345</v>
      </c>
      <c r="B159" s="168">
        <v>3</v>
      </c>
      <c r="C159" s="168">
        <v>738</v>
      </c>
      <c r="D159" s="172">
        <v>5100</v>
      </c>
      <c r="E159" s="170">
        <f t="shared" si="75"/>
        <v>12999</v>
      </c>
      <c r="F159" s="170">
        <f t="shared" si="75"/>
        <v>12999</v>
      </c>
      <c r="G159" s="170">
        <f t="shared" si="75"/>
        <v>0</v>
      </c>
      <c r="H159" s="170"/>
      <c r="I159" s="170"/>
      <c r="J159" s="170">
        <f t="shared" si="67"/>
        <v>0</v>
      </c>
      <c r="K159" s="170"/>
      <c r="L159" s="170"/>
      <c r="M159" s="170">
        <f t="shared" si="91"/>
        <v>0</v>
      </c>
      <c r="N159" s="170">
        <v>12999</v>
      </c>
      <c r="O159" s="170">
        <v>12999</v>
      </c>
      <c r="P159" s="170">
        <f t="shared" si="92"/>
        <v>0</v>
      </c>
      <c r="Q159" s="170"/>
      <c r="R159" s="170"/>
      <c r="S159" s="170">
        <f t="shared" si="93"/>
        <v>0</v>
      </c>
      <c r="T159" s="170"/>
      <c r="U159" s="170"/>
      <c r="V159" s="170">
        <f t="shared" si="94"/>
        <v>0</v>
      </c>
      <c r="W159" s="170"/>
      <c r="X159" s="170"/>
      <c r="Y159" s="170">
        <f t="shared" si="95"/>
        <v>0</v>
      </c>
      <c r="Z159" s="170"/>
      <c r="AA159" s="170"/>
      <c r="AB159" s="170">
        <f t="shared" si="96"/>
        <v>0</v>
      </c>
      <c r="AC159" s="170"/>
      <c r="AD159" s="170"/>
      <c r="AE159" s="170">
        <f t="shared" si="97"/>
        <v>0</v>
      </c>
    </row>
    <row r="160" spans="1:192" s="159" customFormat="1" ht="31.5" x14ac:dyDescent="0.25">
      <c r="A160" s="178" t="s">
        <v>346</v>
      </c>
      <c r="B160" s="168">
        <v>3</v>
      </c>
      <c r="C160" s="168">
        <v>738</v>
      </c>
      <c r="D160" s="172">
        <v>5100</v>
      </c>
      <c r="E160" s="170">
        <f t="shared" si="75"/>
        <v>7000</v>
      </c>
      <c r="F160" s="170">
        <f t="shared" si="75"/>
        <v>7000</v>
      </c>
      <c r="G160" s="170">
        <f t="shared" si="75"/>
        <v>0</v>
      </c>
      <c r="H160" s="170"/>
      <c r="I160" s="170"/>
      <c r="J160" s="170">
        <f t="shared" si="67"/>
        <v>0</v>
      </c>
      <c r="K160" s="170"/>
      <c r="L160" s="170"/>
      <c r="M160" s="170">
        <f t="shared" si="91"/>
        <v>0</v>
      </c>
      <c r="N160" s="170">
        <v>7000</v>
      </c>
      <c r="O160" s="170">
        <v>7000</v>
      </c>
      <c r="P160" s="170">
        <f t="shared" si="92"/>
        <v>0</v>
      </c>
      <c r="Q160" s="170"/>
      <c r="R160" s="170"/>
      <c r="S160" s="170">
        <f t="shared" si="93"/>
        <v>0</v>
      </c>
      <c r="T160" s="170"/>
      <c r="U160" s="170"/>
      <c r="V160" s="170">
        <f t="shared" si="94"/>
        <v>0</v>
      </c>
      <c r="W160" s="170"/>
      <c r="X160" s="170"/>
      <c r="Y160" s="170">
        <f t="shared" si="95"/>
        <v>0</v>
      </c>
      <c r="Z160" s="170"/>
      <c r="AA160" s="170"/>
      <c r="AB160" s="170">
        <f t="shared" si="96"/>
        <v>0</v>
      </c>
      <c r="AC160" s="170"/>
      <c r="AD160" s="170"/>
      <c r="AE160" s="170">
        <f t="shared" si="97"/>
        <v>0</v>
      </c>
    </row>
    <row r="161" spans="1:192" s="159" customFormat="1" x14ac:dyDescent="0.25">
      <c r="A161" s="178" t="s">
        <v>347</v>
      </c>
      <c r="B161" s="168">
        <v>3</v>
      </c>
      <c r="C161" s="168">
        <v>738</v>
      </c>
      <c r="D161" s="172">
        <v>5100</v>
      </c>
      <c r="E161" s="170">
        <f t="shared" si="75"/>
        <v>24950</v>
      </c>
      <c r="F161" s="170">
        <f t="shared" si="75"/>
        <v>24974</v>
      </c>
      <c r="G161" s="170">
        <f t="shared" si="75"/>
        <v>24</v>
      </c>
      <c r="H161" s="170"/>
      <c r="I161" s="170"/>
      <c r="J161" s="170">
        <f t="shared" si="67"/>
        <v>0</v>
      </c>
      <c r="K161" s="170"/>
      <c r="L161" s="170"/>
      <c r="M161" s="170">
        <f t="shared" si="91"/>
        <v>0</v>
      </c>
      <c r="N161" s="170">
        <f>22450+2500</f>
        <v>24950</v>
      </c>
      <c r="O161" s="170">
        <f>22450+2500+24</f>
        <v>24974</v>
      </c>
      <c r="P161" s="170">
        <f t="shared" si="92"/>
        <v>24</v>
      </c>
      <c r="Q161" s="170"/>
      <c r="R161" s="170"/>
      <c r="S161" s="170">
        <f t="shared" si="93"/>
        <v>0</v>
      </c>
      <c r="T161" s="170"/>
      <c r="U161" s="170"/>
      <c r="V161" s="170">
        <f t="shared" si="94"/>
        <v>0</v>
      </c>
      <c r="W161" s="170"/>
      <c r="X161" s="170"/>
      <c r="Y161" s="170">
        <f t="shared" si="95"/>
        <v>0</v>
      </c>
      <c r="Z161" s="170"/>
      <c r="AA161" s="170"/>
      <c r="AB161" s="170">
        <f t="shared" si="96"/>
        <v>0</v>
      </c>
      <c r="AC161" s="170"/>
      <c r="AD161" s="170"/>
      <c r="AE161" s="170">
        <f t="shared" si="97"/>
        <v>0</v>
      </c>
    </row>
    <row r="162" spans="1:192" s="159" customFormat="1" ht="47.25" x14ac:dyDescent="0.25">
      <c r="A162" s="175" t="s">
        <v>348</v>
      </c>
      <c r="B162" s="169">
        <v>2</v>
      </c>
      <c r="C162" s="169">
        <v>714</v>
      </c>
      <c r="D162" s="172">
        <v>5100</v>
      </c>
      <c r="E162" s="170">
        <f t="shared" si="75"/>
        <v>117000</v>
      </c>
      <c r="F162" s="170">
        <f t="shared" si="75"/>
        <v>0</v>
      </c>
      <c r="G162" s="170">
        <f t="shared" si="75"/>
        <v>-117000</v>
      </c>
      <c r="H162" s="170">
        <f>117000-117000</f>
        <v>0</v>
      </c>
      <c r="I162" s="170">
        <f>117000-117000</f>
        <v>0</v>
      </c>
      <c r="J162" s="170">
        <f t="shared" si="67"/>
        <v>0</v>
      </c>
      <c r="K162" s="170">
        <v>117000</v>
      </c>
      <c r="L162" s="170">
        <f>117000-117000</f>
        <v>0</v>
      </c>
      <c r="M162" s="170">
        <f t="shared" si="91"/>
        <v>-117000</v>
      </c>
      <c r="N162" s="170"/>
      <c r="O162" s="170"/>
      <c r="P162" s="170">
        <f t="shared" si="92"/>
        <v>0</v>
      </c>
      <c r="Q162" s="170"/>
      <c r="R162" s="170"/>
      <c r="S162" s="170">
        <f t="shared" si="93"/>
        <v>0</v>
      </c>
      <c r="T162" s="170"/>
      <c r="U162" s="170"/>
      <c r="V162" s="170">
        <f t="shared" si="94"/>
        <v>0</v>
      </c>
      <c r="W162" s="170"/>
      <c r="X162" s="170"/>
      <c r="Y162" s="170">
        <f t="shared" si="95"/>
        <v>0</v>
      </c>
      <c r="Z162" s="170"/>
      <c r="AA162" s="170"/>
      <c r="AB162" s="170">
        <f t="shared" si="96"/>
        <v>0</v>
      </c>
      <c r="AC162" s="170"/>
      <c r="AD162" s="170"/>
      <c r="AE162" s="170">
        <f t="shared" si="97"/>
        <v>0</v>
      </c>
    </row>
    <row r="163" spans="1:192" s="159" customFormat="1" ht="31.5" x14ac:dyDescent="0.25">
      <c r="A163" s="175" t="s">
        <v>349</v>
      </c>
      <c r="B163" s="169">
        <v>2</v>
      </c>
      <c r="C163" s="169">
        <v>714</v>
      </c>
      <c r="D163" s="172">
        <v>5100</v>
      </c>
      <c r="E163" s="170">
        <f t="shared" si="75"/>
        <v>16062</v>
      </c>
      <c r="F163" s="170">
        <f t="shared" si="75"/>
        <v>3636</v>
      </c>
      <c r="G163" s="170">
        <f t="shared" si="75"/>
        <v>-12426</v>
      </c>
      <c r="H163" s="170"/>
      <c r="I163" s="170"/>
      <c r="J163" s="170">
        <f t="shared" si="67"/>
        <v>0</v>
      </c>
      <c r="K163" s="170"/>
      <c r="L163" s="170"/>
      <c r="M163" s="170">
        <f t="shared" si="91"/>
        <v>0</v>
      </c>
      <c r="N163" s="170">
        <v>12426</v>
      </c>
      <c r="O163" s="170">
        <f>12426-12426</f>
        <v>0</v>
      </c>
      <c r="P163" s="170">
        <f t="shared" si="92"/>
        <v>-12426</v>
      </c>
      <c r="Q163" s="170"/>
      <c r="R163" s="170"/>
      <c r="S163" s="170">
        <f t="shared" si="93"/>
        <v>0</v>
      </c>
      <c r="T163" s="170"/>
      <c r="U163" s="170"/>
      <c r="V163" s="170">
        <f t="shared" si="94"/>
        <v>0</v>
      </c>
      <c r="W163" s="170">
        <v>3636</v>
      </c>
      <c r="X163" s="170">
        <v>3636</v>
      </c>
      <c r="Y163" s="170">
        <f t="shared" si="95"/>
        <v>0</v>
      </c>
      <c r="Z163" s="170"/>
      <c r="AA163" s="170"/>
      <c r="AB163" s="170">
        <f t="shared" si="96"/>
        <v>0</v>
      </c>
      <c r="AC163" s="170"/>
      <c r="AD163" s="170"/>
      <c r="AE163" s="170">
        <f t="shared" si="97"/>
        <v>0</v>
      </c>
    </row>
    <row r="164" spans="1:192" s="159" customFormat="1" ht="47.25" x14ac:dyDescent="0.25">
      <c r="A164" s="175" t="s">
        <v>350</v>
      </c>
      <c r="B164" s="169">
        <v>2</v>
      </c>
      <c r="C164" s="169">
        <v>714</v>
      </c>
      <c r="D164" s="172">
        <v>5100</v>
      </c>
      <c r="E164" s="170">
        <f t="shared" si="75"/>
        <v>13200</v>
      </c>
      <c r="F164" s="170">
        <f t="shared" si="75"/>
        <v>0</v>
      </c>
      <c r="G164" s="170">
        <f t="shared" si="75"/>
        <v>-13200</v>
      </c>
      <c r="H164" s="170"/>
      <c r="I164" s="170"/>
      <c r="J164" s="170">
        <f t="shared" si="67"/>
        <v>0</v>
      </c>
      <c r="K164" s="170"/>
      <c r="L164" s="170"/>
      <c r="M164" s="170">
        <f t="shared" si="91"/>
        <v>0</v>
      </c>
      <c r="N164" s="170">
        <v>13200</v>
      </c>
      <c r="O164" s="170">
        <f>13200-13200</f>
        <v>0</v>
      </c>
      <c r="P164" s="170">
        <f t="shared" si="92"/>
        <v>-13200</v>
      </c>
      <c r="Q164" s="170"/>
      <c r="R164" s="170"/>
      <c r="S164" s="170">
        <f t="shared" si="93"/>
        <v>0</v>
      </c>
      <c r="T164" s="170"/>
      <c r="U164" s="170"/>
      <c r="V164" s="170">
        <f t="shared" si="94"/>
        <v>0</v>
      </c>
      <c r="W164" s="170"/>
      <c r="X164" s="170"/>
      <c r="Y164" s="170">
        <f t="shared" si="95"/>
        <v>0</v>
      </c>
      <c r="Z164" s="170"/>
      <c r="AA164" s="170"/>
      <c r="AB164" s="170">
        <f t="shared" si="96"/>
        <v>0</v>
      </c>
      <c r="AC164" s="170"/>
      <c r="AD164" s="170"/>
      <c r="AE164" s="170">
        <f t="shared" si="97"/>
        <v>0</v>
      </c>
    </row>
    <row r="165" spans="1:192" s="159" customFormat="1" ht="47.25" x14ac:dyDescent="0.25">
      <c r="A165" s="179" t="s">
        <v>351</v>
      </c>
      <c r="B165" s="169">
        <v>2</v>
      </c>
      <c r="C165" s="169">
        <v>714</v>
      </c>
      <c r="D165" s="172">
        <v>5100</v>
      </c>
      <c r="E165" s="170">
        <f t="shared" si="75"/>
        <v>3630</v>
      </c>
      <c r="F165" s="170">
        <f t="shared" si="75"/>
        <v>3630</v>
      </c>
      <c r="G165" s="170">
        <f t="shared" si="75"/>
        <v>0</v>
      </c>
      <c r="H165" s="170"/>
      <c r="I165" s="170"/>
      <c r="J165" s="170">
        <f t="shared" si="67"/>
        <v>0</v>
      </c>
      <c r="K165" s="170"/>
      <c r="L165" s="170"/>
      <c r="M165" s="170">
        <f t="shared" si="91"/>
        <v>0</v>
      </c>
      <c r="N165" s="170">
        <v>3630</v>
      </c>
      <c r="O165" s="170">
        <v>3630</v>
      </c>
      <c r="P165" s="170">
        <f t="shared" si="92"/>
        <v>0</v>
      </c>
      <c r="Q165" s="170"/>
      <c r="R165" s="170"/>
      <c r="S165" s="170">
        <f t="shared" si="93"/>
        <v>0</v>
      </c>
      <c r="T165" s="170"/>
      <c r="U165" s="170"/>
      <c r="V165" s="170">
        <f t="shared" si="94"/>
        <v>0</v>
      </c>
      <c r="W165" s="170"/>
      <c r="X165" s="170"/>
      <c r="Y165" s="170">
        <f t="shared" si="95"/>
        <v>0</v>
      </c>
      <c r="Z165" s="170"/>
      <c r="AA165" s="170"/>
      <c r="AB165" s="170">
        <f t="shared" si="96"/>
        <v>0</v>
      </c>
      <c r="AC165" s="170"/>
      <c r="AD165" s="170"/>
      <c r="AE165" s="170">
        <f t="shared" si="97"/>
        <v>0</v>
      </c>
    </row>
    <row r="166" spans="1:192" s="159" customFormat="1" ht="63" x14ac:dyDescent="0.25">
      <c r="A166" s="179" t="s">
        <v>352</v>
      </c>
      <c r="B166" s="169"/>
      <c r="C166" s="169"/>
      <c r="D166" s="172"/>
      <c r="E166" s="170">
        <f t="shared" si="75"/>
        <v>864178</v>
      </c>
      <c r="F166" s="170">
        <f t="shared" si="75"/>
        <v>0</v>
      </c>
      <c r="G166" s="170">
        <f t="shared" si="75"/>
        <v>-864178</v>
      </c>
      <c r="H166" s="170"/>
      <c r="I166" s="170"/>
      <c r="J166" s="170">
        <f t="shared" si="67"/>
        <v>0</v>
      </c>
      <c r="K166" s="170"/>
      <c r="L166" s="170"/>
      <c r="M166" s="170">
        <f t="shared" si="91"/>
        <v>0</v>
      </c>
      <c r="N166" s="170"/>
      <c r="O166" s="170"/>
      <c r="P166" s="170">
        <f t="shared" si="92"/>
        <v>0</v>
      </c>
      <c r="Q166" s="170">
        <v>864178</v>
      </c>
      <c r="R166" s="170">
        <v>0</v>
      </c>
      <c r="S166" s="170">
        <f t="shared" si="93"/>
        <v>-864178</v>
      </c>
      <c r="T166" s="170"/>
      <c r="U166" s="170"/>
      <c r="V166" s="170">
        <f t="shared" si="94"/>
        <v>0</v>
      </c>
      <c r="W166" s="170"/>
      <c r="X166" s="170"/>
      <c r="Y166" s="170">
        <f t="shared" si="95"/>
        <v>0</v>
      </c>
      <c r="Z166" s="170"/>
      <c r="AA166" s="170"/>
      <c r="AB166" s="170">
        <f t="shared" si="96"/>
        <v>0</v>
      </c>
      <c r="AC166" s="170"/>
      <c r="AD166" s="170"/>
      <c r="AE166" s="170">
        <f t="shared" si="97"/>
        <v>0</v>
      </c>
    </row>
    <row r="167" spans="1:192" s="159" customFormat="1" ht="63" x14ac:dyDescent="0.25">
      <c r="A167" s="179" t="s">
        <v>353</v>
      </c>
      <c r="B167" s="169"/>
      <c r="C167" s="169"/>
      <c r="D167" s="172"/>
      <c r="E167" s="170">
        <f t="shared" si="75"/>
        <v>170316</v>
      </c>
      <c r="F167" s="170">
        <f t="shared" si="75"/>
        <v>170316</v>
      </c>
      <c r="G167" s="170">
        <f t="shared" si="75"/>
        <v>0</v>
      </c>
      <c r="H167" s="170"/>
      <c r="I167" s="170"/>
      <c r="J167" s="170">
        <f t="shared" si="67"/>
        <v>0</v>
      </c>
      <c r="K167" s="170"/>
      <c r="L167" s="170"/>
      <c r="M167" s="170">
        <f t="shared" si="91"/>
        <v>0</v>
      </c>
      <c r="N167" s="170"/>
      <c r="O167" s="170"/>
      <c r="P167" s="170">
        <f t="shared" si="92"/>
        <v>0</v>
      </c>
      <c r="Q167" s="170">
        <f>138928-126330-1440+1440+157718</f>
        <v>170316</v>
      </c>
      <c r="R167" s="170">
        <f>138928-126330-1440+1440+157718</f>
        <v>170316</v>
      </c>
      <c r="S167" s="170">
        <f t="shared" si="93"/>
        <v>0</v>
      </c>
      <c r="T167" s="170"/>
      <c r="U167" s="170"/>
      <c r="V167" s="170">
        <f t="shared" si="94"/>
        <v>0</v>
      </c>
      <c r="W167" s="170"/>
      <c r="X167" s="170"/>
      <c r="Y167" s="170">
        <f t="shared" si="95"/>
        <v>0</v>
      </c>
      <c r="Z167" s="170"/>
      <c r="AA167" s="170"/>
      <c r="AB167" s="170">
        <f t="shared" si="96"/>
        <v>0</v>
      </c>
      <c r="AC167" s="170"/>
      <c r="AD167" s="170"/>
      <c r="AE167" s="170">
        <f t="shared" si="97"/>
        <v>0</v>
      </c>
    </row>
    <row r="168" spans="1:192" s="159" customFormat="1" ht="47.25" x14ac:dyDescent="0.25">
      <c r="A168" s="179" t="s">
        <v>354</v>
      </c>
      <c r="B168" s="180"/>
      <c r="C168" s="180"/>
      <c r="D168" s="172"/>
      <c r="E168" s="170">
        <f t="shared" si="75"/>
        <v>430666</v>
      </c>
      <c r="F168" s="170">
        <f t="shared" si="75"/>
        <v>430666</v>
      </c>
      <c r="G168" s="170">
        <f t="shared" si="75"/>
        <v>0</v>
      </c>
      <c r="H168" s="170"/>
      <c r="I168" s="170"/>
      <c r="J168" s="170">
        <f t="shared" si="67"/>
        <v>0</v>
      </c>
      <c r="K168" s="170"/>
      <c r="L168" s="170"/>
      <c r="M168" s="170">
        <f t="shared" si="91"/>
        <v>0</v>
      </c>
      <c r="N168" s="170"/>
      <c r="O168" s="170"/>
      <c r="P168" s="170">
        <f t="shared" si="92"/>
        <v>0</v>
      </c>
      <c r="Q168" s="170">
        <f>838158-31614-375878</f>
        <v>430666</v>
      </c>
      <c r="R168" s="170">
        <f>838158-31614-375878</f>
        <v>430666</v>
      </c>
      <c r="S168" s="170">
        <f t="shared" si="93"/>
        <v>0</v>
      </c>
      <c r="T168" s="170"/>
      <c r="U168" s="170"/>
      <c r="V168" s="170">
        <f t="shared" si="94"/>
        <v>0</v>
      </c>
      <c r="W168" s="170"/>
      <c r="X168" s="170"/>
      <c r="Y168" s="170">
        <f t="shared" si="95"/>
        <v>0</v>
      </c>
      <c r="Z168" s="170"/>
      <c r="AA168" s="170"/>
      <c r="AB168" s="170">
        <f t="shared" si="96"/>
        <v>0</v>
      </c>
      <c r="AC168" s="170"/>
      <c r="AD168" s="170"/>
      <c r="AE168" s="170">
        <f t="shared" si="97"/>
        <v>0</v>
      </c>
    </row>
    <row r="169" spans="1:192" s="159" customFormat="1" x14ac:dyDescent="0.25">
      <c r="A169" s="179" t="s">
        <v>355</v>
      </c>
      <c r="B169" s="180">
        <v>3</v>
      </c>
      <c r="C169" s="180">
        <v>739</v>
      </c>
      <c r="D169" s="172">
        <v>5100</v>
      </c>
      <c r="E169" s="170">
        <f t="shared" si="75"/>
        <v>7000</v>
      </c>
      <c r="F169" s="170">
        <f t="shared" si="75"/>
        <v>0</v>
      </c>
      <c r="G169" s="170">
        <f t="shared" si="75"/>
        <v>-7000</v>
      </c>
      <c r="H169" s="170"/>
      <c r="I169" s="170"/>
      <c r="J169" s="170">
        <f t="shared" si="67"/>
        <v>0</v>
      </c>
      <c r="K169" s="170"/>
      <c r="L169" s="170"/>
      <c r="M169" s="170">
        <f t="shared" si="91"/>
        <v>0</v>
      </c>
      <c r="N169" s="170">
        <v>7000</v>
      </c>
      <c r="O169" s="170">
        <f>7000-7000</f>
        <v>0</v>
      </c>
      <c r="P169" s="170">
        <f t="shared" si="92"/>
        <v>-7000</v>
      </c>
      <c r="Q169" s="170"/>
      <c r="R169" s="170"/>
      <c r="S169" s="170">
        <f t="shared" si="93"/>
        <v>0</v>
      </c>
      <c r="T169" s="170"/>
      <c r="U169" s="170"/>
      <c r="V169" s="170">
        <f t="shared" si="94"/>
        <v>0</v>
      </c>
      <c r="W169" s="170"/>
      <c r="X169" s="170"/>
      <c r="Y169" s="170">
        <f t="shared" si="95"/>
        <v>0</v>
      </c>
      <c r="Z169" s="170"/>
      <c r="AA169" s="170"/>
      <c r="AB169" s="170">
        <f t="shared" si="96"/>
        <v>0</v>
      </c>
      <c r="AC169" s="170"/>
      <c r="AD169" s="170"/>
      <c r="AE169" s="170">
        <f t="shared" si="97"/>
        <v>0</v>
      </c>
    </row>
    <row r="170" spans="1:192" s="159" customFormat="1" ht="47.25" x14ac:dyDescent="0.25">
      <c r="A170" s="179" t="s">
        <v>356</v>
      </c>
      <c r="B170" s="180">
        <v>3</v>
      </c>
      <c r="C170" s="180">
        <v>739</v>
      </c>
      <c r="D170" s="172">
        <v>5100</v>
      </c>
      <c r="E170" s="170">
        <f t="shared" si="75"/>
        <v>17700</v>
      </c>
      <c r="F170" s="170">
        <f t="shared" si="75"/>
        <v>17700</v>
      </c>
      <c r="G170" s="170">
        <f t="shared" si="75"/>
        <v>0</v>
      </c>
      <c r="H170" s="170"/>
      <c r="I170" s="170"/>
      <c r="J170" s="170">
        <f t="shared" si="67"/>
        <v>0</v>
      </c>
      <c r="K170" s="170"/>
      <c r="L170" s="170"/>
      <c r="M170" s="170">
        <f t="shared" si="91"/>
        <v>0</v>
      </c>
      <c r="N170" s="170">
        <v>17700</v>
      </c>
      <c r="O170" s="170">
        <v>17700</v>
      </c>
      <c r="P170" s="170">
        <f t="shared" si="92"/>
        <v>0</v>
      </c>
      <c r="Q170" s="170"/>
      <c r="R170" s="170"/>
      <c r="S170" s="170">
        <f t="shared" si="93"/>
        <v>0</v>
      </c>
      <c r="T170" s="170"/>
      <c r="U170" s="170"/>
      <c r="V170" s="170">
        <f t="shared" si="94"/>
        <v>0</v>
      </c>
      <c r="W170" s="170"/>
      <c r="X170" s="170"/>
      <c r="Y170" s="170">
        <f t="shared" si="95"/>
        <v>0</v>
      </c>
      <c r="Z170" s="170"/>
      <c r="AA170" s="170"/>
      <c r="AB170" s="170">
        <f t="shared" si="96"/>
        <v>0</v>
      </c>
      <c r="AC170" s="170"/>
      <c r="AD170" s="170"/>
      <c r="AE170" s="170">
        <f t="shared" si="97"/>
        <v>0</v>
      </c>
    </row>
    <row r="171" spans="1:192" s="159" customFormat="1" x14ac:dyDescent="0.25">
      <c r="A171" s="157" t="s">
        <v>357</v>
      </c>
      <c r="B171" s="166"/>
      <c r="C171" s="166"/>
      <c r="D171" s="172"/>
      <c r="E171" s="158">
        <f t="shared" si="75"/>
        <v>1397019</v>
      </c>
      <c r="F171" s="158">
        <f t="shared" si="75"/>
        <v>1261892</v>
      </c>
      <c r="G171" s="158">
        <f t="shared" si="75"/>
        <v>-135127</v>
      </c>
      <c r="H171" s="158">
        <f t="shared" ref="H171:AD171" si="98">SUM(H172)</f>
        <v>46418</v>
      </c>
      <c r="I171" s="158">
        <f t="shared" si="98"/>
        <v>46418</v>
      </c>
      <c r="J171" s="158">
        <f t="shared" si="67"/>
        <v>0</v>
      </c>
      <c r="K171" s="158">
        <f t="shared" si="98"/>
        <v>30000</v>
      </c>
      <c r="L171" s="158">
        <f t="shared" si="98"/>
        <v>29998</v>
      </c>
      <c r="M171" s="158">
        <f t="shared" si="91"/>
        <v>-2</v>
      </c>
      <c r="N171" s="158">
        <f t="shared" si="98"/>
        <v>20000</v>
      </c>
      <c r="O171" s="158">
        <f t="shared" si="98"/>
        <v>0</v>
      </c>
      <c r="P171" s="158">
        <f t="shared" si="92"/>
        <v>-20000</v>
      </c>
      <c r="Q171" s="158">
        <f t="shared" si="98"/>
        <v>942146</v>
      </c>
      <c r="R171" s="158">
        <f t="shared" si="98"/>
        <v>827023</v>
      </c>
      <c r="S171" s="158">
        <f t="shared" si="93"/>
        <v>-115123</v>
      </c>
      <c r="T171" s="158">
        <f t="shared" si="98"/>
        <v>0</v>
      </c>
      <c r="U171" s="158">
        <f t="shared" si="98"/>
        <v>0</v>
      </c>
      <c r="V171" s="158">
        <f t="shared" si="94"/>
        <v>0</v>
      </c>
      <c r="W171" s="158">
        <f t="shared" si="98"/>
        <v>358455</v>
      </c>
      <c r="X171" s="158">
        <f t="shared" si="98"/>
        <v>358453</v>
      </c>
      <c r="Y171" s="158">
        <f t="shared" si="95"/>
        <v>-2</v>
      </c>
      <c r="Z171" s="158">
        <f t="shared" si="98"/>
        <v>0</v>
      </c>
      <c r="AA171" s="158">
        <f t="shared" si="98"/>
        <v>0</v>
      </c>
      <c r="AB171" s="158">
        <f t="shared" si="96"/>
        <v>0</v>
      </c>
      <c r="AC171" s="158">
        <f t="shared" si="98"/>
        <v>0</v>
      </c>
      <c r="AD171" s="158">
        <f t="shared" si="98"/>
        <v>0</v>
      </c>
      <c r="AE171" s="158">
        <f t="shared" si="97"/>
        <v>0</v>
      </c>
    </row>
    <row r="172" spans="1:192" s="159" customFormat="1" x14ac:dyDescent="0.25">
      <c r="A172" s="157" t="s">
        <v>218</v>
      </c>
      <c r="B172" s="166"/>
      <c r="C172" s="166"/>
      <c r="D172" s="172"/>
      <c r="E172" s="158">
        <f t="shared" si="75"/>
        <v>1397019</v>
      </c>
      <c r="F172" s="158">
        <f t="shared" si="75"/>
        <v>1261892</v>
      </c>
      <c r="G172" s="158">
        <f t="shared" si="75"/>
        <v>-135127</v>
      </c>
      <c r="H172" s="158">
        <f t="shared" ref="H172:I172" si="99">SUM(H173:H177)</f>
        <v>46418</v>
      </c>
      <c r="I172" s="158">
        <f t="shared" si="99"/>
        <v>46418</v>
      </c>
      <c r="J172" s="158">
        <f t="shared" si="67"/>
        <v>0</v>
      </c>
      <c r="K172" s="158">
        <f t="shared" ref="K172:AD172" si="100">SUM(K173:K177)</f>
        <v>30000</v>
      </c>
      <c r="L172" s="158">
        <f t="shared" si="100"/>
        <v>29998</v>
      </c>
      <c r="M172" s="158">
        <f t="shared" si="91"/>
        <v>-2</v>
      </c>
      <c r="N172" s="158">
        <f t="shared" ref="N172" si="101">SUM(N173:N177)</f>
        <v>20000</v>
      </c>
      <c r="O172" s="158">
        <f t="shared" si="100"/>
        <v>0</v>
      </c>
      <c r="P172" s="158">
        <f t="shared" si="92"/>
        <v>-20000</v>
      </c>
      <c r="Q172" s="158">
        <f t="shared" ref="Q172" si="102">SUM(Q173:Q177)</f>
        <v>942146</v>
      </c>
      <c r="R172" s="158">
        <f t="shared" si="100"/>
        <v>827023</v>
      </c>
      <c r="S172" s="158">
        <f t="shared" si="93"/>
        <v>-115123</v>
      </c>
      <c r="T172" s="158">
        <f t="shared" ref="T172" si="103">SUM(T173:T177)</f>
        <v>0</v>
      </c>
      <c r="U172" s="158">
        <f t="shared" si="100"/>
        <v>0</v>
      </c>
      <c r="V172" s="158">
        <f t="shared" si="94"/>
        <v>0</v>
      </c>
      <c r="W172" s="158">
        <f t="shared" ref="W172" si="104">SUM(W173:W177)</f>
        <v>358455</v>
      </c>
      <c r="X172" s="158">
        <f t="shared" si="100"/>
        <v>358453</v>
      </c>
      <c r="Y172" s="158">
        <f t="shared" si="95"/>
        <v>-2</v>
      </c>
      <c r="Z172" s="158">
        <f t="shared" ref="Z172" si="105">SUM(Z173:Z177)</f>
        <v>0</v>
      </c>
      <c r="AA172" s="158">
        <f t="shared" si="100"/>
        <v>0</v>
      </c>
      <c r="AB172" s="158">
        <f t="shared" si="96"/>
        <v>0</v>
      </c>
      <c r="AC172" s="158">
        <f t="shared" ref="AC172" si="106">SUM(AC173:AC177)</f>
        <v>0</v>
      </c>
      <c r="AD172" s="158">
        <f t="shared" si="100"/>
        <v>0</v>
      </c>
      <c r="AE172" s="158">
        <f t="shared" si="97"/>
        <v>0</v>
      </c>
      <c r="AF172" s="156"/>
      <c r="AG172" s="156"/>
      <c r="AH172" s="156"/>
      <c r="AI172" s="156"/>
      <c r="AJ172" s="156"/>
      <c r="AK172" s="156"/>
      <c r="AL172" s="156"/>
      <c r="AM172" s="156"/>
      <c r="AN172" s="156"/>
      <c r="AO172" s="156"/>
      <c r="AP172" s="156"/>
      <c r="AQ172" s="156"/>
      <c r="AR172" s="156"/>
      <c r="AS172" s="156"/>
      <c r="AT172" s="156"/>
      <c r="AU172" s="156"/>
      <c r="AV172" s="156"/>
      <c r="AW172" s="156"/>
      <c r="AX172" s="156"/>
      <c r="AY172" s="156"/>
      <c r="AZ172" s="156"/>
      <c r="BA172" s="156"/>
      <c r="BB172" s="156"/>
      <c r="BC172" s="156"/>
      <c r="BD172" s="156"/>
      <c r="BE172" s="156"/>
      <c r="BF172" s="156"/>
      <c r="BG172" s="156"/>
      <c r="BH172" s="156"/>
      <c r="BI172" s="156"/>
      <c r="BJ172" s="156"/>
      <c r="BK172" s="156"/>
      <c r="BL172" s="156"/>
      <c r="BM172" s="156"/>
      <c r="BN172" s="156"/>
      <c r="BO172" s="156"/>
      <c r="BP172" s="156"/>
      <c r="BQ172" s="156"/>
      <c r="BR172" s="156"/>
      <c r="BS172" s="156"/>
      <c r="BT172" s="156"/>
      <c r="BU172" s="156"/>
      <c r="BV172" s="156"/>
      <c r="BW172" s="156"/>
      <c r="BX172" s="156"/>
      <c r="BY172" s="156"/>
      <c r="BZ172" s="156"/>
      <c r="CA172" s="156"/>
      <c r="CB172" s="156"/>
      <c r="CC172" s="156"/>
      <c r="CD172" s="156"/>
      <c r="CE172" s="156"/>
      <c r="CF172" s="156"/>
      <c r="CG172" s="156"/>
      <c r="CH172" s="156"/>
      <c r="CI172" s="156"/>
      <c r="CJ172" s="156"/>
      <c r="CK172" s="156"/>
      <c r="CL172" s="156"/>
      <c r="CM172" s="156"/>
      <c r="CN172" s="156"/>
      <c r="CO172" s="156"/>
      <c r="CP172" s="156"/>
      <c r="CQ172" s="156"/>
      <c r="CR172" s="156"/>
      <c r="CS172" s="156"/>
      <c r="CT172" s="156"/>
      <c r="CU172" s="156"/>
      <c r="CV172" s="156"/>
      <c r="CW172" s="156"/>
      <c r="CX172" s="156"/>
      <c r="CY172" s="156"/>
      <c r="CZ172" s="156"/>
      <c r="DA172" s="156"/>
      <c r="DB172" s="156"/>
      <c r="DC172" s="156"/>
      <c r="DD172" s="156"/>
      <c r="DE172" s="156"/>
      <c r="DF172" s="156"/>
      <c r="DG172" s="156"/>
      <c r="DH172" s="156"/>
      <c r="DI172" s="156"/>
      <c r="DJ172" s="156"/>
      <c r="DK172" s="156"/>
      <c r="DL172" s="156"/>
      <c r="DM172" s="156"/>
      <c r="DN172" s="156"/>
      <c r="DO172" s="156"/>
      <c r="DP172" s="156"/>
      <c r="DQ172" s="156"/>
      <c r="DR172" s="156"/>
      <c r="DS172" s="156"/>
      <c r="DT172" s="156"/>
      <c r="DU172" s="156"/>
      <c r="DV172" s="156"/>
      <c r="DW172" s="156"/>
      <c r="DX172" s="156"/>
      <c r="DY172" s="156"/>
      <c r="DZ172" s="156"/>
      <c r="EA172" s="156"/>
      <c r="EB172" s="156"/>
      <c r="EC172" s="156"/>
      <c r="ED172" s="156"/>
      <c r="EE172" s="156"/>
      <c r="EF172" s="156"/>
      <c r="EG172" s="156"/>
      <c r="EH172" s="156"/>
      <c r="EI172" s="156"/>
      <c r="EJ172" s="156"/>
      <c r="EK172" s="156"/>
      <c r="EL172" s="156"/>
      <c r="EM172" s="156"/>
      <c r="EN172" s="156"/>
      <c r="EO172" s="156"/>
      <c r="EP172" s="156"/>
      <c r="EQ172" s="156"/>
      <c r="ER172" s="156"/>
      <c r="ES172" s="156"/>
      <c r="ET172" s="156"/>
      <c r="EU172" s="156"/>
      <c r="EV172" s="156"/>
      <c r="EW172" s="156"/>
      <c r="EX172" s="156"/>
      <c r="EY172" s="156"/>
      <c r="EZ172" s="156"/>
      <c r="FA172" s="156"/>
      <c r="FB172" s="156"/>
      <c r="FC172" s="156"/>
      <c r="FD172" s="156"/>
      <c r="FE172" s="156"/>
      <c r="FF172" s="156"/>
      <c r="FG172" s="156"/>
      <c r="FH172" s="156"/>
      <c r="FI172" s="156"/>
      <c r="FJ172" s="156"/>
      <c r="FK172" s="156"/>
      <c r="FL172" s="156"/>
      <c r="FM172" s="156"/>
      <c r="FN172" s="156"/>
      <c r="FO172" s="156"/>
      <c r="FP172" s="156"/>
      <c r="FQ172" s="156"/>
      <c r="FR172" s="156"/>
      <c r="FS172" s="156"/>
      <c r="FT172" s="156"/>
      <c r="FU172" s="156"/>
      <c r="FV172" s="156"/>
      <c r="FW172" s="156"/>
      <c r="FX172" s="156"/>
      <c r="FY172" s="156"/>
      <c r="FZ172" s="156"/>
      <c r="GA172" s="156"/>
      <c r="GB172" s="156"/>
      <c r="GC172" s="156"/>
      <c r="GD172" s="156"/>
      <c r="GE172" s="156"/>
      <c r="GF172" s="156"/>
      <c r="GG172" s="156"/>
      <c r="GH172" s="156"/>
      <c r="GI172" s="156"/>
      <c r="GJ172" s="156"/>
    </row>
    <row r="173" spans="1:192" s="159" customFormat="1" ht="78.75" x14ac:dyDescent="0.25">
      <c r="A173" s="167" t="s">
        <v>358</v>
      </c>
      <c r="B173" s="168"/>
      <c r="C173" s="168"/>
      <c r="D173" s="172"/>
      <c r="E173" s="170">
        <f t="shared" si="75"/>
        <v>942146</v>
      </c>
      <c r="F173" s="170">
        <f t="shared" si="75"/>
        <v>827023</v>
      </c>
      <c r="G173" s="170">
        <f t="shared" si="75"/>
        <v>-115123</v>
      </c>
      <c r="H173" s="170"/>
      <c r="I173" s="170"/>
      <c r="J173" s="170">
        <f t="shared" si="67"/>
        <v>0</v>
      </c>
      <c r="K173" s="170"/>
      <c r="L173" s="170"/>
      <c r="M173" s="170">
        <f t="shared" si="91"/>
        <v>0</v>
      </c>
      <c r="N173" s="170"/>
      <c r="O173" s="170"/>
      <c r="P173" s="170">
        <f t="shared" si="92"/>
        <v>0</v>
      </c>
      <c r="Q173" s="170">
        <f>2000000-1057854</f>
        <v>942146</v>
      </c>
      <c r="R173" s="170">
        <v>827023</v>
      </c>
      <c r="S173" s="170">
        <f t="shared" si="93"/>
        <v>-115123</v>
      </c>
      <c r="T173" s="170"/>
      <c r="U173" s="170"/>
      <c r="V173" s="170">
        <f t="shared" si="94"/>
        <v>0</v>
      </c>
      <c r="W173" s="170"/>
      <c r="X173" s="170"/>
      <c r="Y173" s="170">
        <f t="shared" si="95"/>
        <v>0</v>
      </c>
      <c r="Z173" s="170"/>
      <c r="AA173" s="170"/>
      <c r="AB173" s="170">
        <f t="shared" si="96"/>
        <v>0</v>
      </c>
      <c r="AC173" s="170"/>
      <c r="AD173" s="170"/>
      <c r="AE173" s="170">
        <f t="shared" si="97"/>
        <v>0</v>
      </c>
      <c r="FQ173" s="156"/>
      <c r="FR173" s="156"/>
      <c r="FS173" s="156"/>
      <c r="FT173" s="156"/>
      <c r="FU173" s="156"/>
      <c r="FV173" s="156"/>
      <c r="FW173" s="156"/>
      <c r="FX173" s="156"/>
      <c r="FY173" s="156"/>
      <c r="FZ173" s="156"/>
      <c r="GA173" s="156"/>
      <c r="GB173" s="156"/>
      <c r="GC173" s="156"/>
      <c r="GD173" s="156"/>
      <c r="GE173" s="156"/>
      <c r="GF173" s="156"/>
      <c r="GG173" s="156"/>
      <c r="GH173" s="156"/>
      <c r="GI173" s="156"/>
      <c r="GJ173" s="156"/>
    </row>
    <row r="174" spans="1:192" s="159" customFormat="1" x14ac:dyDescent="0.25">
      <c r="A174" s="167" t="s">
        <v>359</v>
      </c>
      <c r="B174" s="168">
        <v>2</v>
      </c>
      <c r="C174" s="168">
        <v>878</v>
      </c>
      <c r="D174" s="168">
        <v>5100</v>
      </c>
      <c r="E174" s="170">
        <f t="shared" si="75"/>
        <v>20000</v>
      </c>
      <c r="F174" s="170">
        <f t="shared" si="75"/>
        <v>0</v>
      </c>
      <c r="G174" s="170">
        <f t="shared" si="75"/>
        <v>-20000</v>
      </c>
      <c r="H174" s="170"/>
      <c r="I174" s="170"/>
      <c r="J174" s="170">
        <f t="shared" si="67"/>
        <v>0</v>
      </c>
      <c r="K174" s="170"/>
      <c r="L174" s="170"/>
      <c r="M174" s="170">
        <f t="shared" si="91"/>
        <v>0</v>
      </c>
      <c r="N174" s="170">
        <v>20000</v>
      </c>
      <c r="O174" s="170">
        <f>20000-20000</f>
        <v>0</v>
      </c>
      <c r="P174" s="170">
        <f t="shared" si="92"/>
        <v>-20000</v>
      </c>
      <c r="Q174" s="170"/>
      <c r="R174" s="170"/>
      <c r="S174" s="170">
        <f t="shared" si="93"/>
        <v>0</v>
      </c>
      <c r="T174" s="170"/>
      <c r="U174" s="170"/>
      <c r="V174" s="170">
        <f t="shared" si="94"/>
        <v>0</v>
      </c>
      <c r="W174" s="170"/>
      <c r="X174" s="170"/>
      <c r="Y174" s="170">
        <f t="shared" si="95"/>
        <v>0</v>
      </c>
      <c r="Z174" s="170"/>
      <c r="AA174" s="170"/>
      <c r="AB174" s="170">
        <f t="shared" si="96"/>
        <v>0</v>
      </c>
      <c r="AC174" s="170"/>
      <c r="AD174" s="170"/>
      <c r="AE174" s="170">
        <f t="shared" si="97"/>
        <v>0</v>
      </c>
    </row>
    <row r="175" spans="1:192" s="159" customFormat="1" ht="31.5" x14ac:dyDescent="0.25">
      <c r="A175" s="167" t="s">
        <v>360</v>
      </c>
      <c r="B175" s="168">
        <v>2</v>
      </c>
      <c r="C175" s="168">
        <v>832</v>
      </c>
      <c r="D175" s="172">
        <v>5100</v>
      </c>
      <c r="E175" s="170">
        <f t="shared" si="75"/>
        <v>30000</v>
      </c>
      <c r="F175" s="170">
        <f t="shared" si="75"/>
        <v>29998</v>
      </c>
      <c r="G175" s="170">
        <f t="shared" si="75"/>
        <v>-2</v>
      </c>
      <c r="H175" s="170"/>
      <c r="I175" s="170"/>
      <c r="J175" s="170">
        <f t="shared" si="67"/>
        <v>0</v>
      </c>
      <c r="K175" s="170">
        <v>30000</v>
      </c>
      <c r="L175" s="170">
        <f>30000-2</f>
        <v>29998</v>
      </c>
      <c r="M175" s="170">
        <f t="shared" si="91"/>
        <v>-2</v>
      </c>
      <c r="N175" s="170"/>
      <c r="O175" s="170"/>
      <c r="P175" s="170">
        <f t="shared" si="92"/>
        <v>0</v>
      </c>
      <c r="Q175" s="170"/>
      <c r="R175" s="170"/>
      <c r="S175" s="170">
        <f t="shared" si="93"/>
        <v>0</v>
      </c>
      <c r="T175" s="170"/>
      <c r="U175" s="170"/>
      <c r="V175" s="170">
        <f t="shared" si="94"/>
        <v>0</v>
      </c>
      <c r="W175" s="170"/>
      <c r="X175" s="170"/>
      <c r="Y175" s="170">
        <f t="shared" si="95"/>
        <v>0</v>
      </c>
      <c r="Z175" s="170"/>
      <c r="AA175" s="170"/>
      <c r="AB175" s="170">
        <f t="shared" si="96"/>
        <v>0</v>
      </c>
      <c r="AC175" s="170"/>
      <c r="AD175" s="170"/>
      <c r="AE175" s="170">
        <f t="shared" si="97"/>
        <v>0</v>
      </c>
      <c r="FQ175" s="156"/>
      <c r="FR175" s="156"/>
      <c r="FS175" s="156"/>
      <c r="FT175" s="156"/>
      <c r="FU175" s="156"/>
      <c r="FV175" s="156"/>
      <c r="FW175" s="156"/>
      <c r="FX175" s="156"/>
      <c r="FY175" s="156"/>
      <c r="FZ175" s="156"/>
      <c r="GA175" s="156"/>
      <c r="GB175" s="156"/>
      <c r="GC175" s="156"/>
      <c r="GD175" s="156"/>
      <c r="GE175" s="156"/>
      <c r="GF175" s="156"/>
      <c r="GG175" s="156"/>
      <c r="GH175" s="156"/>
      <c r="GI175" s="156"/>
      <c r="GJ175" s="156"/>
    </row>
    <row r="176" spans="1:192" s="156" customFormat="1" ht="63" x14ac:dyDescent="0.25">
      <c r="A176" s="175" t="s">
        <v>361</v>
      </c>
      <c r="B176" s="169">
        <v>2</v>
      </c>
      <c r="C176" s="169">
        <v>832</v>
      </c>
      <c r="D176" s="172">
        <v>5100</v>
      </c>
      <c r="E176" s="170">
        <f t="shared" si="75"/>
        <v>54873</v>
      </c>
      <c r="F176" s="170">
        <f t="shared" si="75"/>
        <v>54871</v>
      </c>
      <c r="G176" s="170">
        <f t="shared" si="75"/>
        <v>-2</v>
      </c>
      <c r="H176" s="170"/>
      <c r="I176" s="170"/>
      <c r="J176" s="170">
        <f t="shared" si="67"/>
        <v>0</v>
      </c>
      <c r="K176" s="170"/>
      <c r="L176" s="170"/>
      <c r="M176" s="170">
        <f t="shared" si="91"/>
        <v>0</v>
      </c>
      <c r="N176" s="170"/>
      <c r="O176" s="170"/>
      <c r="P176" s="170">
        <f t="shared" si="92"/>
        <v>0</v>
      </c>
      <c r="Q176" s="170"/>
      <c r="R176" s="170"/>
      <c r="S176" s="170">
        <f t="shared" si="93"/>
        <v>0</v>
      </c>
      <c r="T176" s="170"/>
      <c r="U176" s="170"/>
      <c r="V176" s="170">
        <f t="shared" si="94"/>
        <v>0</v>
      </c>
      <c r="W176" s="170">
        <v>54873</v>
      </c>
      <c r="X176" s="170">
        <f>54873-2</f>
        <v>54871</v>
      </c>
      <c r="Y176" s="170">
        <f t="shared" si="95"/>
        <v>-2</v>
      </c>
      <c r="Z176" s="170"/>
      <c r="AA176" s="170"/>
      <c r="AB176" s="170">
        <f t="shared" si="96"/>
        <v>0</v>
      </c>
      <c r="AC176" s="170"/>
      <c r="AD176" s="170"/>
      <c r="AE176" s="170">
        <f t="shared" si="97"/>
        <v>0</v>
      </c>
      <c r="AF176" s="159"/>
      <c r="AG176" s="159"/>
      <c r="AH176" s="159"/>
      <c r="AI176" s="159"/>
      <c r="AJ176" s="159"/>
      <c r="AK176" s="159"/>
      <c r="AL176" s="159"/>
      <c r="AM176" s="159"/>
      <c r="AN176" s="159"/>
      <c r="AO176" s="159"/>
      <c r="AP176" s="159"/>
      <c r="AQ176" s="159"/>
      <c r="AR176" s="159"/>
      <c r="AS176" s="159"/>
      <c r="AT176" s="159"/>
      <c r="AU176" s="159"/>
      <c r="AV176" s="159"/>
      <c r="AW176" s="159"/>
      <c r="AX176" s="159"/>
      <c r="AY176" s="159"/>
      <c r="AZ176" s="159"/>
      <c r="BA176" s="159"/>
      <c r="BB176" s="159"/>
      <c r="BC176" s="159"/>
      <c r="BD176" s="159"/>
      <c r="BE176" s="159"/>
      <c r="BF176" s="159"/>
      <c r="BG176" s="159"/>
      <c r="BH176" s="159"/>
      <c r="BI176" s="159"/>
      <c r="BJ176" s="159"/>
      <c r="BK176" s="159"/>
      <c r="BL176" s="159"/>
      <c r="BM176" s="159"/>
      <c r="BN176" s="159"/>
      <c r="BO176" s="159"/>
      <c r="BP176" s="159"/>
      <c r="BQ176" s="159"/>
      <c r="BR176" s="159"/>
      <c r="BS176" s="159"/>
      <c r="BT176" s="159"/>
      <c r="BU176" s="159"/>
      <c r="BV176" s="159"/>
      <c r="BW176" s="159"/>
      <c r="BX176" s="159"/>
      <c r="BY176" s="159"/>
      <c r="BZ176" s="159"/>
      <c r="CA176" s="159"/>
      <c r="CB176" s="159"/>
      <c r="CC176" s="159"/>
      <c r="CD176" s="159"/>
      <c r="CE176" s="159"/>
      <c r="CF176" s="159"/>
      <c r="CG176" s="159"/>
      <c r="CH176" s="159"/>
      <c r="CI176" s="159"/>
      <c r="CJ176" s="159"/>
      <c r="CK176" s="159"/>
      <c r="CL176" s="159"/>
      <c r="CM176" s="159"/>
      <c r="CN176" s="159"/>
      <c r="CO176" s="159"/>
      <c r="CP176" s="159"/>
      <c r="CQ176" s="159"/>
      <c r="CR176" s="159"/>
      <c r="CS176" s="159"/>
      <c r="CT176" s="159"/>
      <c r="CU176" s="159"/>
      <c r="CV176" s="159"/>
      <c r="CW176" s="159"/>
      <c r="CX176" s="159"/>
      <c r="CY176" s="159"/>
      <c r="CZ176" s="159"/>
      <c r="DA176" s="159"/>
      <c r="DB176" s="159"/>
      <c r="DC176" s="159"/>
      <c r="DD176" s="159"/>
      <c r="DE176" s="159"/>
      <c r="DF176" s="159"/>
      <c r="DG176" s="159"/>
      <c r="DH176" s="159"/>
      <c r="DI176" s="159"/>
      <c r="DJ176" s="159"/>
      <c r="DK176" s="159"/>
      <c r="DL176" s="159"/>
      <c r="DM176" s="159"/>
      <c r="DN176" s="159"/>
      <c r="DO176" s="159"/>
      <c r="DP176" s="159"/>
      <c r="DQ176" s="159"/>
      <c r="DR176" s="159"/>
      <c r="DS176" s="159"/>
      <c r="DT176" s="159"/>
      <c r="DU176" s="159"/>
      <c r="DV176" s="159"/>
      <c r="DW176" s="159"/>
      <c r="DX176" s="159"/>
      <c r="DY176" s="159"/>
      <c r="DZ176" s="159"/>
      <c r="EA176" s="159"/>
      <c r="EB176" s="159"/>
      <c r="EC176" s="159"/>
      <c r="ED176" s="159"/>
      <c r="EE176" s="159"/>
      <c r="EF176" s="159"/>
      <c r="EG176" s="159"/>
      <c r="EH176" s="159"/>
      <c r="EI176" s="159"/>
      <c r="EJ176" s="159"/>
      <c r="EK176" s="159"/>
      <c r="EL176" s="159"/>
      <c r="EM176" s="159"/>
      <c r="EN176" s="159"/>
      <c r="EO176" s="159"/>
      <c r="EP176" s="159"/>
      <c r="EQ176" s="159"/>
      <c r="ER176" s="159"/>
      <c r="ES176" s="159"/>
      <c r="ET176" s="159"/>
      <c r="EU176" s="159"/>
      <c r="EV176" s="159"/>
      <c r="EW176" s="159"/>
      <c r="EX176" s="159"/>
      <c r="EY176" s="159"/>
      <c r="EZ176" s="159"/>
      <c r="FA176" s="159"/>
      <c r="FB176" s="159"/>
      <c r="FC176" s="159"/>
      <c r="FD176" s="159"/>
      <c r="FE176" s="159"/>
      <c r="FF176" s="159"/>
      <c r="FG176" s="159"/>
      <c r="FH176" s="159"/>
      <c r="FI176" s="159"/>
      <c r="FJ176" s="159"/>
      <c r="FK176" s="159"/>
      <c r="FL176" s="159"/>
      <c r="FM176" s="159"/>
      <c r="FN176" s="159"/>
      <c r="FO176" s="159"/>
      <c r="FP176" s="159"/>
      <c r="FQ176" s="159"/>
      <c r="FR176" s="159"/>
      <c r="FS176" s="159"/>
      <c r="FT176" s="159"/>
      <c r="FU176" s="159"/>
      <c r="FV176" s="159"/>
      <c r="FW176" s="159"/>
      <c r="FX176" s="159"/>
      <c r="FY176" s="159"/>
      <c r="FZ176" s="159"/>
      <c r="GA176" s="159"/>
      <c r="GB176" s="159"/>
      <c r="GC176" s="159"/>
      <c r="GD176" s="159"/>
      <c r="GE176" s="159"/>
      <c r="GF176" s="159"/>
      <c r="GG176" s="159"/>
      <c r="GH176" s="159"/>
      <c r="GI176" s="159"/>
      <c r="GJ176" s="159"/>
    </row>
    <row r="177" spans="1:192" s="156" customFormat="1" ht="31.5" x14ac:dyDescent="0.25">
      <c r="A177" s="175" t="s">
        <v>362</v>
      </c>
      <c r="B177" s="169">
        <v>2</v>
      </c>
      <c r="C177" s="169">
        <v>832</v>
      </c>
      <c r="D177" s="172">
        <v>5100</v>
      </c>
      <c r="E177" s="170">
        <f t="shared" si="75"/>
        <v>350000</v>
      </c>
      <c r="F177" s="170">
        <f t="shared" si="75"/>
        <v>350000</v>
      </c>
      <c r="G177" s="170">
        <f t="shared" si="75"/>
        <v>0</v>
      </c>
      <c r="H177" s="170">
        <v>46418</v>
      </c>
      <c r="I177" s="170">
        <v>46418</v>
      </c>
      <c r="J177" s="170">
        <f t="shared" si="67"/>
        <v>0</v>
      </c>
      <c r="K177" s="170"/>
      <c r="L177" s="170"/>
      <c r="M177" s="170">
        <f t="shared" si="91"/>
        <v>0</v>
      </c>
      <c r="N177" s="170"/>
      <c r="O177" s="170"/>
      <c r="P177" s="170">
        <f t="shared" si="92"/>
        <v>0</v>
      </c>
      <c r="Q177" s="170"/>
      <c r="R177" s="170"/>
      <c r="S177" s="170">
        <f t="shared" si="93"/>
        <v>0</v>
      </c>
      <c r="T177" s="170"/>
      <c r="U177" s="170"/>
      <c r="V177" s="170">
        <f t="shared" si="94"/>
        <v>0</v>
      </c>
      <c r="W177" s="170">
        <v>303582</v>
      </c>
      <c r="X177" s="170">
        <v>303582</v>
      </c>
      <c r="Y177" s="170">
        <f t="shared" si="95"/>
        <v>0</v>
      </c>
      <c r="Z177" s="170"/>
      <c r="AA177" s="170"/>
      <c r="AB177" s="170">
        <f t="shared" si="96"/>
        <v>0</v>
      </c>
      <c r="AC177" s="170">
        <v>0</v>
      </c>
      <c r="AD177" s="170">
        <v>0</v>
      </c>
      <c r="AE177" s="170">
        <f t="shared" si="97"/>
        <v>0</v>
      </c>
      <c r="AF177" s="159"/>
      <c r="AG177" s="159"/>
      <c r="AH177" s="159"/>
      <c r="AI177" s="159"/>
      <c r="AJ177" s="159"/>
      <c r="AK177" s="159"/>
      <c r="AL177" s="159"/>
      <c r="AM177" s="159"/>
      <c r="AN177" s="159"/>
      <c r="AO177" s="159"/>
      <c r="AP177" s="159"/>
      <c r="AQ177" s="159"/>
      <c r="AR177" s="159"/>
      <c r="AS177" s="159"/>
      <c r="AT177" s="159"/>
      <c r="AU177" s="159"/>
      <c r="AV177" s="159"/>
      <c r="AW177" s="159"/>
      <c r="AX177" s="159"/>
      <c r="AY177" s="159"/>
      <c r="AZ177" s="159"/>
      <c r="BA177" s="159"/>
      <c r="BB177" s="159"/>
      <c r="BC177" s="159"/>
      <c r="BD177" s="159"/>
      <c r="BE177" s="159"/>
      <c r="BF177" s="159"/>
      <c r="BG177" s="159"/>
      <c r="BH177" s="159"/>
      <c r="BI177" s="159"/>
      <c r="BJ177" s="159"/>
      <c r="BK177" s="159"/>
      <c r="BL177" s="159"/>
      <c r="BM177" s="159"/>
      <c r="BN177" s="159"/>
      <c r="BO177" s="159"/>
      <c r="BP177" s="159"/>
      <c r="BQ177" s="159"/>
      <c r="BR177" s="159"/>
      <c r="BS177" s="159"/>
      <c r="BT177" s="159"/>
      <c r="BU177" s="159"/>
      <c r="BV177" s="159"/>
      <c r="BW177" s="159"/>
      <c r="BX177" s="159"/>
      <c r="BY177" s="159"/>
      <c r="BZ177" s="159"/>
      <c r="CA177" s="159"/>
      <c r="CB177" s="159"/>
      <c r="CC177" s="159"/>
      <c r="CD177" s="159"/>
      <c r="CE177" s="159"/>
      <c r="CF177" s="159"/>
      <c r="CG177" s="159"/>
      <c r="CH177" s="159"/>
      <c r="CI177" s="159"/>
      <c r="CJ177" s="159"/>
      <c r="CK177" s="159"/>
      <c r="CL177" s="159"/>
      <c r="CM177" s="159"/>
      <c r="CN177" s="159"/>
      <c r="CO177" s="159"/>
      <c r="CP177" s="159"/>
      <c r="CQ177" s="159"/>
      <c r="CR177" s="159"/>
      <c r="CS177" s="159"/>
      <c r="CT177" s="159"/>
      <c r="CU177" s="159"/>
      <c r="CV177" s="159"/>
      <c r="CW177" s="159"/>
      <c r="CX177" s="159"/>
      <c r="CY177" s="159"/>
      <c r="CZ177" s="159"/>
      <c r="DA177" s="159"/>
      <c r="DB177" s="159"/>
      <c r="DC177" s="159"/>
      <c r="DD177" s="159"/>
      <c r="DE177" s="159"/>
      <c r="DF177" s="159"/>
      <c r="DG177" s="159"/>
      <c r="DH177" s="159"/>
      <c r="DI177" s="159"/>
      <c r="DJ177" s="159"/>
      <c r="DK177" s="159"/>
      <c r="DL177" s="159"/>
      <c r="DM177" s="159"/>
      <c r="DN177" s="159"/>
      <c r="DO177" s="159"/>
      <c r="DP177" s="159"/>
      <c r="DQ177" s="159"/>
      <c r="DR177" s="159"/>
      <c r="DS177" s="159"/>
      <c r="DT177" s="159"/>
      <c r="DU177" s="159"/>
      <c r="DV177" s="159"/>
      <c r="DW177" s="159"/>
      <c r="DX177" s="159"/>
      <c r="DY177" s="159"/>
      <c r="DZ177" s="159"/>
      <c r="EA177" s="159"/>
      <c r="EB177" s="159"/>
      <c r="EC177" s="159"/>
      <c r="ED177" s="159"/>
      <c r="EE177" s="159"/>
      <c r="EF177" s="159"/>
      <c r="EG177" s="159"/>
      <c r="EH177" s="159"/>
      <c r="EI177" s="159"/>
      <c r="EJ177" s="159"/>
      <c r="EK177" s="159"/>
      <c r="EL177" s="159"/>
      <c r="EM177" s="159"/>
      <c r="EN177" s="159"/>
      <c r="EO177" s="159"/>
      <c r="EP177" s="159"/>
      <c r="EQ177" s="159"/>
      <c r="ER177" s="159"/>
      <c r="ES177" s="159"/>
      <c r="ET177" s="159"/>
      <c r="EU177" s="159"/>
      <c r="EV177" s="159"/>
      <c r="EW177" s="159"/>
      <c r="EX177" s="159"/>
      <c r="EY177" s="159"/>
      <c r="EZ177" s="159"/>
      <c r="FA177" s="159"/>
      <c r="FB177" s="159"/>
      <c r="FC177" s="159"/>
      <c r="FD177" s="159"/>
      <c r="FE177" s="159"/>
      <c r="FF177" s="159"/>
      <c r="FG177" s="159"/>
      <c r="FH177" s="159"/>
      <c r="FI177" s="159"/>
      <c r="FJ177" s="159"/>
      <c r="FK177" s="159"/>
      <c r="FL177" s="159"/>
      <c r="FM177" s="159"/>
      <c r="FN177" s="159"/>
      <c r="FO177" s="159"/>
      <c r="FP177" s="159"/>
      <c r="FQ177" s="159"/>
      <c r="FR177" s="159"/>
      <c r="FS177" s="159"/>
      <c r="FT177" s="159"/>
      <c r="FU177" s="159"/>
      <c r="FV177" s="159"/>
      <c r="FW177" s="159"/>
      <c r="FX177" s="159"/>
      <c r="FY177" s="159"/>
      <c r="FZ177" s="159"/>
      <c r="GA177" s="159"/>
      <c r="GB177" s="159"/>
      <c r="GC177" s="159"/>
      <c r="GD177" s="159"/>
      <c r="GE177" s="159"/>
      <c r="GF177" s="159"/>
      <c r="GG177" s="159"/>
      <c r="GH177" s="159"/>
      <c r="GI177" s="159"/>
      <c r="GJ177" s="159"/>
    </row>
    <row r="178" spans="1:192" s="159" customFormat="1" x14ac:dyDescent="0.25">
      <c r="A178" s="157" t="s">
        <v>363</v>
      </c>
      <c r="B178" s="166"/>
      <c r="C178" s="166"/>
      <c r="D178" s="166"/>
      <c r="E178" s="158">
        <f t="shared" si="75"/>
        <v>18545761</v>
      </c>
      <c r="F178" s="158">
        <f t="shared" si="75"/>
        <v>11162920</v>
      </c>
      <c r="G178" s="158">
        <f t="shared" si="75"/>
        <v>-7382841</v>
      </c>
      <c r="H178" s="158">
        <f>SUM(H179,H198,H210,H293,H322,H363,H409,H274)</f>
        <v>708183</v>
      </c>
      <c r="I178" s="158">
        <f>SUM(I179,I198,I210,I293,I322,I363,I409,I274)</f>
        <v>708183</v>
      </c>
      <c r="J178" s="158">
        <f>I178-H178</f>
        <v>0</v>
      </c>
      <c r="K178" s="158">
        <f>SUM(K179,K198,K210,K293,K322,K363,K409,K274)</f>
        <v>376934</v>
      </c>
      <c r="L178" s="158">
        <f>SUM(L179,L198,L210,L293,L322,L363,L409,L274)</f>
        <v>183781</v>
      </c>
      <c r="M178" s="158">
        <f t="shared" si="91"/>
        <v>-193153</v>
      </c>
      <c r="N178" s="158">
        <f>SUM(N179,N198,N210,N293,N322,N363,N409,N274)</f>
        <v>1100305</v>
      </c>
      <c r="O178" s="158">
        <f>SUM(O179,O198,O210,O293,O322,O363,O409,O274)</f>
        <v>849460</v>
      </c>
      <c r="P178" s="158">
        <f t="shared" si="92"/>
        <v>-250845</v>
      </c>
      <c r="Q178" s="158">
        <f>SUM(Q179,Q198,Q210,Q293,Q322,Q363,Q409,Q274)</f>
        <v>5123191</v>
      </c>
      <c r="R178" s="158">
        <f>SUM(R179,R198,R210,R293,R322,R363,R409,R274)</f>
        <v>2475330</v>
      </c>
      <c r="S178" s="158">
        <f t="shared" si="93"/>
        <v>-2647861</v>
      </c>
      <c r="T178" s="158">
        <f>SUM(T179,T198,T210,T293,T322,T363,T409,T274)</f>
        <v>473489</v>
      </c>
      <c r="U178" s="158">
        <f>SUM(U179,U198,U210,U293,U322,U363,U409,U274)</f>
        <v>473391</v>
      </c>
      <c r="V178" s="158">
        <f t="shared" si="94"/>
        <v>-98</v>
      </c>
      <c r="W178" s="158">
        <f>SUM(W179,W198,W210,W293,W322,W363,W409,W274)</f>
        <v>4331414</v>
      </c>
      <c r="X178" s="158">
        <f>SUM(X179,X198,X210,X293,X322,X363,X409,X274)</f>
        <v>4331414</v>
      </c>
      <c r="Y178" s="158">
        <f t="shared" si="95"/>
        <v>0</v>
      </c>
      <c r="Z178" s="158">
        <f>SUM(Z179,Z198,Z210,Z293,Z322,Z363,Z409,Z274)</f>
        <v>2141361</v>
      </c>
      <c r="AA178" s="158">
        <f>SUM(AA179,AA198,AA210,AA293,AA322,AA363,AA409,AA274)</f>
        <v>2141361</v>
      </c>
      <c r="AB178" s="158">
        <f t="shared" si="96"/>
        <v>0</v>
      </c>
      <c r="AC178" s="158">
        <f>SUM(AC179,AC198,AC210,AC293,AC322,AC363,AC409,AC274)</f>
        <v>4290884</v>
      </c>
      <c r="AD178" s="158">
        <f>SUM(AD179,AD198,AD210,AD293,AD322,AD363,AD409,AD274)</f>
        <v>0</v>
      </c>
      <c r="AE178" s="158">
        <f t="shared" si="97"/>
        <v>-4290884</v>
      </c>
    </row>
    <row r="179" spans="1:192" s="159" customFormat="1" x14ac:dyDescent="0.25">
      <c r="A179" s="157" t="s">
        <v>217</v>
      </c>
      <c r="B179" s="166"/>
      <c r="C179" s="166"/>
      <c r="D179" s="166"/>
      <c r="E179" s="158">
        <f t="shared" si="75"/>
        <v>200739</v>
      </c>
      <c r="F179" s="158">
        <f t="shared" si="75"/>
        <v>84806</v>
      </c>
      <c r="G179" s="158">
        <f>J179+M179+P179+S179+V179+Y179+AE179+AB179</f>
        <v>-115933</v>
      </c>
      <c r="H179" s="158">
        <f>SUM(H180,H187,H189,H193,H195)</f>
        <v>0</v>
      </c>
      <c r="I179" s="158">
        <f>SUM(I180,I187,I189,I193,I195)</f>
        <v>0</v>
      </c>
      <c r="J179" s="158">
        <f>I179-H179</f>
        <v>0</v>
      </c>
      <c r="K179" s="158">
        <f t="shared" ref="K179:L179" si="107">SUM(K180,K187,K189,K193,K195)</f>
        <v>0</v>
      </c>
      <c r="L179" s="158">
        <f t="shared" si="107"/>
        <v>0</v>
      </c>
      <c r="M179" s="158">
        <f t="shared" si="91"/>
        <v>0</v>
      </c>
      <c r="N179" s="158">
        <f t="shared" ref="N179:O179" si="108">SUM(N180,N187,N189,N193,N195)</f>
        <v>130255</v>
      </c>
      <c r="O179" s="158">
        <f t="shared" si="108"/>
        <v>84806</v>
      </c>
      <c r="P179" s="158">
        <f t="shared" si="92"/>
        <v>-45449</v>
      </c>
      <c r="Q179" s="158">
        <f t="shared" ref="Q179:R179" si="109">SUM(Q180,Q187,Q189,Q193,Q195)</f>
        <v>0</v>
      </c>
      <c r="R179" s="158">
        <f t="shared" si="109"/>
        <v>0</v>
      </c>
      <c r="S179" s="158">
        <f t="shared" si="93"/>
        <v>0</v>
      </c>
      <c r="T179" s="158">
        <f t="shared" ref="T179:U179" si="110">SUM(T180,T187,T189,T193,T195)</f>
        <v>0</v>
      </c>
      <c r="U179" s="158">
        <f t="shared" si="110"/>
        <v>0</v>
      </c>
      <c r="V179" s="158">
        <f t="shared" si="94"/>
        <v>0</v>
      </c>
      <c r="W179" s="158">
        <f t="shared" ref="W179:X179" si="111">SUM(W180,W187,W189,W193,W195)</f>
        <v>0</v>
      </c>
      <c r="X179" s="158">
        <f t="shared" si="111"/>
        <v>0</v>
      </c>
      <c r="Y179" s="158">
        <f t="shared" si="95"/>
        <v>0</v>
      </c>
      <c r="Z179" s="158">
        <f t="shared" ref="Z179:AA179" si="112">SUM(Z180,Z187,Z189,Z193,Z195)</f>
        <v>0</v>
      </c>
      <c r="AA179" s="158">
        <f t="shared" si="112"/>
        <v>0</v>
      </c>
      <c r="AB179" s="158">
        <f t="shared" si="96"/>
        <v>0</v>
      </c>
      <c r="AC179" s="158">
        <f t="shared" ref="AC179:AD179" si="113">SUM(AC180,AC187,AC189,AC193,AC195)</f>
        <v>70484</v>
      </c>
      <c r="AD179" s="158">
        <f t="shared" si="113"/>
        <v>0</v>
      </c>
      <c r="AE179" s="158">
        <f t="shared" si="97"/>
        <v>-70484</v>
      </c>
    </row>
    <row r="180" spans="1:192" s="159" customFormat="1" x14ac:dyDescent="0.25">
      <c r="A180" s="157" t="s">
        <v>364</v>
      </c>
      <c r="B180" s="166"/>
      <c r="C180" s="166"/>
      <c r="D180" s="166"/>
      <c r="E180" s="158">
        <f t="shared" si="75"/>
        <v>73722</v>
      </c>
      <c r="F180" s="158">
        <f t="shared" si="75"/>
        <v>39767</v>
      </c>
      <c r="G180" s="158">
        <f t="shared" si="75"/>
        <v>-33955</v>
      </c>
      <c r="H180" s="158">
        <f t="shared" ref="H180:I180" si="114">SUM(H181:H186)</f>
        <v>0</v>
      </c>
      <c r="I180" s="158">
        <f t="shared" si="114"/>
        <v>0</v>
      </c>
      <c r="J180" s="158">
        <f t="shared" si="67"/>
        <v>0</v>
      </c>
      <c r="K180" s="158">
        <f t="shared" ref="K180:AD180" si="115">SUM(K181:K186)</f>
        <v>0</v>
      </c>
      <c r="L180" s="158">
        <f t="shared" si="115"/>
        <v>0</v>
      </c>
      <c r="M180" s="158">
        <f t="shared" si="91"/>
        <v>0</v>
      </c>
      <c r="N180" s="158">
        <f t="shared" ref="N180" si="116">SUM(N181:N186)</f>
        <v>73722</v>
      </c>
      <c r="O180" s="158">
        <f t="shared" si="115"/>
        <v>39767</v>
      </c>
      <c r="P180" s="158">
        <f t="shared" si="92"/>
        <v>-33955</v>
      </c>
      <c r="Q180" s="158">
        <f t="shared" ref="Q180" si="117">SUM(Q181:Q186)</f>
        <v>0</v>
      </c>
      <c r="R180" s="158">
        <f t="shared" si="115"/>
        <v>0</v>
      </c>
      <c r="S180" s="158">
        <f t="shared" si="93"/>
        <v>0</v>
      </c>
      <c r="T180" s="158">
        <f t="shared" ref="T180" si="118">SUM(T181:T186)</f>
        <v>0</v>
      </c>
      <c r="U180" s="158">
        <f t="shared" si="115"/>
        <v>0</v>
      </c>
      <c r="V180" s="158">
        <f t="shared" si="94"/>
        <v>0</v>
      </c>
      <c r="W180" s="158">
        <f t="shared" ref="W180" si="119">SUM(W181:W186)</f>
        <v>0</v>
      </c>
      <c r="X180" s="158">
        <f t="shared" si="115"/>
        <v>0</v>
      </c>
      <c r="Y180" s="158">
        <f t="shared" si="95"/>
        <v>0</v>
      </c>
      <c r="Z180" s="158">
        <f t="shared" ref="Z180" si="120">SUM(Z181:Z186)</f>
        <v>0</v>
      </c>
      <c r="AA180" s="158">
        <f t="shared" si="115"/>
        <v>0</v>
      </c>
      <c r="AB180" s="158">
        <f t="shared" si="96"/>
        <v>0</v>
      </c>
      <c r="AC180" s="158">
        <f t="shared" ref="AC180" si="121">SUM(AC181:AC186)</f>
        <v>0</v>
      </c>
      <c r="AD180" s="158">
        <f t="shared" si="115"/>
        <v>0</v>
      </c>
      <c r="AE180" s="158">
        <f t="shared" si="97"/>
        <v>0</v>
      </c>
    </row>
    <row r="181" spans="1:192" s="159" customFormat="1" ht="31.5" x14ac:dyDescent="0.25">
      <c r="A181" s="167" t="s">
        <v>365</v>
      </c>
      <c r="B181" s="168">
        <v>2</v>
      </c>
      <c r="C181" s="168">
        <v>122</v>
      </c>
      <c r="D181" s="168">
        <v>5201</v>
      </c>
      <c r="E181" s="170">
        <f t="shared" si="75"/>
        <v>60280</v>
      </c>
      <c r="F181" s="170">
        <f t="shared" si="75"/>
        <v>37243</v>
      </c>
      <c r="G181" s="170">
        <f t="shared" si="75"/>
        <v>-23037</v>
      </c>
      <c r="H181" s="170"/>
      <c r="I181" s="170"/>
      <c r="J181" s="170">
        <f t="shared" si="67"/>
        <v>0</v>
      </c>
      <c r="K181" s="170"/>
      <c r="L181" s="170"/>
      <c r="M181" s="170">
        <f t="shared" si="91"/>
        <v>0</v>
      </c>
      <c r="N181" s="170">
        <f>70000-9720</f>
        <v>60280</v>
      </c>
      <c r="O181" s="170">
        <f>70000-9720-23037</f>
        <v>37243</v>
      </c>
      <c r="P181" s="170">
        <f t="shared" si="92"/>
        <v>-23037</v>
      </c>
      <c r="Q181" s="170"/>
      <c r="R181" s="170"/>
      <c r="S181" s="170">
        <f t="shared" si="93"/>
        <v>0</v>
      </c>
      <c r="T181" s="170"/>
      <c r="U181" s="170"/>
      <c r="V181" s="170">
        <f t="shared" si="94"/>
        <v>0</v>
      </c>
      <c r="W181" s="170"/>
      <c r="X181" s="170"/>
      <c r="Y181" s="170">
        <f t="shared" si="95"/>
        <v>0</v>
      </c>
      <c r="Z181" s="170"/>
      <c r="AA181" s="170"/>
      <c r="AB181" s="170">
        <f t="shared" si="96"/>
        <v>0</v>
      </c>
      <c r="AC181" s="170"/>
      <c r="AD181" s="170"/>
      <c r="AE181" s="170">
        <f t="shared" si="97"/>
        <v>0</v>
      </c>
    </row>
    <row r="182" spans="1:192" s="159" customFormat="1" ht="47.25" x14ac:dyDescent="0.25">
      <c r="A182" s="167" t="s">
        <v>366</v>
      </c>
      <c r="B182" s="168">
        <v>2</v>
      </c>
      <c r="C182" s="168">
        <v>122</v>
      </c>
      <c r="D182" s="168">
        <v>5201</v>
      </c>
      <c r="E182" s="170">
        <f t="shared" si="75"/>
        <v>9720</v>
      </c>
      <c r="F182" s="170">
        <f t="shared" si="75"/>
        <v>0</v>
      </c>
      <c r="G182" s="170">
        <f t="shared" si="75"/>
        <v>-9720</v>
      </c>
      <c r="H182" s="170"/>
      <c r="I182" s="170"/>
      <c r="J182" s="170">
        <f t="shared" si="67"/>
        <v>0</v>
      </c>
      <c r="K182" s="170"/>
      <c r="L182" s="170"/>
      <c r="M182" s="170">
        <f t="shared" si="91"/>
        <v>0</v>
      </c>
      <c r="N182" s="170">
        <v>9720</v>
      </c>
      <c r="O182" s="170">
        <f>9720-9720</f>
        <v>0</v>
      </c>
      <c r="P182" s="170">
        <f t="shared" si="92"/>
        <v>-9720</v>
      </c>
      <c r="Q182" s="170"/>
      <c r="R182" s="170"/>
      <c r="S182" s="170">
        <f t="shared" si="93"/>
        <v>0</v>
      </c>
      <c r="T182" s="170"/>
      <c r="U182" s="170"/>
      <c r="V182" s="170">
        <f t="shared" si="94"/>
        <v>0</v>
      </c>
      <c r="W182" s="170"/>
      <c r="X182" s="170"/>
      <c r="Y182" s="170">
        <f t="shared" si="95"/>
        <v>0</v>
      </c>
      <c r="Z182" s="170"/>
      <c r="AA182" s="170"/>
      <c r="AB182" s="170">
        <f t="shared" si="96"/>
        <v>0</v>
      </c>
      <c r="AC182" s="170"/>
      <c r="AD182" s="170"/>
      <c r="AE182" s="170">
        <f t="shared" si="97"/>
        <v>0</v>
      </c>
    </row>
    <row r="183" spans="1:192" s="159" customFormat="1" ht="31.5" x14ac:dyDescent="0.25">
      <c r="A183" s="167" t="s">
        <v>367</v>
      </c>
      <c r="B183" s="168">
        <v>2</v>
      </c>
      <c r="C183" s="168">
        <v>123</v>
      </c>
      <c r="D183" s="168">
        <v>5201</v>
      </c>
      <c r="E183" s="170">
        <f t="shared" si="75"/>
        <v>918</v>
      </c>
      <c r="F183" s="170">
        <f t="shared" si="75"/>
        <v>918</v>
      </c>
      <c r="G183" s="170">
        <f t="shared" si="75"/>
        <v>0</v>
      </c>
      <c r="H183" s="170"/>
      <c r="I183" s="170"/>
      <c r="J183" s="170">
        <f t="shared" si="67"/>
        <v>0</v>
      </c>
      <c r="K183" s="170"/>
      <c r="L183" s="170"/>
      <c r="M183" s="170">
        <f t="shared" si="91"/>
        <v>0</v>
      </c>
      <c r="N183" s="170">
        <v>918</v>
      </c>
      <c r="O183" s="170">
        <v>918</v>
      </c>
      <c r="P183" s="170">
        <f t="shared" si="92"/>
        <v>0</v>
      </c>
      <c r="Q183" s="170"/>
      <c r="R183" s="170"/>
      <c r="S183" s="170">
        <f t="shared" si="93"/>
        <v>0</v>
      </c>
      <c r="T183" s="170"/>
      <c r="U183" s="170"/>
      <c r="V183" s="170">
        <f t="shared" si="94"/>
        <v>0</v>
      </c>
      <c r="W183" s="170"/>
      <c r="X183" s="170"/>
      <c r="Y183" s="170">
        <f t="shared" si="95"/>
        <v>0</v>
      </c>
      <c r="Z183" s="170"/>
      <c r="AA183" s="170"/>
      <c r="AB183" s="170">
        <f t="shared" si="96"/>
        <v>0</v>
      </c>
      <c r="AC183" s="170"/>
      <c r="AD183" s="170"/>
      <c r="AE183" s="170">
        <f t="shared" si="97"/>
        <v>0</v>
      </c>
    </row>
    <row r="184" spans="1:192" s="159" customFormat="1" ht="31.5" x14ac:dyDescent="0.25">
      <c r="A184" s="167" t="s">
        <v>368</v>
      </c>
      <c r="B184" s="168">
        <v>2</v>
      </c>
      <c r="C184" s="168">
        <v>122</v>
      </c>
      <c r="D184" s="168">
        <v>5201</v>
      </c>
      <c r="E184" s="170">
        <f t="shared" si="75"/>
        <v>1198</v>
      </c>
      <c r="F184" s="170">
        <f t="shared" si="75"/>
        <v>0</v>
      </c>
      <c r="G184" s="170">
        <f t="shared" si="75"/>
        <v>-1198</v>
      </c>
      <c r="H184" s="170"/>
      <c r="I184" s="170"/>
      <c r="J184" s="170">
        <f t="shared" si="67"/>
        <v>0</v>
      </c>
      <c r="K184" s="170"/>
      <c r="L184" s="170"/>
      <c r="M184" s="170">
        <f t="shared" si="91"/>
        <v>0</v>
      </c>
      <c r="N184" s="170">
        <v>1198</v>
      </c>
      <c r="O184" s="170">
        <f>1198-1198</f>
        <v>0</v>
      </c>
      <c r="P184" s="170">
        <f t="shared" si="92"/>
        <v>-1198</v>
      </c>
      <c r="Q184" s="170"/>
      <c r="R184" s="170"/>
      <c r="S184" s="170">
        <f t="shared" si="93"/>
        <v>0</v>
      </c>
      <c r="T184" s="170"/>
      <c r="U184" s="170"/>
      <c r="V184" s="170">
        <f t="shared" si="94"/>
        <v>0</v>
      </c>
      <c r="W184" s="170"/>
      <c r="X184" s="170"/>
      <c r="Y184" s="170">
        <f t="shared" si="95"/>
        <v>0</v>
      </c>
      <c r="Z184" s="170"/>
      <c r="AA184" s="170"/>
      <c r="AB184" s="170">
        <f t="shared" si="96"/>
        <v>0</v>
      </c>
      <c r="AC184" s="170"/>
      <c r="AD184" s="170"/>
      <c r="AE184" s="170">
        <f t="shared" si="97"/>
        <v>0</v>
      </c>
    </row>
    <row r="185" spans="1:192" s="159" customFormat="1" ht="31.5" x14ac:dyDescent="0.25">
      <c r="A185" s="167" t="s">
        <v>369</v>
      </c>
      <c r="B185" s="168">
        <v>2</v>
      </c>
      <c r="C185" s="168">
        <v>122</v>
      </c>
      <c r="D185" s="168">
        <v>5201</v>
      </c>
      <c r="E185" s="170">
        <f t="shared" si="75"/>
        <v>648</v>
      </c>
      <c r="F185" s="170">
        <f t="shared" si="75"/>
        <v>648</v>
      </c>
      <c r="G185" s="170">
        <f t="shared" si="75"/>
        <v>0</v>
      </c>
      <c r="H185" s="170"/>
      <c r="I185" s="170"/>
      <c r="J185" s="170">
        <f t="shared" si="67"/>
        <v>0</v>
      </c>
      <c r="K185" s="170"/>
      <c r="L185" s="170"/>
      <c r="M185" s="170">
        <f t="shared" si="91"/>
        <v>0</v>
      </c>
      <c r="N185" s="170">
        <v>648</v>
      </c>
      <c r="O185" s="170">
        <v>648</v>
      </c>
      <c r="P185" s="170">
        <f t="shared" si="92"/>
        <v>0</v>
      </c>
      <c r="Q185" s="170"/>
      <c r="R185" s="170"/>
      <c r="S185" s="170">
        <f t="shared" si="93"/>
        <v>0</v>
      </c>
      <c r="T185" s="170"/>
      <c r="U185" s="170"/>
      <c r="V185" s="170">
        <f t="shared" si="94"/>
        <v>0</v>
      </c>
      <c r="W185" s="170"/>
      <c r="X185" s="170"/>
      <c r="Y185" s="170">
        <f t="shared" si="95"/>
        <v>0</v>
      </c>
      <c r="Z185" s="170"/>
      <c r="AA185" s="170"/>
      <c r="AB185" s="170">
        <f t="shared" si="96"/>
        <v>0</v>
      </c>
      <c r="AC185" s="170"/>
      <c r="AD185" s="170"/>
      <c r="AE185" s="170">
        <f t="shared" si="97"/>
        <v>0</v>
      </c>
    </row>
    <row r="186" spans="1:192" s="159" customFormat="1" ht="31.5" x14ac:dyDescent="0.25">
      <c r="A186" s="167" t="s">
        <v>370</v>
      </c>
      <c r="B186" s="168">
        <v>2</v>
      </c>
      <c r="C186" s="168">
        <v>122</v>
      </c>
      <c r="D186" s="168">
        <v>5201</v>
      </c>
      <c r="E186" s="170">
        <f t="shared" si="75"/>
        <v>958</v>
      </c>
      <c r="F186" s="170">
        <f t="shared" si="75"/>
        <v>958</v>
      </c>
      <c r="G186" s="170">
        <f t="shared" si="75"/>
        <v>0</v>
      </c>
      <c r="H186" s="170"/>
      <c r="I186" s="170"/>
      <c r="J186" s="170">
        <f t="shared" si="67"/>
        <v>0</v>
      </c>
      <c r="K186" s="170"/>
      <c r="L186" s="170"/>
      <c r="M186" s="170">
        <f t="shared" si="91"/>
        <v>0</v>
      </c>
      <c r="N186" s="170">
        <f>1164+316-522</f>
        <v>958</v>
      </c>
      <c r="O186" s="170">
        <f>1164+316-522</f>
        <v>958</v>
      </c>
      <c r="P186" s="170">
        <f t="shared" si="92"/>
        <v>0</v>
      </c>
      <c r="Q186" s="170"/>
      <c r="R186" s="170"/>
      <c r="S186" s="170">
        <f t="shared" si="93"/>
        <v>0</v>
      </c>
      <c r="T186" s="170"/>
      <c r="U186" s="170"/>
      <c r="V186" s="170">
        <f t="shared" si="94"/>
        <v>0</v>
      </c>
      <c r="W186" s="170"/>
      <c r="X186" s="170"/>
      <c r="Y186" s="170">
        <f t="shared" si="95"/>
        <v>0</v>
      </c>
      <c r="Z186" s="170"/>
      <c r="AA186" s="170"/>
      <c r="AB186" s="170">
        <f t="shared" si="96"/>
        <v>0</v>
      </c>
      <c r="AC186" s="170"/>
      <c r="AD186" s="170"/>
      <c r="AE186" s="170">
        <f t="shared" si="97"/>
        <v>0</v>
      </c>
    </row>
    <row r="187" spans="1:192" s="156" customFormat="1" x14ac:dyDescent="0.25">
      <c r="A187" s="157" t="s">
        <v>371</v>
      </c>
      <c r="B187" s="166"/>
      <c r="C187" s="166"/>
      <c r="D187" s="166"/>
      <c r="E187" s="158">
        <f t="shared" si="75"/>
        <v>44144</v>
      </c>
      <c r="F187" s="158">
        <f t="shared" si="75"/>
        <v>0</v>
      </c>
      <c r="G187" s="158">
        <f t="shared" si="75"/>
        <v>-44144</v>
      </c>
      <c r="H187" s="158">
        <f t="shared" ref="H187:AD187" si="122">SUM(H188:H188)</f>
        <v>0</v>
      </c>
      <c r="I187" s="158">
        <f t="shared" si="122"/>
        <v>0</v>
      </c>
      <c r="J187" s="158">
        <f t="shared" si="67"/>
        <v>0</v>
      </c>
      <c r="K187" s="158">
        <f t="shared" si="122"/>
        <v>0</v>
      </c>
      <c r="L187" s="158">
        <f t="shared" si="122"/>
        <v>0</v>
      </c>
      <c r="M187" s="158">
        <f t="shared" si="91"/>
        <v>0</v>
      </c>
      <c r="N187" s="158">
        <f t="shared" si="122"/>
        <v>0</v>
      </c>
      <c r="O187" s="158">
        <f t="shared" si="122"/>
        <v>0</v>
      </c>
      <c r="P187" s="158">
        <f t="shared" si="92"/>
        <v>0</v>
      </c>
      <c r="Q187" s="158">
        <f t="shared" si="122"/>
        <v>0</v>
      </c>
      <c r="R187" s="158">
        <f t="shared" si="122"/>
        <v>0</v>
      </c>
      <c r="S187" s="158">
        <f t="shared" si="93"/>
        <v>0</v>
      </c>
      <c r="T187" s="158">
        <f t="shared" si="122"/>
        <v>0</v>
      </c>
      <c r="U187" s="158">
        <f t="shared" si="122"/>
        <v>0</v>
      </c>
      <c r="V187" s="158">
        <f t="shared" si="94"/>
        <v>0</v>
      </c>
      <c r="W187" s="158">
        <f t="shared" si="122"/>
        <v>0</v>
      </c>
      <c r="X187" s="158">
        <f t="shared" si="122"/>
        <v>0</v>
      </c>
      <c r="Y187" s="158">
        <f t="shared" si="95"/>
        <v>0</v>
      </c>
      <c r="Z187" s="158">
        <f t="shared" si="122"/>
        <v>0</v>
      </c>
      <c r="AA187" s="158">
        <f t="shared" si="122"/>
        <v>0</v>
      </c>
      <c r="AB187" s="158">
        <f t="shared" si="96"/>
        <v>0</v>
      </c>
      <c r="AC187" s="158">
        <f t="shared" si="122"/>
        <v>44144</v>
      </c>
      <c r="AD187" s="158">
        <f t="shared" si="122"/>
        <v>0</v>
      </c>
      <c r="AE187" s="158">
        <f t="shared" si="97"/>
        <v>-44144</v>
      </c>
      <c r="AF187" s="159"/>
      <c r="AG187" s="159"/>
      <c r="AH187" s="159"/>
      <c r="AI187" s="159"/>
      <c r="AJ187" s="159"/>
      <c r="AK187" s="159"/>
      <c r="AL187" s="159"/>
      <c r="AM187" s="159"/>
      <c r="AN187" s="159"/>
      <c r="AO187" s="159"/>
      <c r="AP187" s="159"/>
      <c r="AQ187" s="159"/>
      <c r="AR187" s="159"/>
      <c r="AS187" s="159"/>
      <c r="AT187" s="159"/>
      <c r="AU187" s="159"/>
      <c r="AV187" s="159"/>
      <c r="AW187" s="159"/>
      <c r="AX187" s="159"/>
      <c r="AY187" s="159"/>
      <c r="AZ187" s="159"/>
      <c r="BA187" s="159"/>
      <c r="BB187" s="159"/>
      <c r="BC187" s="159"/>
      <c r="BD187" s="159"/>
      <c r="BE187" s="159"/>
      <c r="BF187" s="159"/>
      <c r="BG187" s="159"/>
      <c r="BH187" s="159"/>
      <c r="BI187" s="159"/>
      <c r="BJ187" s="159"/>
      <c r="BK187" s="159"/>
      <c r="BL187" s="159"/>
      <c r="BM187" s="159"/>
      <c r="BN187" s="159"/>
      <c r="BO187" s="159"/>
      <c r="BP187" s="159"/>
      <c r="BQ187" s="159"/>
      <c r="BR187" s="159"/>
      <c r="BS187" s="159"/>
      <c r="BT187" s="159"/>
      <c r="BU187" s="159"/>
      <c r="BV187" s="159"/>
      <c r="BW187" s="159"/>
      <c r="BX187" s="159"/>
      <c r="BY187" s="159"/>
      <c r="BZ187" s="159"/>
      <c r="CA187" s="159"/>
      <c r="CB187" s="159"/>
      <c r="CC187" s="159"/>
      <c r="CD187" s="159"/>
      <c r="CE187" s="159"/>
      <c r="CF187" s="159"/>
      <c r="CG187" s="159"/>
      <c r="CH187" s="159"/>
      <c r="CI187" s="159"/>
      <c r="CJ187" s="159"/>
      <c r="CK187" s="159"/>
      <c r="CL187" s="159"/>
      <c r="CM187" s="159"/>
      <c r="CN187" s="159"/>
      <c r="CO187" s="159"/>
      <c r="CP187" s="159"/>
      <c r="CQ187" s="159"/>
      <c r="CR187" s="159"/>
      <c r="CS187" s="159"/>
      <c r="CT187" s="159"/>
      <c r="CU187" s="159"/>
      <c r="CV187" s="159"/>
      <c r="CW187" s="159"/>
      <c r="CX187" s="159"/>
      <c r="CY187" s="159"/>
      <c r="CZ187" s="159"/>
      <c r="DA187" s="159"/>
      <c r="DB187" s="159"/>
      <c r="DC187" s="159"/>
      <c r="DD187" s="159"/>
      <c r="DE187" s="159"/>
      <c r="DF187" s="159"/>
      <c r="DG187" s="159"/>
      <c r="DH187" s="159"/>
      <c r="DI187" s="159"/>
      <c r="DJ187" s="159"/>
      <c r="DK187" s="159"/>
      <c r="DL187" s="159"/>
      <c r="DM187" s="159"/>
      <c r="DN187" s="159"/>
      <c r="DO187" s="159"/>
      <c r="DP187" s="159"/>
      <c r="DQ187" s="159"/>
      <c r="DR187" s="159"/>
      <c r="DS187" s="159"/>
      <c r="DT187" s="159"/>
      <c r="DU187" s="159"/>
      <c r="DV187" s="159"/>
      <c r="DW187" s="159"/>
      <c r="DX187" s="159"/>
      <c r="DY187" s="159"/>
      <c r="DZ187" s="159"/>
      <c r="EA187" s="159"/>
      <c r="EB187" s="159"/>
      <c r="EC187" s="159"/>
      <c r="ED187" s="159"/>
      <c r="EE187" s="159"/>
      <c r="EF187" s="159"/>
      <c r="EG187" s="159"/>
      <c r="EH187" s="159"/>
      <c r="EI187" s="159"/>
      <c r="EJ187" s="159"/>
      <c r="EK187" s="159"/>
      <c r="EL187" s="159"/>
      <c r="EM187" s="159"/>
      <c r="EN187" s="159"/>
      <c r="EO187" s="159"/>
      <c r="EP187" s="159"/>
      <c r="EQ187" s="159"/>
      <c r="ER187" s="159"/>
      <c r="ES187" s="159"/>
      <c r="ET187" s="159"/>
      <c r="EU187" s="159"/>
      <c r="EV187" s="159"/>
      <c r="EW187" s="159"/>
      <c r="EX187" s="159"/>
      <c r="EY187" s="159"/>
      <c r="EZ187" s="159"/>
      <c r="FA187" s="159"/>
      <c r="FB187" s="159"/>
      <c r="FC187" s="159"/>
      <c r="FD187" s="159"/>
      <c r="FE187" s="159"/>
      <c r="FF187" s="159"/>
      <c r="FG187" s="159"/>
      <c r="FH187" s="159"/>
      <c r="FI187" s="159"/>
      <c r="FJ187" s="159"/>
      <c r="FK187" s="159"/>
      <c r="FL187" s="159"/>
      <c r="FM187" s="159"/>
      <c r="FN187" s="159"/>
      <c r="FO187" s="159"/>
      <c r="FP187" s="159"/>
      <c r="FQ187" s="159"/>
      <c r="FR187" s="159"/>
      <c r="FS187" s="159"/>
      <c r="FT187" s="159"/>
      <c r="FU187" s="159"/>
      <c r="FV187" s="159"/>
      <c r="FW187" s="159"/>
      <c r="FX187" s="159"/>
      <c r="FY187" s="159"/>
      <c r="FZ187" s="159"/>
      <c r="GA187" s="159"/>
      <c r="GB187" s="159"/>
      <c r="GC187" s="159"/>
      <c r="GD187" s="159"/>
      <c r="GE187" s="159"/>
      <c r="GF187" s="159"/>
      <c r="GG187" s="159"/>
      <c r="GH187" s="159"/>
      <c r="GI187" s="159"/>
      <c r="GJ187" s="159"/>
    </row>
    <row r="188" spans="1:192" s="159" customFormat="1" ht="31.5" x14ac:dyDescent="0.25">
      <c r="A188" s="175" t="s">
        <v>372</v>
      </c>
      <c r="B188" s="168">
        <v>2</v>
      </c>
      <c r="C188" s="168">
        <v>122</v>
      </c>
      <c r="D188" s="168">
        <v>5202</v>
      </c>
      <c r="E188" s="170">
        <f t="shared" si="75"/>
        <v>44144</v>
      </c>
      <c r="F188" s="170">
        <f t="shared" si="75"/>
        <v>0</v>
      </c>
      <c r="G188" s="170">
        <f t="shared" si="75"/>
        <v>-44144</v>
      </c>
      <c r="H188" s="170"/>
      <c r="I188" s="170"/>
      <c r="J188" s="170">
        <f t="shared" si="67"/>
        <v>0</v>
      </c>
      <c r="K188" s="170"/>
      <c r="L188" s="170"/>
      <c r="M188" s="170">
        <f t="shared" si="91"/>
        <v>0</v>
      </c>
      <c r="N188" s="170">
        <v>0</v>
      </c>
      <c r="O188" s="170">
        <v>0</v>
      </c>
      <c r="P188" s="170">
        <f t="shared" si="92"/>
        <v>0</v>
      </c>
      <c r="Q188" s="170"/>
      <c r="R188" s="170"/>
      <c r="S188" s="170">
        <f t="shared" si="93"/>
        <v>0</v>
      </c>
      <c r="T188" s="170"/>
      <c r="U188" s="170"/>
      <c r="V188" s="170">
        <f t="shared" si="94"/>
        <v>0</v>
      </c>
      <c r="W188" s="170"/>
      <c r="X188" s="170"/>
      <c r="Y188" s="170">
        <f t="shared" si="95"/>
        <v>0</v>
      </c>
      <c r="Z188" s="170"/>
      <c r="AA188" s="170"/>
      <c r="AB188" s="170">
        <f t="shared" si="96"/>
        <v>0</v>
      </c>
      <c r="AC188" s="170">
        <v>44144</v>
      </c>
      <c r="AD188" s="170"/>
      <c r="AE188" s="170">
        <f t="shared" si="97"/>
        <v>-44144</v>
      </c>
      <c r="FQ188" s="156"/>
      <c r="FR188" s="156"/>
      <c r="FS188" s="156"/>
      <c r="FT188" s="156"/>
      <c r="FU188" s="156"/>
      <c r="FV188" s="156"/>
      <c r="FW188" s="156"/>
      <c r="FX188" s="156"/>
      <c r="FY188" s="156"/>
      <c r="FZ188" s="156"/>
      <c r="GA188" s="156"/>
      <c r="GB188" s="156"/>
      <c r="GC188" s="156"/>
      <c r="GD188" s="156"/>
      <c r="GE188" s="156"/>
      <c r="GF188" s="156"/>
      <c r="GG188" s="156"/>
      <c r="GH188" s="156"/>
      <c r="GI188" s="156"/>
      <c r="GJ188" s="156"/>
    </row>
    <row r="189" spans="1:192" s="159" customFormat="1" ht="31.5" x14ac:dyDescent="0.25">
      <c r="A189" s="157" t="s">
        <v>373</v>
      </c>
      <c r="B189" s="166"/>
      <c r="C189" s="166"/>
      <c r="D189" s="166"/>
      <c r="E189" s="158">
        <f t="shared" si="75"/>
        <v>44029</v>
      </c>
      <c r="F189" s="158">
        <f t="shared" si="75"/>
        <v>32535</v>
      </c>
      <c r="G189" s="158">
        <f t="shared" si="75"/>
        <v>-11494</v>
      </c>
      <c r="H189" s="158">
        <f t="shared" ref="H189:AD189" si="123">SUM(H190:H192)</f>
        <v>0</v>
      </c>
      <c r="I189" s="158">
        <f t="shared" si="123"/>
        <v>0</v>
      </c>
      <c r="J189" s="158">
        <f t="shared" si="67"/>
        <v>0</v>
      </c>
      <c r="K189" s="158">
        <f t="shared" ref="K189" si="124">SUM(K190:K192)</f>
        <v>0</v>
      </c>
      <c r="L189" s="158">
        <f t="shared" si="123"/>
        <v>0</v>
      </c>
      <c r="M189" s="158">
        <f t="shared" si="91"/>
        <v>0</v>
      </c>
      <c r="N189" s="158">
        <f t="shared" ref="N189" si="125">SUM(N190:N192)</f>
        <v>44029</v>
      </c>
      <c r="O189" s="158">
        <f t="shared" si="123"/>
        <v>32535</v>
      </c>
      <c r="P189" s="158">
        <f t="shared" si="92"/>
        <v>-11494</v>
      </c>
      <c r="Q189" s="158">
        <f t="shared" ref="Q189" si="126">SUM(Q190:Q192)</f>
        <v>0</v>
      </c>
      <c r="R189" s="158">
        <f t="shared" si="123"/>
        <v>0</v>
      </c>
      <c r="S189" s="158">
        <f t="shared" si="93"/>
        <v>0</v>
      </c>
      <c r="T189" s="158">
        <f t="shared" ref="T189" si="127">SUM(T190:T192)</f>
        <v>0</v>
      </c>
      <c r="U189" s="158">
        <f t="shared" si="123"/>
        <v>0</v>
      </c>
      <c r="V189" s="158">
        <f t="shared" si="94"/>
        <v>0</v>
      </c>
      <c r="W189" s="158">
        <f t="shared" ref="W189" si="128">SUM(W190:W192)</f>
        <v>0</v>
      </c>
      <c r="X189" s="158">
        <f t="shared" si="123"/>
        <v>0</v>
      </c>
      <c r="Y189" s="158">
        <f t="shared" si="95"/>
        <v>0</v>
      </c>
      <c r="Z189" s="158">
        <f t="shared" ref="Z189" si="129">SUM(Z190:Z192)</f>
        <v>0</v>
      </c>
      <c r="AA189" s="158">
        <f t="shared" si="123"/>
        <v>0</v>
      </c>
      <c r="AB189" s="158">
        <f t="shared" si="96"/>
        <v>0</v>
      </c>
      <c r="AC189" s="158">
        <f t="shared" ref="AC189" si="130">SUM(AC190:AC192)</f>
        <v>0</v>
      </c>
      <c r="AD189" s="158">
        <f t="shared" si="123"/>
        <v>0</v>
      </c>
      <c r="AE189" s="158">
        <f t="shared" si="97"/>
        <v>0</v>
      </c>
    </row>
    <row r="190" spans="1:192" s="159" customFormat="1" x14ac:dyDescent="0.25">
      <c r="A190" s="178" t="s">
        <v>374</v>
      </c>
      <c r="B190" s="168">
        <v>2</v>
      </c>
      <c r="C190" s="168">
        <v>122</v>
      </c>
      <c r="D190" s="168">
        <v>5203</v>
      </c>
      <c r="E190" s="170">
        <f t="shared" si="75"/>
        <v>12000</v>
      </c>
      <c r="F190" s="170">
        <f t="shared" si="75"/>
        <v>8380</v>
      </c>
      <c r="G190" s="170">
        <f t="shared" si="75"/>
        <v>-3620</v>
      </c>
      <c r="H190" s="170"/>
      <c r="I190" s="170"/>
      <c r="J190" s="170">
        <f t="shared" si="67"/>
        <v>0</v>
      </c>
      <c r="K190" s="170"/>
      <c r="L190" s="170"/>
      <c r="M190" s="170">
        <f t="shared" si="91"/>
        <v>0</v>
      </c>
      <c r="N190" s="170">
        <v>12000</v>
      </c>
      <c r="O190" s="170">
        <f>12000-3620</f>
        <v>8380</v>
      </c>
      <c r="P190" s="170">
        <f t="shared" si="92"/>
        <v>-3620</v>
      </c>
      <c r="Q190" s="170"/>
      <c r="R190" s="170"/>
      <c r="S190" s="170">
        <f t="shared" si="93"/>
        <v>0</v>
      </c>
      <c r="T190" s="170"/>
      <c r="U190" s="170"/>
      <c r="V190" s="170">
        <f t="shared" si="94"/>
        <v>0</v>
      </c>
      <c r="W190" s="170"/>
      <c r="X190" s="170"/>
      <c r="Y190" s="170">
        <f t="shared" si="95"/>
        <v>0</v>
      </c>
      <c r="Z190" s="170"/>
      <c r="AA190" s="170"/>
      <c r="AB190" s="170">
        <f t="shared" si="96"/>
        <v>0</v>
      </c>
      <c r="AC190" s="170"/>
      <c r="AD190" s="170"/>
      <c r="AE190" s="170">
        <f t="shared" si="97"/>
        <v>0</v>
      </c>
    </row>
    <row r="191" spans="1:192" s="159" customFormat="1" x14ac:dyDescent="0.25">
      <c r="A191" s="178" t="s">
        <v>375</v>
      </c>
      <c r="B191" s="168">
        <v>2</v>
      </c>
      <c r="C191" s="168">
        <v>122</v>
      </c>
      <c r="D191" s="168">
        <v>5203</v>
      </c>
      <c r="E191" s="170">
        <f t="shared" si="75"/>
        <v>2029</v>
      </c>
      <c r="F191" s="170">
        <f t="shared" si="75"/>
        <v>2029</v>
      </c>
      <c r="G191" s="170">
        <f t="shared" si="75"/>
        <v>0</v>
      </c>
      <c r="H191" s="170"/>
      <c r="I191" s="170"/>
      <c r="J191" s="170">
        <f t="shared" si="67"/>
        <v>0</v>
      </c>
      <c r="K191" s="170"/>
      <c r="L191" s="170"/>
      <c r="M191" s="170">
        <f t="shared" si="91"/>
        <v>0</v>
      </c>
      <c r="N191" s="170">
        <v>2029</v>
      </c>
      <c r="O191" s="170">
        <v>2029</v>
      </c>
      <c r="P191" s="170">
        <f t="shared" si="92"/>
        <v>0</v>
      </c>
      <c r="Q191" s="170"/>
      <c r="R191" s="170"/>
      <c r="S191" s="170">
        <f t="shared" si="93"/>
        <v>0</v>
      </c>
      <c r="T191" s="170"/>
      <c r="U191" s="170"/>
      <c r="V191" s="170">
        <f t="shared" si="94"/>
        <v>0</v>
      </c>
      <c r="W191" s="170"/>
      <c r="X191" s="170"/>
      <c r="Y191" s="170">
        <f t="shared" si="95"/>
        <v>0</v>
      </c>
      <c r="Z191" s="170"/>
      <c r="AA191" s="170"/>
      <c r="AB191" s="170">
        <f t="shared" si="96"/>
        <v>0</v>
      </c>
      <c r="AC191" s="170"/>
      <c r="AD191" s="170"/>
      <c r="AE191" s="170">
        <f t="shared" si="97"/>
        <v>0</v>
      </c>
    </row>
    <row r="192" spans="1:192" s="159" customFormat="1" ht="31.5" x14ac:dyDescent="0.25">
      <c r="A192" s="178" t="s">
        <v>376</v>
      </c>
      <c r="B192" s="168">
        <v>2</v>
      </c>
      <c r="C192" s="168">
        <v>122</v>
      </c>
      <c r="D192" s="168">
        <v>5203</v>
      </c>
      <c r="E192" s="170">
        <f t="shared" si="75"/>
        <v>30000</v>
      </c>
      <c r="F192" s="170">
        <f t="shared" si="75"/>
        <v>22126</v>
      </c>
      <c r="G192" s="170">
        <f t="shared" si="75"/>
        <v>-7874</v>
      </c>
      <c r="H192" s="170"/>
      <c r="I192" s="170"/>
      <c r="J192" s="170">
        <f t="shared" si="67"/>
        <v>0</v>
      </c>
      <c r="K192" s="170"/>
      <c r="L192" s="170"/>
      <c r="M192" s="170">
        <f t="shared" si="91"/>
        <v>0</v>
      </c>
      <c r="N192" s="170">
        <f>20000+10000</f>
        <v>30000</v>
      </c>
      <c r="O192" s="170">
        <f>20000+10000-7874</f>
        <v>22126</v>
      </c>
      <c r="P192" s="170">
        <f t="shared" si="92"/>
        <v>-7874</v>
      </c>
      <c r="Q192" s="170"/>
      <c r="R192" s="170"/>
      <c r="S192" s="170">
        <f t="shared" si="93"/>
        <v>0</v>
      </c>
      <c r="T192" s="170"/>
      <c r="U192" s="170"/>
      <c r="V192" s="170">
        <f t="shared" si="94"/>
        <v>0</v>
      </c>
      <c r="W192" s="170"/>
      <c r="X192" s="170"/>
      <c r="Y192" s="170">
        <f t="shared" si="95"/>
        <v>0</v>
      </c>
      <c r="Z192" s="170"/>
      <c r="AA192" s="170"/>
      <c r="AB192" s="170">
        <f t="shared" si="96"/>
        <v>0</v>
      </c>
      <c r="AC192" s="170"/>
      <c r="AD192" s="170"/>
      <c r="AE192" s="170">
        <f t="shared" si="97"/>
        <v>0</v>
      </c>
    </row>
    <row r="193" spans="1:192" s="159" customFormat="1" x14ac:dyDescent="0.25">
      <c r="A193" s="157" t="s">
        <v>377</v>
      </c>
      <c r="B193" s="166"/>
      <c r="C193" s="166"/>
      <c r="D193" s="166"/>
      <c r="E193" s="158">
        <f t="shared" si="75"/>
        <v>26340</v>
      </c>
      <c r="F193" s="158">
        <f t="shared" si="75"/>
        <v>0</v>
      </c>
      <c r="G193" s="158">
        <f t="shared" si="75"/>
        <v>-26340</v>
      </c>
      <c r="H193" s="158">
        <f>SUM(H194)</f>
        <v>0</v>
      </c>
      <c r="I193" s="158">
        <f>SUM(I194)</f>
        <v>0</v>
      </c>
      <c r="J193" s="158">
        <f t="shared" si="67"/>
        <v>0</v>
      </c>
      <c r="K193" s="158">
        <f t="shared" ref="K193:L193" si="131">SUM(K194)</f>
        <v>0</v>
      </c>
      <c r="L193" s="158">
        <f t="shared" si="131"/>
        <v>0</v>
      </c>
      <c r="M193" s="158">
        <f t="shared" si="91"/>
        <v>0</v>
      </c>
      <c r="N193" s="158">
        <f t="shared" ref="N193:O193" si="132">SUM(N194)</f>
        <v>0</v>
      </c>
      <c r="O193" s="158">
        <f t="shared" si="132"/>
        <v>0</v>
      </c>
      <c r="P193" s="158">
        <f t="shared" si="92"/>
        <v>0</v>
      </c>
      <c r="Q193" s="158">
        <f t="shared" ref="Q193:R193" si="133">SUM(Q194)</f>
        <v>0</v>
      </c>
      <c r="R193" s="158">
        <f t="shared" si="133"/>
        <v>0</v>
      </c>
      <c r="S193" s="158">
        <f t="shared" si="93"/>
        <v>0</v>
      </c>
      <c r="T193" s="158">
        <f t="shared" ref="T193:U193" si="134">SUM(T194)</f>
        <v>0</v>
      </c>
      <c r="U193" s="158">
        <f t="shared" si="134"/>
        <v>0</v>
      </c>
      <c r="V193" s="158">
        <f t="shared" si="94"/>
        <v>0</v>
      </c>
      <c r="W193" s="158">
        <f t="shared" ref="W193:X193" si="135">SUM(W194)</f>
        <v>0</v>
      </c>
      <c r="X193" s="158">
        <f t="shared" si="135"/>
        <v>0</v>
      </c>
      <c r="Y193" s="158">
        <f t="shared" si="95"/>
        <v>0</v>
      </c>
      <c r="Z193" s="158">
        <f t="shared" ref="Z193:AA193" si="136">SUM(Z194)</f>
        <v>0</v>
      </c>
      <c r="AA193" s="158">
        <f t="shared" si="136"/>
        <v>0</v>
      </c>
      <c r="AB193" s="158">
        <f t="shared" si="96"/>
        <v>0</v>
      </c>
      <c r="AC193" s="158">
        <f t="shared" ref="AC193:AD193" si="137">SUM(AC194)</f>
        <v>26340</v>
      </c>
      <c r="AD193" s="158">
        <f t="shared" si="137"/>
        <v>0</v>
      </c>
      <c r="AE193" s="158">
        <f t="shared" si="97"/>
        <v>-26340</v>
      </c>
    </row>
    <row r="194" spans="1:192" s="159" customFormat="1" ht="31.5" x14ac:dyDescent="0.25">
      <c r="A194" s="167" t="s">
        <v>378</v>
      </c>
      <c r="B194" s="168">
        <v>2</v>
      </c>
      <c r="C194" s="168">
        <v>122</v>
      </c>
      <c r="D194" s="168">
        <v>5204</v>
      </c>
      <c r="E194" s="170">
        <f t="shared" si="75"/>
        <v>26340</v>
      </c>
      <c r="F194" s="170">
        <f t="shared" si="75"/>
        <v>0</v>
      </c>
      <c r="G194" s="170">
        <f t="shared" si="75"/>
        <v>-26340</v>
      </c>
      <c r="H194" s="170"/>
      <c r="I194" s="170"/>
      <c r="J194" s="170">
        <f t="shared" si="67"/>
        <v>0</v>
      </c>
      <c r="K194" s="170"/>
      <c r="L194" s="170"/>
      <c r="M194" s="170">
        <f t="shared" si="91"/>
        <v>0</v>
      </c>
      <c r="N194" s="170"/>
      <c r="O194" s="170"/>
      <c r="P194" s="170">
        <f t="shared" si="92"/>
        <v>0</v>
      </c>
      <c r="Q194" s="170"/>
      <c r="R194" s="170"/>
      <c r="S194" s="170">
        <f t="shared" si="93"/>
        <v>0</v>
      </c>
      <c r="T194" s="170"/>
      <c r="U194" s="170"/>
      <c r="V194" s="170">
        <f t="shared" si="94"/>
        <v>0</v>
      </c>
      <c r="W194" s="170"/>
      <c r="X194" s="170"/>
      <c r="Y194" s="170">
        <f t="shared" si="95"/>
        <v>0</v>
      </c>
      <c r="Z194" s="170"/>
      <c r="AA194" s="170"/>
      <c r="AB194" s="170">
        <f t="shared" si="96"/>
        <v>0</v>
      </c>
      <c r="AC194" s="170">
        <v>26340</v>
      </c>
      <c r="AD194" s="170"/>
      <c r="AE194" s="170">
        <f t="shared" si="97"/>
        <v>-26340</v>
      </c>
    </row>
    <row r="195" spans="1:192" s="159" customFormat="1" x14ac:dyDescent="0.25">
      <c r="A195" s="157" t="s">
        <v>379</v>
      </c>
      <c r="B195" s="166"/>
      <c r="C195" s="166"/>
      <c r="D195" s="166"/>
      <c r="E195" s="158">
        <f t="shared" si="75"/>
        <v>12504</v>
      </c>
      <c r="F195" s="158">
        <f t="shared" si="75"/>
        <v>12504</v>
      </c>
      <c r="G195" s="158">
        <f>J195+M195+P195+S195+V195+Y195+AE195+AB195</f>
        <v>0</v>
      </c>
      <c r="H195" s="158">
        <f>SUM(H196:H197)</f>
        <v>0</v>
      </c>
      <c r="I195" s="158">
        <f>SUM(I196:I197)</f>
        <v>0</v>
      </c>
      <c r="J195" s="158">
        <f t="shared" si="67"/>
        <v>0</v>
      </c>
      <c r="K195" s="158">
        <f t="shared" ref="K195:L195" si="138">SUM(K196:K197)</f>
        <v>0</v>
      </c>
      <c r="L195" s="158">
        <f t="shared" si="138"/>
        <v>0</v>
      </c>
      <c r="M195" s="158">
        <f t="shared" si="91"/>
        <v>0</v>
      </c>
      <c r="N195" s="158">
        <f t="shared" ref="N195:O195" si="139">SUM(N196:N197)</f>
        <v>12504</v>
      </c>
      <c r="O195" s="158">
        <f t="shared" si="139"/>
        <v>12504</v>
      </c>
      <c r="P195" s="158">
        <f t="shared" si="92"/>
        <v>0</v>
      </c>
      <c r="Q195" s="158">
        <f t="shared" ref="Q195:R195" si="140">SUM(Q196:Q197)</f>
        <v>0</v>
      </c>
      <c r="R195" s="158">
        <f t="shared" si="140"/>
        <v>0</v>
      </c>
      <c r="S195" s="158">
        <f t="shared" si="93"/>
        <v>0</v>
      </c>
      <c r="T195" s="158">
        <f t="shared" ref="T195:U195" si="141">SUM(T196:T197)</f>
        <v>0</v>
      </c>
      <c r="U195" s="158">
        <f t="shared" si="141"/>
        <v>0</v>
      </c>
      <c r="V195" s="158">
        <f t="shared" si="94"/>
        <v>0</v>
      </c>
      <c r="W195" s="158">
        <f t="shared" ref="W195:X195" si="142">SUM(W196:W197)</f>
        <v>0</v>
      </c>
      <c r="X195" s="158">
        <f t="shared" si="142"/>
        <v>0</v>
      </c>
      <c r="Y195" s="158">
        <f t="shared" si="95"/>
        <v>0</v>
      </c>
      <c r="Z195" s="158">
        <f t="shared" ref="Z195:AA195" si="143">SUM(Z196:Z197)</f>
        <v>0</v>
      </c>
      <c r="AA195" s="158">
        <f t="shared" si="143"/>
        <v>0</v>
      </c>
      <c r="AB195" s="158">
        <f t="shared" si="96"/>
        <v>0</v>
      </c>
      <c r="AC195" s="158">
        <f t="shared" ref="AC195:AD195" si="144">SUM(AC196:AC197)</f>
        <v>0</v>
      </c>
      <c r="AD195" s="158">
        <f t="shared" si="144"/>
        <v>0</v>
      </c>
      <c r="AE195" s="158">
        <f t="shared" si="97"/>
        <v>0</v>
      </c>
      <c r="AF195" s="156"/>
      <c r="AG195" s="156"/>
      <c r="AH195" s="156"/>
      <c r="AI195" s="156"/>
      <c r="AJ195" s="156"/>
      <c r="AK195" s="156"/>
      <c r="AL195" s="156"/>
      <c r="AM195" s="156"/>
      <c r="AN195" s="156"/>
      <c r="AO195" s="156"/>
      <c r="AP195" s="156"/>
      <c r="AQ195" s="156"/>
      <c r="AR195" s="156"/>
      <c r="AS195" s="156"/>
      <c r="AT195" s="156"/>
      <c r="AU195" s="156"/>
      <c r="AV195" s="156"/>
      <c r="AW195" s="156"/>
      <c r="AX195" s="156"/>
      <c r="AY195" s="156"/>
      <c r="AZ195" s="156"/>
      <c r="BA195" s="156"/>
      <c r="BB195" s="156"/>
      <c r="BC195" s="156"/>
      <c r="BD195" s="156"/>
      <c r="BE195" s="156"/>
      <c r="BF195" s="156"/>
      <c r="BG195" s="156"/>
      <c r="BH195" s="156"/>
      <c r="BI195" s="156"/>
      <c r="BJ195" s="156"/>
      <c r="BK195" s="156"/>
      <c r="BL195" s="156"/>
      <c r="BM195" s="156"/>
      <c r="BN195" s="156"/>
      <c r="BO195" s="156"/>
      <c r="BP195" s="156"/>
      <c r="BQ195" s="156"/>
      <c r="BR195" s="156"/>
      <c r="BS195" s="156"/>
      <c r="BT195" s="156"/>
      <c r="BU195" s="156"/>
      <c r="BV195" s="156"/>
      <c r="BW195" s="156"/>
      <c r="BX195" s="156"/>
      <c r="BY195" s="156"/>
      <c r="BZ195" s="156"/>
      <c r="CA195" s="156"/>
      <c r="CB195" s="156"/>
      <c r="CC195" s="156"/>
      <c r="CD195" s="156"/>
      <c r="CE195" s="156"/>
      <c r="CF195" s="156"/>
      <c r="CG195" s="156"/>
      <c r="CH195" s="156"/>
      <c r="CI195" s="156"/>
      <c r="CJ195" s="156"/>
      <c r="CK195" s="156"/>
      <c r="CL195" s="156"/>
      <c r="CM195" s="156"/>
      <c r="CN195" s="156"/>
      <c r="CO195" s="156"/>
      <c r="CP195" s="156"/>
      <c r="CQ195" s="156"/>
      <c r="CR195" s="156"/>
      <c r="CS195" s="156"/>
      <c r="CT195" s="156"/>
      <c r="CU195" s="156"/>
      <c r="CV195" s="156"/>
      <c r="CW195" s="156"/>
      <c r="CX195" s="156"/>
      <c r="CY195" s="156"/>
      <c r="CZ195" s="156"/>
      <c r="DA195" s="156"/>
      <c r="DB195" s="156"/>
      <c r="DC195" s="156"/>
      <c r="DD195" s="156"/>
      <c r="DE195" s="156"/>
      <c r="DF195" s="156"/>
      <c r="DG195" s="156"/>
      <c r="DH195" s="156"/>
      <c r="DI195" s="156"/>
      <c r="DJ195" s="156"/>
      <c r="DK195" s="156"/>
      <c r="DL195" s="156"/>
      <c r="DM195" s="156"/>
      <c r="DN195" s="156"/>
      <c r="DO195" s="156"/>
      <c r="DP195" s="156"/>
      <c r="DQ195" s="156"/>
      <c r="DR195" s="156"/>
      <c r="DS195" s="156"/>
      <c r="DT195" s="156"/>
      <c r="DU195" s="156"/>
      <c r="DV195" s="156"/>
      <c r="DW195" s="156"/>
      <c r="DX195" s="156"/>
      <c r="DY195" s="156"/>
      <c r="DZ195" s="156"/>
      <c r="EA195" s="156"/>
      <c r="EB195" s="156"/>
      <c r="EC195" s="156"/>
      <c r="ED195" s="156"/>
      <c r="EE195" s="156"/>
      <c r="EF195" s="156"/>
      <c r="EG195" s="156"/>
      <c r="EH195" s="156"/>
      <c r="EI195" s="156"/>
      <c r="EJ195" s="156"/>
      <c r="EK195" s="156"/>
      <c r="EL195" s="156"/>
      <c r="EM195" s="156"/>
      <c r="EN195" s="156"/>
      <c r="EO195" s="156"/>
      <c r="EP195" s="156"/>
      <c r="EQ195" s="156"/>
      <c r="ER195" s="156"/>
      <c r="ES195" s="156"/>
      <c r="ET195" s="156"/>
      <c r="EU195" s="156"/>
      <c r="EV195" s="156"/>
      <c r="EW195" s="156"/>
      <c r="EX195" s="156"/>
      <c r="EY195" s="156"/>
      <c r="EZ195" s="156"/>
      <c r="FA195" s="156"/>
      <c r="FB195" s="156"/>
      <c r="FC195" s="156"/>
      <c r="FD195" s="156"/>
      <c r="FE195" s="156"/>
      <c r="FF195" s="156"/>
      <c r="FG195" s="156"/>
      <c r="FH195" s="156"/>
      <c r="FI195" s="156"/>
      <c r="FJ195" s="156"/>
      <c r="FK195" s="156"/>
      <c r="FL195" s="156"/>
      <c r="FM195" s="156"/>
      <c r="FN195" s="156"/>
      <c r="FO195" s="156"/>
      <c r="FP195" s="156"/>
      <c r="FQ195" s="156"/>
      <c r="FR195" s="156"/>
      <c r="FS195" s="156"/>
      <c r="FT195" s="156"/>
      <c r="FU195" s="156"/>
      <c r="FV195" s="156"/>
      <c r="FW195" s="156"/>
      <c r="FX195" s="156"/>
      <c r="FY195" s="156"/>
      <c r="FZ195" s="156"/>
      <c r="GA195" s="156"/>
      <c r="GB195" s="156"/>
      <c r="GC195" s="156"/>
      <c r="GD195" s="156"/>
      <c r="GE195" s="156"/>
      <c r="GF195" s="156"/>
      <c r="GG195" s="156"/>
      <c r="GH195" s="156"/>
      <c r="GI195" s="156"/>
      <c r="GJ195" s="156"/>
    </row>
    <row r="196" spans="1:192" s="159" customFormat="1" x14ac:dyDescent="0.25">
      <c r="A196" s="167" t="s">
        <v>380</v>
      </c>
      <c r="B196" s="168">
        <v>2</v>
      </c>
      <c r="C196" s="168">
        <v>122</v>
      </c>
      <c r="D196" s="168">
        <v>5205</v>
      </c>
      <c r="E196" s="170">
        <f t="shared" si="75"/>
        <v>4140</v>
      </c>
      <c r="F196" s="170">
        <f t="shared" si="75"/>
        <v>4140</v>
      </c>
      <c r="G196" s="170">
        <f>J196+M196+P196+S196+V196+Y196+AE196+AB196</f>
        <v>0</v>
      </c>
      <c r="H196" s="170"/>
      <c r="I196" s="170"/>
      <c r="J196" s="170">
        <f t="shared" si="67"/>
        <v>0</v>
      </c>
      <c r="K196" s="170"/>
      <c r="L196" s="170"/>
      <c r="M196" s="170">
        <f t="shared" si="91"/>
        <v>0</v>
      </c>
      <c r="N196" s="170">
        <v>4140</v>
      </c>
      <c r="O196" s="170">
        <v>4140</v>
      </c>
      <c r="P196" s="170">
        <f t="shared" si="92"/>
        <v>0</v>
      </c>
      <c r="Q196" s="170"/>
      <c r="R196" s="170"/>
      <c r="S196" s="170">
        <f t="shared" si="93"/>
        <v>0</v>
      </c>
      <c r="T196" s="170"/>
      <c r="U196" s="170"/>
      <c r="V196" s="170">
        <f t="shared" si="94"/>
        <v>0</v>
      </c>
      <c r="W196" s="170"/>
      <c r="X196" s="170"/>
      <c r="Y196" s="170">
        <f t="shared" si="95"/>
        <v>0</v>
      </c>
      <c r="Z196" s="170"/>
      <c r="AA196" s="170"/>
      <c r="AB196" s="170">
        <f t="shared" si="96"/>
        <v>0</v>
      </c>
      <c r="AC196" s="170"/>
      <c r="AD196" s="170"/>
      <c r="AE196" s="170">
        <f t="shared" si="97"/>
        <v>0</v>
      </c>
    </row>
    <row r="197" spans="1:192" s="159" customFormat="1" x14ac:dyDescent="0.25">
      <c r="A197" s="167" t="s">
        <v>381</v>
      </c>
      <c r="B197" s="168">
        <v>2</v>
      </c>
      <c r="C197" s="168">
        <v>122</v>
      </c>
      <c r="D197" s="168">
        <v>5205</v>
      </c>
      <c r="E197" s="170">
        <f t="shared" si="75"/>
        <v>8364</v>
      </c>
      <c r="F197" s="170">
        <f t="shared" si="75"/>
        <v>8364</v>
      </c>
      <c r="G197" s="170">
        <f>J197+M197+P197+S197+V197+Y197+AE197+AB197</f>
        <v>0</v>
      </c>
      <c r="H197" s="170"/>
      <c r="I197" s="170"/>
      <c r="J197" s="170">
        <f t="shared" si="67"/>
        <v>0</v>
      </c>
      <c r="K197" s="170"/>
      <c r="L197" s="170"/>
      <c r="M197" s="170">
        <f t="shared" si="91"/>
        <v>0</v>
      </c>
      <c r="N197" s="170">
        <v>8364</v>
      </c>
      <c r="O197" s="170">
        <v>8364</v>
      </c>
      <c r="P197" s="170">
        <f t="shared" si="92"/>
        <v>0</v>
      </c>
      <c r="Q197" s="170"/>
      <c r="R197" s="170"/>
      <c r="S197" s="170">
        <f t="shared" si="93"/>
        <v>0</v>
      </c>
      <c r="T197" s="170"/>
      <c r="U197" s="170"/>
      <c r="V197" s="170">
        <f t="shared" si="94"/>
        <v>0</v>
      </c>
      <c r="W197" s="170"/>
      <c r="X197" s="170"/>
      <c r="Y197" s="170">
        <f t="shared" si="95"/>
        <v>0</v>
      </c>
      <c r="Z197" s="170"/>
      <c r="AA197" s="170"/>
      <c r="AB197" s="170">
        <f t="shared" si="96"/>
        <v>0</v>
      </c>
      <c r="AC197" s="170"/>
      <c r="AD197" s="170"/>
      <c r="AE197" s="170">
        <f t="shared" si="97"/>
        <v>0</v>
      </c>
    </row>
    <row r="198" spans="1:192" s="159" customFormat="1" x14ac:dyDescent="0.25">
      <c r="A198" s="164" t="s">
        <v>227</v>
      </c>
      <c r="B198" s="165"/>
      <c r="C198" s="165"/>
      <c r="D198" s="165"/>
      <c r="E198" s="160">
        <f t="shared" si="75"/>
        <v>358691</v>
      </c>
      <c r="F198" s="160">
        <f t="shared" si="75"/>
        <v>334666</v>
      </c>
      <c r="G198" s="160">
        <f t="shared" si="75"/>
        <v>-24025</v>
      </c>
      <c r="H198" s="160">
        <f>SUM(H199,H204)</f>
        <v>48481</v>
      </c>
      <c r="I198" s="160">
        <f>SUM(I199,I204)</f>
        <v>48481</v>
      </c>
      <c r="J198" s="160">
        <f t="shared" si="67"/>
        <v>0</v>
      </c>
      <c r="K198" s="160">
        <f t="shared" ref="K198:L198" si="145">SUM(K199,K204)</f>
        <v>10905</v>
      </c>
      <c r="L198" s="160">
        <f t="shared" si="145"/>
        <v>4789</v>
      </c>
      <c r="M198" s="160">
        <f t="shared" si="91"/>
        <v>-6116</v>
      </c>
      <c r="N198" s="160">
        <f t="shared" ref="N198:O198" si="146">SUM(N199,N204)</f>
        <v>20704</v>
      </c>
      <c r="O198" s="160">
        <f t="shared" si="146"/>
        <v>2795</v>
      </c>
      <c r="P198" s="160">
        <f t="shared" si="92"/>
        <v>-17909</v>
      </c>
      <c r="Q198" s="160">
        <f t="shared" ref="Q198:R198" si="147">SUM(Q199,Q204)</f>
        <v>0</v>
      </c>
      <c r="R198" s="160">
        <f t="shared" si="147"/>
        <v>0</v>
      </c>
      <c r="S198" s="160">
        <f t="shared" si="93"/>
        <v>0</v>
      </c>
      <c r="T198" s="160">
        <f t="shared" ref="T198:U198" si="148">SUM(T199,T204)</f>
        <v>10000</v>
      </c>
      <c r="U198" s="160">
        <f t="shared" si="148"/>
        <v>10000</v>
      </c>
      <c r="V198" s="160">
        <f t="shared" si="94"/>
        <v>0</v>
      </c>
      <c r="W198" s="160">
        <f t="shared" ref="W198:X198" si="149">SUM(W199,W204)</f>
        <v>268601</v>
      </c>
      <c r="X198" s="160">
        <f t="shared" si="149"/>
        <v>268601</v>
      </c>
      <c r="Y198" s="160">
        <f t="shared" si="95"/>
        <v>0</v>
      </c>
      <c r="Z198" s="160">
        <f t="shared" ref="Z198:AA198" si="150">SUM(Z199,Z204)</f>
        <v>0</v>
      </c>
      <c r="AA198" s="160">
        <f t="shared" si="150"/>
        <v>0</v>
      </c>
      <c r="AB198" s="160">
        <f t="shared" si="96"/>
        <v>0</v>
      </c>
      <c r="AC198" s="160">
        <f t="shared" ref="AC198:AD198" si="151">SUM(AC199,AC204)</f>
        <v>0</v>
      </c>
      <c r="AD198" s="160">
        <f t="shared" si="151"/>
        <v>0</v>
      </c>
      <c r="AE198" s="160">
        <f t="shared" si="97"/>
        <v>0</v>
      </c>
      <c r="AF198" s="156"/>
      <c r="AG198" s="156"/>
      <c r="AH198" s="156"/>
      <c r="AI198" s="156"/>
      <c r="AJ198" s="156"/>
      <c r="AK198" s="156"/>
      <c r="AL198" s="156"/>
      <c r="AM198" s="156"/>
      <c r="AN198" s="156"/>
      <c r="AO198" s="156"/>
      <c r="AP198" s="156"/>
      <c r="AQ198" s="156"/>
      <c r="AR198" s="156"/>
      <c r="AS198" s="156"/>
      <c r="AT198" s="156"/>
      <c r="AU198" s="156"/>
      <c r="AV198" s="156"/>
      <c r="AW198" s="156"/>
      <c r="AX198" s="156"/>
      <c r="AY198" s="156"/>
      <c r="AZ198" s="156"/>
      <c r="BA198" s="156"/>
      <c r="BB198" s="156"/>
      <c r="BC198" s="156"/>
      <c r="BD198" s="156"/>
      <c r="BE198" s="156"/>
      <c r="BF198" s="156"/>
      <c r="BG198" s="156"/>
      <c r="BH198" s="156"/>
      <c r="BI198" s="156"/>
      <c r="BJ198" s="156"/>
      <c r="BK198" s="156"/>
      <c r="BL198" s="156"/>
      <c r="BM198" s="156"/>
      <c r="BN198" s="156"/>
      <c r="BO198" s="156"/>
      <c r="BP198" s="156"/>
      <c r="BQ198" s="156"/>
      <c r="BR198" s="156"/>
      <c r="BS198" s="156"/>
      <c r="BT198" s="156"/>
      <c r="BU198" s="156"/>
      <c r="BV198" s="156"/>
      <c r="BW198" s="156"/>
      <c r="BX198" s="156"/>
      <c r="BY198" s="156"/>
      <c r="BZ198" s="156"/>
      <c r="CA198" s="156"/>
      <c r="CB198" s="156"/>
      <c r="CC198" s="156"/>
      <c r="CD198" s="156"/>
      <c r="CE198" s="156"/>
      <c r="CF198" s="156"/>
      <c r="CG198" s="156"/>
      <c r="CH198" s="156"/>
      <c r="CI198" s="156"/>
      <c r="CJ198" s="156"/>
      <c r="CK198" s="156"/>
      <c r="CL198" s="156"/>
      <c r="CM198" s="156"/>
      <c r="CN198" s="156"/>
      <c r="CO198" s="156"/>
      <c r="CP198" s="156"/>
      <c r="CQ198" s="156"/>
      <c r="CR198" s="156"/>
      <c r="CS198" s="156"/>
      <c r="CT198" s="156"/>
      <c r="CU198" s="156"/>
      <c r="CV198" s="156"/>
      <c r="CW198" s="156"/>
      <c r="CX198" s="156"/>
      <c r="CY198" s="156"/>
      <c r="CZ198" s="156"/>
      <c r="DA198" s="156"/>
      <c r="DB198" s="156"/>
      <c r="DC198" s="156"/>
      <c r="DD198" s="156"/>
      <c r="DE198" s="156"/>
      <c r="DF198" s="156"/>
      <c r="DG198" s="156"/>
      <c r="DH198" s="156"/>
      <c r="DI198" s="156"/>
      <c r="DJ198" s="156"/>
      <c r="DK198" s="156"/>
      <c r="DL198" s="156"/>
      <c r="DM198" s="156"/>
      <c r="DN198" s="156"/>
      <c r="DO198" s="156"/>
      <c r="DP198" s="156"/>
      <c r="DQ198" s="156"/>
      <c r="DR198" s="156"/>
      <c r="DS198" s="156"/>
      <c r="DT198" s="156"/>
      <c r="DU198" s="156"/>
      <c r="DV198" s="156"/>
      <c r="DW198" s="156"/>
      <c r="DX198" s="156"/>
      <c r="DY198" s="156"/>
      <c r="DZ198" s="156"/>
      <c r="EA198" s="156"/>
      <c r="EB198" s="156"/>
      <c r="EC198" s="156"/>
      <c r="ED198" s="156"/>
      <c r="EE198" s="156"/>
      <c r="EF198" s="156"/>
      <c r="EG198" s="156"/>
      <c r="EH198" s="156"/>
      <c r="EI198" s="156"/>
      <c r="EJ198" s="156"/>
      <c r="EK198" s="156"/>
      <c r="EL198" s="156"/>
      <c r="EM198" s="156"/>
      <c r="EN198" s="156"/>
      <c r="EO198" s="156"/>
      <c r="EP198" s="156"/>
      <c r="EQ198" s="156"/>
      <c r="ER198" s="156"/>
      <c r="ES198" s="156"/>
      <c r="ET198" s="156"/>
      <c r="EU198" s="156"/>
      <c r="EV198" s="156"/>
      <c r="EW198" s="156"/>
      <c r="EX198" s="156"/>
      <c r="EY198" s="156"/>
      <c r="EZ198" s="156"/>
      <c r="FA198" s="156"/>
      <c r="FB198" s="156"/>
      <c r="FC198" s="156"/>
      <c r="FD198" s="156"/>
      <c r="FE198" s="156"/>
      <c r="FF198" s="156"/>
      <c r="FG198" s="156"/>
      <c r="FH198" s="156"/>
      <c r="FI198" s="156"/>
      <c r="FJ198" s="156"/>
      <c r="FK198" s="156"/>
      <c r="FL198" s="156"/>
      <c r="FM198" s="156"/>
      <c r="FN198" s="156"/>
      <c r="FO198" s="156"/>
      <c r="FP198" s="156"/>
      <c r="FQ198" s="156"/>
      <c r="FR198" s="156"/>
      <c r="FS198" s="156"/>
      <c r="FT198" s="156"/>
      <c r="FU198" s="156"/>
      <c r="FV198" s="156"/>
      <c r="FW198" s="156"/>
      <c r="FX198" s="156"/>
      <c r="FY198" s="156"/>
      <c r="FZ198" s="156"/>
      <c r="GA198" s="156"/>
      <c r="GB198" s="156"/>
      <c r="GC198" s="156"/>
      <c r="GD198" s="156"/>
      <c r="GE198" s="156"/>
      <c r="GF198" s="156"/>
      <c r="GG198" s="156"/>
      <c r="GH198" s="156"/>
      <c r="GI198" s="156"/>
      <c r="GJ198" s="156"/>
    </row>
    <row r="199" spans="1:192" s="159" customFormat="1" ht="31.5" x14ac:dyDescent="0.25">
      <c r="A199" s="157" t="s">
        <v>373</v>
      </c>
      <c r="B199" s="166"/>
      <c r="C199" s="166"/>
      <c r="D199" s="166"/>
      <c r="E199" s="160">
        <f t="shared" si="75"/>
        <v>20905</v>
      </c>
      <c r="F199" s="160">
        <f t="shared" si="75"/>
        <v>14789</v>
      </c>
      <c r="G199" s="160">
        <f t="shared" si="75"/>
        <v>-6116</v>
      </c>
      <c r="H199" s="160">
        <f>SUM(H200:H203)</f>
        <v>0</v>
      </c>
      <c r="I199" s="160">
        <f>SUM(I200:I203)</f>
        <v>0</v>
      </c>
      <c r="J199" s="160">
        <f t="shared" si="67"/>
        <v>0</v>
      </c>
      <c r="K199" s="160">
        <f t="shared" ref="K199:L199" si="152">SUM(K200:K203)</f>
        <v>10905</v>
      </c>
      <c r="L199" s="160">
        <f t="shared" si="152"/>
        <v>4789</v>
      </c>
      <c r="M199" s="160">
        <f t="shared" si="91"/>
        <v>-6116</v>
      </c>
      <c r="N199" s="160">
        <f t="shared" ref="N199:O199" si="153">SUM(N200:N203)</f>
        <v>0</v>
      </c>
      <c r="O199" s="160">
        <f t="shared" si="153"/>
        <v>0</v>
      </c>
      <c r="P199" s="160">
        <f t="shared" si="92"/>
        <v>0</v>
      </c>
      <c r="Q199" s="160">
        <f t="shared" ref="Q199:R199" si="154">SUM(Q200:Q203)</f>
        <v>0</v>
      </c>
      <c r="R199" s="160">
        <f t="shared" si="154"/>
        <v>0</v>
      </c>
      <c r="S199" s="160">
        <f t="shared" si="93"/>
        <v>0</v>
      </c>
      <c r="T199" s="160">
        <f t="shared" ref="T199:U199" si="155">SUM(T200:T203)</f>
        <v>10000</v>
      </c>
      <c r="U199" s="160">
        <f t="shared" si="155"/>
        <v>10000</v>
      </c>
      <c r="V199" s="160">
        <f t="shared" si="94"/>
        <v>0</v>
      </c>
      <c r="W199" s="160">
        <f t="shared" ref="W199:X199" si="156">SUM(W200:W203)</f>
        <v>0</v>
      </c>
      <c r="X199" s="160">
        <f t="shared" si="156"/>
        <v>0</v>
      </c>
      <c r="Y199" s="160">
        <f t="shared" si="95"/>
        <v>0</v>
      </c>
      <c r="Z199" s="160">
        <f t="shared" ref="Z199:AA199" si="157">SUM(Z200:Z203)</f>
        <v>0</v>
      </c>
      <c r="AA199" s="160">
        <f t="shared" si="157"/>
        <v>0</v>
      </c>
      <c r="AB199" s="160">
        <f t="shared" si="96"/>
        <v>0</v>
      </c>
      <c r="AC199" s="160">
        <f t="shared" ref="AC199:AD199" si="158">SUM(AC200:AC203)</f>
        <v>0</v>
      </c>
      <c r="AD199" s="160">
        <f t="shared" si="158"/>
        <v>0</v>
      </c>
      <c r="AE199" s="160">
        <f t="shared" si="97"/>
        <v>0</v>
      </c>
    </row>
    <row r="200" spans="1:192" s="159" customFormat="1" x14ac:dyDescent="0.25">
      <c r="A200" s="178" t="s">
        <v>382</v>
      </c>
      <c r="B200" s="168">
        <v>1</v>
      </c>
      <c r="C200" s="168">
        <v>239</v>
      </c>
      <c r="D200" s="168">
        <v>5203</v>
      </c>
      <c r="E200" s="170">
        <f t="shared" si="75"/>
        <v>10000</v>
      </c>
      <c r="F200" s="170">
        <f t="shared" si="75"/>
        <v>10000</v>
      </c>
      <c r="G200" s="170">
        <f t="shared" si="75"/>
        <v>0</v>
      </c>
      <c r="H200" s="170"/>
      <c r="I200" s="170"/>
      <c r="J200" s="170">
        <f t="shared" si="67"/>
        <v>0</v>
      </c>
      <c r="K200" s="170"/>
      <c r="L200" s="170"/>
      <c r="M200" s="170">
        <f t="shared" si="91"/>
        <v>0</v>
      </c>
      <c r="N200" s="170"/>
      <c r="O200" s="170"/>
      <c r="P200" s="170">
        <f t="shared" si="92"/>
        <v>0</v>
      </c>
      <c r="Q200" s="170"/>
      <c r="R200" s="170"/>
      <c r="S200" s="170">
        <f t="shared" si="93"/>
        <v>0</v>
      </c>
      <c r="T200" s="170">
        <v>10000</v>
      </c>
      <c r="U200" s="170">
        <v>10000</v>
      </c>
      <c r="V200" s="170">
        <f t="shared" si="94"/>
        <v>0</v>
      </c>
      <c r="W200" s="170"/>
      <c r="X200" s="170"/>
      <c r="Y200" s="170">
        <f t="shared" si="95"/>
        <v>0</v>
      </c>
      <c r="Z200" s="170"/>
      <c r="AA200" s="170"/>
      <c r="AB200" s="170">
        <f t="shared" si="96"/>
        <v>0</v>
      </c>
      <c r="AC200" s="170"/>
      <c r="AD200" s="170"/>
      <c r="AE200" s="170">
        <f t="shared" si="97"/>
        <v>0</v>
      </c>
    </row>
    <row r="201" spans="1:192" s="159" customFormat="1" ht="31.5" x14ac:dyDescent="0.25">
      <c r="A201" s="167" t="s">
        <v>383</v>
      </c>
      <c r="B201" s="168">
        <v>3</v>
      </c>
      <c r="C201" s="168">
        <v>239</v>
      </c>
      <c r="D201" s="169">
        <v>5203</v>
      </c>
      <c r="E201" s="170">
        <f t="shared" si="75"/>
        <v>4845</v>
      </c>
      <c r="F201" s="170">
        <f t="shared" si="75"/>
        <v>4789</v>
      </c>
      <c r="G201" s="170">
        <f t="shared" si="75"/>
        <v>-56</v>
      </c>
      <c r="H201" s="170"/>
      <c r="I201" s="170"/>
      <c r="J201" s="170">
        <f t="shared" si="67"/>
        <v>0</v>
      </c>
      <c r="K201" s="170">
        <v>4845</v>
      </c>
      <c r="L201" s="170">
        <f>4845-56</f>
        <v>4789</v>
      </c>
      <c r="M201" s="170">
        <f t="shared" si="91"/>
        <v>-56</v>
      </c>
      <c r="N201" s="170"/>
      <c r="O201" s="170"/>
      <c r="P201" s="170">
        <f t="shared" si="92"/>
        <v>0</v>
      </c>
      <c r="Q201" s="170"/>
      <c r="R201" s="170"/>
      <c r="S201" s="170">
        <f t="shared" si="93"/>
        <v>0</v>
      </c>
      <c r="T201" s="170"/>
      <c r="U201" s="170"/>
      <c r="V201" s="170">
        <f t="shared" si="94"/>
        <v>0</v>
      </c>
      <c r="W201" s="170"/>
      <c r="X201" s="170"/>
      <c r="Y201" s="170">
        <f t="shared" si="95"/>
        <v>0</v>
      </c>
      <c r="Z201" s="170"/>
      <c r="AA201" s="170"/>
      <c r="AB201" s="170">
        <f t="shared" si="96"/>
        <v>0</v>
      </c>
      <c r="AC201" s="170">
        <v>0</v>
      </c>
      <c r="AD201" s="170">
        <v>0</v>
      </c>
      <c r="AE201" s="170">
        <f t="shared" si="97"/>
        <v>0</v>
      </c>
    </row>
    <row r="202" spans="1:192" s="159" customFormat="1" ht="31.5" x14ac:dyDescent="0.25">
      <c r="A202" s="167" t="s">
        <v>384</v>
      </c>
      <c r="B202" s="168">
        <v>3</v>
      </c>
      <c r="C202" s="168">
        <v>239</v>
      </c>
      <c r="D202" s="169">
        <v>5203</v>
      </c>
      <c r="E202" s="170">
        <f t="shared" si="75"/>
        <v>6060</v>
      </c>
      <c r="F202" s="170">
        <f t="shared" si="75"/>
        <v>0</v>
      </c>
      <c r="G202" s="170">
        <f t="shared" si="75"/>
        <v>-6060</v>
      </c>
      <c r="H202" s="170"/>
      <c r="I202" s="170"/>
      <c r="J202" s="170">
        <f t="shared" si="67"/>
        <v>0</v>
      </c>
      <c r="K202" s="170">
        <v>6060</v>
      </c>
      <c r="L202" s="170">
        <f>6060-6060</f>
        <v>0</v>
      </c>
      <c r="M202" s="170">
        <f t="shared" si="91"/>
        <v>-6060</v>
      </c>
      <c r="N202" s="170"/>
      <c r="O202" s="170"/>
      <c r="P202" s="170">
        <f t="shared" si="92"/>
        <v>0</v>
      </c>
      <c r="Q202" s="170"/>
      <c r="R202" s="170"/>
      <c r="S202" s="170">
        <f t="shared" si="93"/>
        <v>0</v>
      </c>
      <c r="T202" s="170"/>
      <c r="U202" s="170"/>
      <c r="V202" s="170">
        <f t="shared" si="94"/>
        <v>0</v>
      </c>
      <c r="W202" s="170"/>
      <c r="X202" s="170"/>
      <c r="Y202" s="170">
        <f t="shared" si="95"/>
        <v>0</v>
      </c>
      <c r="Z202" s="170"/>
      <c r="AA202" s="170"/>
      <c r="AB202" s="170">
        <f t="shared" si="96"/>
        <v>0</v>
      </c>
      <c r="AC202" s="170">
        <v>0</v>
      </c>
      <c r="AD202" s="170">
        <v>0</v>
      </c>
      <c r="AE202" s="170">
        <f t="shared" si="97"/>
        <v>0</v>
      </c>
    </row>
    <row r="203" spans="1:192" s="159" customFormat="1" ht="31.5" x14ac:dyDescent="0.25">
      <c r="A203" s="178" t="s">
        <v>385</v>
      </c>
      <c r="B203" s="168">
        <v>1</v>
      </c>
      <c r="C203" s="168">
        <v>239</v>
      </c>
      <c r="D203" s="168">
        <v>5203</v>
      </c>
      <c r="E203" s="170">
        <f t="shared" si="75"/>
        <v>0</v>
      </c>
      <c r="F203" s="170">
        <f t="shared" si="75"/>
        <v>0</v>
      </c>
      <c r="G203" s="170">
        <f t="shared" si="75"/>
        <v>0</v>
      </c>
      <c r="H203" s="170"/>
      <c r="I203" s="170"/>
      <c r="J203" s="170">
        <f t="shared" si="67"/>
        <v>0</v>
      </c>
      <c r="K203" s="170"/>
      <c r="L203" s="170"/>
      <c r="M203" s="170">
        <f t="shared" si="91"/>
        <v>0</v>
      </c>
      <c r="N203" s="170"/>
      <c r="O203" s="170"/>
      <c r="P203" s="170">
        <f t="shared" si="92"/>
        <v>0</v>
      </c>
      <c r="Q203" s="170"/>
      <c r="R203" s="170"/>
      <c r="S203" s="170">
        <f t="shared" si="93"/>
        <v>0</v>
      </c>
      <c r="T203" s="170">
        <f>1141-1141</f>
        <v>0</v>
      </c>
      <c r="U203" s="170">
        <f>1141-1141</f>
        <v>0</v>
      </c>
      <c r="V203" s="170">
        <f t="shared" si="94"/>
        <v>0</v>
      </c>
      <c r="W203" s="170"/>
      <c r="X203" s="170"/>
      <c r="Y203" s="170">
        <f t="shared" si="95"/>
        <v>0</v>
      </c>
      <c r="Z203" s="170"/>
      <c r="AA203" s="170"/>
      <c r="AB203" s="170">
        <f t="shared" si="96"/>
        <v>0</v>
      </c>
      <c r="AC203" s="170"/>
      <c r="AD203" s="170"/>
      <c r="AE203" s="170">
        <f t="shared" si="97"/>
        <v>0</v>
      </c>
    </row>
    <row r="204" spans="1:192" s="159" customFormat="1" x14ac:dyDescent="0.25">
      <c r="A204" s="157" t="s">
        <v>386</v>
      </c>
      <c r="B204" s="166"/>
      <c r="C204" s="166"/>
      <c r="D204" s="166"/>
      <c r="E204" s="158">
        <f t="shared" si="75"/>
        <v>337786</v>
      </c>
      <c r="F204" s="158">
        <f t="shared" si="75"/>
        <v>319877</v>
      </c>
      <c r="G204" s="158">
        <f t="shared" si="75"/>
        <v>-17909</v>
      </c>
      <c r="H204" s="158">
        <f t="shared" ref="H204:AD204" si="159">SUM(H205:H209)</f>
        <v>48481</v>
      </c>
      <c r="I204" s="158">
        <f t="shared" si="159"/>
        <v>48481</v>
      </c>
      <c r="J204" s="158">
        <f t="shared" si="67"/>
        <v>0</v>
      </c>
      <c r="K204" s="158">
        <f t="shared" ref="K204" si="160">SUM(K205:K209)</f>
        <v>0</v>
      </c>
      <c r="L204" s="158">
        <f t="shared" si="159"/>
        <v>0</v>
      </c>
      <c r="M204" s="158">
        <f t="shared" si="91"/>
        <v>0</v>
      </c>
      <c r="N204" s="158">
        <f t="shared" ref="N204" si="161">SUM(N205:N209)</f>
        <v>20704</v>
      </c>
      <c r="O204" s="158">
        <f t="shared" si="159"/>
        <v>2795</v>
      </c>
      <c r="P204" s="158">
        <f t="shared" si="92"/>
        <v>-17909</v>
      </c>
      <c r="Q204" s="158">
        <f t="shared" ref="Q204" si="162">SUM(Q205:Q209)</f>
        <v>0</v>
      </c>
      <c r="R204" s="158">
        <f t="shared" si="159"/>
        <v>0</v>
      </c>
      <c r="S204" s="158">
        <f t="shared" si="93"/>
        <v>0</v>
      </c>
      <c r="T204" s="158">
        <f t="shared" ref="T204" si="163">SUM(T205:T209)</f>
        <v>0</v>
      </c>
      <c r="U204" s="158">
        <f t="shared" si="159"/>
        <v>0</v>
      </c>
      <c r="V204" s="158">
        <f t="shared" si="94"/>
        <v>0</v>
      </c>
      <c r="W204" s="158">
        <f t="shared" ref="W204" si="164">SUM(W205:W209)</f>
        <v>268601</v>
      </c>
      <c r="X204" s="158">
        <f t="shared" si="159"/>
        <v>268601</v>
      </c>
      <c r="Y204" s="158">
        <f t="shared" si="95"/>
        <v>0</v>
      </c>
      <c r="Z204" s="158">
        <f t="shared" ref="Z204" si="165">SUM(Z205:Z209)</f>
        <v>0</v>
      </c>
      <c r="AA204" s="158">
        <f t="shared" si="159"/>
        <v>0</v>
      </c>
      <c r="AB204" s="158">
        <f t="shared" si="96"/>
        <v>0</v>
      </c>
      <c r="AC204" s="158">
        <f t="shared" ref="AC204" si="166">SUM(AC205:AC209)</f>
        <v>0</v>
      </c>
      <c r="AD204" s="158">
        <f t="shared" si="159"/>
        <v>0</v>
      </c>
      <c r="AE204" s="158">
        <f t="shared" si="97"/>
        <v>0</v>
      </c>
      <c r="AF204" s="156"/>
      <c r="AG204" s="156"/>
      <c r="AH204" s="156"/>
      <c r="AI204" s="156"/>
      <c r="AJ204" s="156"/>
      <c r="AK204" s="156"/>
      <c r="AL204" s="156"/>
      <c r="AM204" s="156"/>
      <c r="AN204" s="156"/>
      <c r="AO204" s="156"/>
      <c r="AP204" s="156"/>
      <c r="AQ204" s="156"/>
      <c r="AR204" s="156"/>
      <c r="AS204" s="156"/>
      <c r="AT204" s="156"/>
      <c r="AU204" s="156"/>
      <c r="AV204" s="156"/>
      <c r="AW204" s="156"/>
      <c r="AX204" s="156"/>
      <c r="AY204" s="156"/>
      <c r="AZ204" s="156"/>
      <c r="BA204" s="156"/>
      <c r="BB204" s="156"/>
      <c r="BC204" s="156"/>
      <c r="BD204" s="156"/>
      <c r="BE204" s="156"/>
      <c r="BF204" s="156"/>
      <c r="BG204" s="156"/>
      <c r="BH204" s="156"/>
      <c r="BI204" s="156"/>
      <c r="BJ204" s="156"/>
      <c r="BK204" s="156"/>
      <c r="BL204" s="156"/>
      <c r="BM204" s="156"/>
      <c r="BN204" s="156"/>
      <c r="BO204" s="156"/>
      <c r="BP204" s="156"/>
      <c r="BQ204" s="156"/>
      <c r="BR204" s="156"/>
      <c r="BS204" s="156"/>
      <c r="BT204" s="156"/>
      <c r="BU204" s="156"/>
      <c r="BV204" s="156"/>
      <c r="BW204" s="156"/>
      <c r="BX204" s="156"/>
      <c r="BY204" s="156"/>
      <c r="BZ204" s="156"/>
      <c r="CA204" s="156"/>
      <c r="CB204" s="156"/>
      <c r="CC204" s="156"/>
      <c r="CD204" s="156"/>
      <c r="CE204" s="156"/>
      <c r="CF204" s="156"/>
      <c r="CG204" s="156"/>
      <c r="CH204" s="156"/>
      <c r="CI204" s="156"/>
      <c r="CJ204" s="156"/>
      <c r="CK204" s="156"/>
      <c r="CL204" s="156"/>
      <c r="CM204" s="156"/>
      <c r="CN204" s="156"/>
      <c r="CO204" s="156"/>
      <c r="CP204" s="156"/>
      <c r="CQ204" s="156"/>
      <c r="CR204" s="156"/>
      <c r="CS204" s="156"/>
      <c r="CT204" s="156"/>
      <c r="CU204" s="156"/>
      <c r="CV204" s="156"/>
      <c r="CW204" s="156"/>
      <c r="CX204" s="156"/>
      <c r="CY204" s="156"/>
      <c r="CZ204" s="156"/>
      <c r="DA204" s="156"/>
      <c r="DB204" s="156"/>
      <c r="DC204" s="156"/>
      <c r="DD204" s="156"/>
      <c r="DE204" s="156"/>
      <c r="DF204" s="156"/>
      <c r="DG204" s="156"/>
      <c r="DH204" s="156"/>
      <c r="DI204" s="156"/>
      <c r="DJ204" s="156"/>
      <c r="DK204" s="156"/>
      <c r="DL204" s="156"/>
      <c r="DM204" s="156"/>
      <c r="DN204" s="156"/>
      <c r="DO204" s="156"/>
      <c r="DP204" s="156"/>
      <c r="DQ204" s="156"/>
      <c r="DR204" s="156"/>
      <c r="DS204" s="156"/>
      <c r="DT204" s="156"/>
      <c r="DU204" s="156"/>
      <c r="DV204" s="156"/>
      <c r="DW204" s="156"/>
      <c r="DX204" s="156"/>
      <c r="DY204" s="156"/>
      <c r="DZ204" s="156"/>
      <c r="EA204" s="156"/>
      <c r="EB204" s="156"/>
      <c r="EC204" s="156"/>
      <c r="ED204" s="156"/>
      <c r="EE204" s="156"/>
      <c r="EF204" s="156"/>
      <c r="EG204" s="156"/>
      <c r="EH204" s="156"/>
      <c r="EI204" s="156"/>
      <c r="EJ204" s="156"/>
      <c r="EK204" s="156"/>
      <c r="EL204" s="156"/>
      <c r="EM204" s="156"/>
      <c r="EN204" s="156"/>
      <c r="EO204" s="156"/>
      <c r="EP204" s="156"/>
      <c r="EQ204" s="156"/>
      <c r="ER204" s="156"/>
      <c r="ES204" s="156"/>
      <c r="ET204" s="156"/>
      <c r="EU204" s="156"/>
      <c r="EV204" s="156"/>
      <c r="EW204" s="156"/>
      <c r="EX204" s="156"/>
      <c r="EY204" s="156"/>
      <c r="EZ204" s="156"/>
      <c r="FA204" s="156"/>
      <c r="FB204" s="156"/>
      <c r="FC204" s="156"/>
      <c r="FD204" s="156"/>
      <c r="FE204" s="156"/>
      <c r="FF204" s="156"/>
      <c r="FG204" s="156"/>
      <c r="FH204" s="156"/>
      <c r="FI204" s="156"/>
      <c r="FJ204" s="156"/>
      <c r="FK204" s="156"/>
      <c r="FL204" s="156"/>
      <c r="FM204" s="156"/>
      <c r="FN204" s="156"/>
      <c r="FO204" s="156"/>
      <c r="FP204" s="156"/>
      <c r="FQ204" s="156"/>
      <c r="FR204" s="156"/>
      <c r="FS204" s="156"/>
      <c r="FT204" s="156"/>
      <c r="FU204" s="156"/>
      <c r="FV204" s="156"/>
      <c r="FW204" s="156"/>
      <c r="FX204" s="156"/>
      <c r="FY204" s="156"/>
      <c r="FZ204" s="156"/>
      <c r="GA204" s="156"/>
      <c r="GB204" s="156"/>
      <c r="GC204" s="156"/>
      <c r="GD204" s="156"/>
      <c r="GE204" s="156"/>
      <c r="GF204" s="156"/>
      <c r="GG204" s="156"/>
      <c r="GH204" s="156"/>
      <c r="GI204" s="156"/>
      <c r="GJ204" s="156"/>
    </row>
    <row r="205" spans="1:192" s="159" customFormat="1" ht="63" x14ac:dyDescent="0.25">
      <c r="A205" s="167" t="s">
        <v>387</v>
      </c>
      <c r="B205" s="168">
        <v>2</v>
      </c>
      <c r="C205" s="168">
        <v>283</v>
      </c>
      <c r="D205" s="169">
        <v>5206</v>
      </c>
      <c r="E205" s="170">
        <f t="shared" si="75"/>
        <v>0</v>
      </c>
      <c r="F205" s="170">
        <f t="shared" si="75"/>
        <v>0</v>
      </c>
      <c r="G205" s="170">
        <f t="shared" si="75"/>
        <v>0</v>
      </c>
      <c r="H205" s="170"/>
      <c r="I205" s="170"/>
      <c r="J205" s="170">
        <f t="shared" si="67"/>
        <v>0</v>
      </c>
      <c r="K205" s="170"/>
      <c r="L205" s="170"/>
      <c r="M205" s="170">
        <f t="shared" si="91"/>
        <v>0</v>
      </c>
      <c r="N205" s="170">
        <f>47000-47000</f>
        <v>0</v>
      </c>
      <c r="O205" s="170">
        <f>47000-47000</f>
        <v>0</v>
      </c>
      <c r="P205" s="170">
        <f t="shared" si="92"/>
        <v>0</v>
      </c>
      <c r="Q205" s="170"/>
      <c r="R205" s="170"/>
      <c r="S205" s="170">
        <f t="shared" si="93"/>
        <v>0</v>
      </c>
      <c r="T205" s="170"/>
      <c r="U205" s="170"/>
      <c r="V205" s="170">
        <f t="shared" si="94"/>
        <v>0</v>
      </c>
      <c r="W205" s="170"/>
      <c r="X205" s="170"/>
      <c r="Y205" s="170">
        <f t="shared" si="95"/>
        <v>0</v>
      </c>
      <c r="Z205" s="170"/>
      <c r="AA205" s="170"/>
      <c r="AB205" s="170">
        <f t="shared" si="96"/>
        <v>0</v>
      </c>
      <c r="AC205" s="170"/>
      <c r="AD205" s="170"/>
      <c r="AE205" s="170">
        <f t="shared" si="97"/>
        <v>0</v>
      </c>
    </row>
    <row r="206" spans="1:192" s="159" customFormat="1" ht="63" x14ac:dyDescent="0.25">
      <c r="A206" s="167" t="s">
        <v>388</v>
      </c>
      <c r="B206" s="168">
        <v>2</v>
      </c>
      <c r="C206" s="168">
        <v>283</v>
      </c>
      <c r="D206" s="169">
        <v>5206</v>
      </c>
      <c r="E206" s="170">
        <f t="shared" si="75"/>
        <v>19744</v>
      </c>
      <c r="F206" s="170">
        <f t="shared" si="75"/>
        <v>0</v>
      </c>
      <c r="G206" s="170">
        <f t="shared" si="75"/>
        <v>-19744</v>
      </c>
      <c r="H206" s="170"/>
      <c r="I206" s="170"/>
      <c r="J206" s="170">
        <f t="shared" si="67"/>
        <v>0</v>
      </c>
      <c r="K206" s="170"/>
      <c r="L206" s="170"/>
      <c r="M206" s="170">
        <f t="shared" si="91"/>
        <v>0</v>
      </c>
      <c r="N206" s="170">
        <v>19744</v>
      </c>
      <c r="O206" s="170">
        <f>19744-19744</f>
        <v>0</v>
      </c>
      <c r="P206" s="170">
        <f t="shared" si="92"/>
        <v>-19744</v>
      </c>
      <c r="Q206" s="170"/>
      <c r="R206" s="170"/>
      <c r="S206" s="170">
        <f t="shared" si="93"/>
        <v>0</v>
      </c>
      <c r="T206" s="170"/>
      <c r="U206" s="170"/>
      <c r="V206" s="170">
        <f t="shared" si="94"/>
        <v>0</v>
      </c>
      <c r="W206" s="170"/>
      <c r="X206" s="170"/>
      <c r="Y206" s="170">
        <f t="shared" si="95"/>
        <v>0</v>
      </c>
      <c r="Z206" s="170"/>
      <c r="AA206" s="170"/>
      <c r="AB206" s="170">
        <f t="shared" si="96"/>
        <v>0</v>
      </c>
      <c r="AC206" s="170"/>
      <c r="AD206" s="170"/>
      <c r="AE206" s="170">
        <f t="shared" si="97"/>
        <v>0</v>
      </c>
    </row>
    <row r="207" spans="1:192" s="159" customFormat="1" ht="63" x14ac:dyDescent="0.25">
      <c r="A207" s="167" t="s">
        <v>389</v>
      </c>
      <c r="B207" s="168">
        <v>1</v>
      </c>
      <c r="C207" s="168">
        <v>284</v>
      </c>
      <c r="D207" s="168">
        <v>5206</v>
      </c>
      <c r="E207" s="170">
        <f t="shared" si="75"/>
        <v>233694</v>
      </c>
      <c r="F207" s="170">
        <f t="shared" si="75"/>
        <v>233696</v>
      </c>
      <c r="G207" s="170">
        <f t="shared" si="75"/>
        <v>2</v>
      </c>
      <c r="H207" s="170">
        <f>48476+5</f>
        <v>48481</v>
      </c>
      <c r="I207" s="170">
        <f>48476+5</f>
        <v>48481</v>
      </c>
      <c r="J207" s="170">
        <f t="shared" si="67"/>
        <v>0</v>
      </c>
      <c r="K207" s="170"/>
      <c r="L207" s="170"/>
      <c r="M207" s="170">
        <f t="shared" si="91"/>
        <v>0</v>
      </c>
      <c r="N207" s="170">
        <v>960</v>
      </c>
      <c r="O207" s="170">
        <f>960+2</f>
        <v>962</v>
      </c>
      <c r="P207" s="170">
        <f t="shared" si="92"/>
        <v>2</v>
      </c>
      <c r="Q207" s="170"/>
      <c r="R207" s="170"/>
      <c r="S207" s="170">
        <f t="shared" si="93"/>
        <v>0</v>
      </c>
      <c r="T207" s="170"/>
      <c r="U207" s="170"/>
      <c r="V207" s="170">
        <f t="shared" si="94"/>
        <v>0</v>
      </c>
      <c r="W207" s="170">
        <v>184253</v>
      </c>
      <c r="X207" s="170">
        <v>184253</v>
      </c>
      <c r="Y207" s="170">
        <f t="shared" si="95"/>
        <v>0</v>
      </c>
      <c r="Z207" s="170"/>
      <c r="AA207" s="170"/>
      <c r="AB207" s="170">
        <f t="shared" si="96"/>
        <v>0</v>
      </c>
      <c r="AC207" s="170"/>
      <c r="AD207" s="170"/>
      <c r="AE207" s="170">
        <f t="shared" si="97"/>
        <v>0</v>
      </c>
    </row>
    <row r="208" spans="1:192" s="159" customFormat="1" ht="31.5" x14ac:dyDescent="0.25">
      <c r="A208" s="167" t="s">
        <v>390</v>
      </c>
      <c r="B208" s="168">
        <v>1</v>
      </c>
      <c r="C208" s="168">
        <v>284</v>
      </c>
      <c r="D208" s="168">
        <v>5206</v>
      </c>
      <c r="E208" s="170">
        <f t="shared" si="75"/>
        <v>11886</v>
      </c>
      <c r="F208" s="170">
        <f t="shared" si="75"/>
        <v>12425</v>
      </c>
      <c r="G208" s="170">
        <f t="shared" si="75"/>
        <v>539</v>
      </c>
      <c r="H208" s="170"/>
      <c r="I208" s="170"/>
      <c r="J208" s="170">
        <f t="shared" si="67"/>
        <v>0</v>
      </c>
      <c r="K208" s="170"/>
      <c r="L208" s="170"/>
      <c r="M208" s="170">
        <f t="shared" si="91"/>
        <v>0</v>
      </c>
      <c r="N208" s="170"/>
      <c r="O208" s="170">
        <v>539</v>
      </c>
      <c r="P208" s="170">
        <f t="shared" si="92"/>
        <v>539</v>
      </c>
      <c r="Q208" s="170"/>
      <c r="R208" s="170"/>
      <c r="S208" s="170">
        <f t="shared" si="93"/>
        <v>0</v>
      </c>
      <c r="T208" s="170"/>
      <c r="U208" s="170"/>
      <c r="V208" s="170">
        <f t="shared" si="94"/>
        <v>0</v>
      </c>
      <c r="W208" s="170">
        <v>11886</v>
      </c>
      <c r="X208" s="170">
        <v>11886</v>
      </c>
      <c r="Y208" s="170">
        <f t="shared" si="95"/>
        <v>0</v>
      </c>
      <c r="Z208" s="170"/>
      <c r="AA208" s="170"/>
      <c r="AB208" s="170">
        <f t="shared" si="96"/>
        <v>0</v>
      </c>
      <c r="AC208" s="170"/>
      <c r="AD208" s="170"/>
      <c r="AE208" s="170">
        <f t="shared" si="97"/>
        <v>0</v>
      </c>
    </row>
    <row r="209" spans="1:192" s="159" customFormat="1" ht="31.5" x14ac:dyDescent="0.25">
      <c r="A209" s="167" t="s">
        <v>391</v>
      </c>
      <c r="B209" s="168">
        <v>1</v>
      </c>
      <c r="C209" s="168">
        <v>284</v>
      </c>
      <c r="D209" s="168">
        <v>5206</v>
      </c>
      <c r="E209" s="170">
        <f t="shared" si="75"/>
        <v>72462</v>
      </c>
      <c r="F209" s="170">
        <f t="shared" si="75"/>
        <v>73756</v>
      </c>
      <c r="G209" s="170">
        <f t="shared" si="75"/>
        <v>1294</v>
      </c>
      <c r="H209" s="170"/>
      <c r="I209" s="170"/>
      <c r="J209" s="170">
        <f t="shared" si="67"/>
        <v>0</v>
      </c>
      <c r="K209" s="170"/>
      <c r="L209" s="170"/>
      <c r="M209" s="170">
        <f t="shared" si="91"/>
        <v>0</v>
      </c>
      <c r="N209" s="170">
        <v>0</v>
      </c>
      <c r="O209" s="170">
        <v>1294</v>
      </c>
      <c r="P209" s="170">
        <f t="shared" si="92"/>
        <v>1294</v>
      </c>
      <c r="Q209" s="170"/>
      <c r="R209" s="170"/>
      <c r="S209" s="170">
        <f t="shared" si="93"/>
        <v>0</v>
      </c>
      <c r="T209" s="170"/>
      <c r="U209" s="170"/>
      <c r="V209" s="170">
        <f t="shared" si="94"/>
        <v>0</v>
      </c>
      <c r="W209" s="170">
        <v>72462</v>
      </c>
      <c r="X209" s="170">
        <v>72462</v>
      </c>
      <c r="Y209" s="170">
        <f t="shared" si="95"/>
        <v>0</v>
      </c>
      <c r="Z209" s="170"/>
      <c r="AA209" s="170"/>
      <c r="AB209" s="170">
        <f t="shared" si="96"/>
        <v>0</v>
      </c>
      <c r="AC209" s="170"/>
      <c r="AD209" s="170"/>
      <c r="AE209" s="170">
        <f t="shared" si="97"/>
        <v>0</v>
      </c>
    </row>
    <row r="210" spans="1:192" s="159" customFormat="1" x14ac:dyDescent="0.25">
      <c r="A210" s="157" t="s">
        <v>243</v>
      </c>
      <c r="B210" s="166"/>
      <c r="C210" s="166"/>
      <c r="D210" s="166"/>
      <c r="E210" s="158">
        <f t="shared" si="75"/>
        <v>4902965</v>
      </c>
      <c r="F210" s="158">
        <f t="shared" si="75"/>
        <v>1950252</v>
      </c>
      <c r="G210" s="158">
        <f t="shared" si="75"/>
        <v>-2952713</v>
      </c>
      <c r="H210" s="158">
        <f>SUM(H211,H239,H257,H235)</f>
        <v>235276</v>
      </c>
      <c r="I210" s="158">
        <f>SUM(I211,I239,I257,I235)</f>
        <v>235276</v>
      </c>
      <c r="J210" s="158">
        <f t="shared" si="67"/>
        <v>0</v>
      </c>
      <c r="K210" s="158">
        <f>SUM(K211,K239,K257,K235)</f>
        <v>0</v>
      </c>
      <c r="L210" s="158">
        <f>SUM(L211,L239,L257,L235)</f>
        <v>0</v>
      </c>
      <c r="M210" s="158">
        <f t="shared" si="91"/>
        <v>0</v>
      </c>
      <c r="N210" s="158">
        <f>SUM(N211,N239,N257,N235)</f>
        <v>185746</v>
      </c>
      <c r="O210" s="158">
        <f>SUM(O211,O239,O257,O235)</f>
        <v>201633</v>
      </c>
      <c r="P210" s="158">
        <f t="shared" si="92"/>
        <v>15887</v>
      </c>
      <c r="Q210" s="158">
        <f>SUM(Q211,Q239,Q257,Q235)</f>
        <v>7601</v>
      </c>
      <c r="R210" s="158">
        <f>SUM(R211,R239,R257,R235)</f>
        <v>10699</v>
      </c>
      <c r="S210" s="158">
        <f t="shared" si="93"/>
        <v>3098</v>
      </c>
      <c r="T210" s="158">
        <f>SUM(T211,T239,T257,T235)</f>
        <v>271173</v>
      </c>
      <c r="U210" s="158">
        <f>SUM(U211,U239,U257,U235)</f>
        <v>271075</v>
      </c>
      <c r="V210" s="158">
        <f t="shared" si="94"/>
        <v>-98</v>
      </c>
      <c r="W210" s="158">
        <f>SUM(W211,W239,W257,W235)</f>
        <v>390208</v>
      </c>
      <c r="X210" s="158">
        <f>SUM(X211,X239,X257,X235)</f>
        <v>390208</v>
      </c>
      <c r="Y210" s="158">
        <f t="shared" si="95"/>
        <v>0</v>
      </c>
      <c r="Z210" s="158">
        <f>SUM(Z211,Z239,Z257,Z235)</f>
        <v>841361</v>
      </c>
      <c r="AA210" s="158">
        <f>SUM(AA211,AA239,AA257,AA235)</f>
        <v>841361</v>
      </c>
      <c r="AB210" s="158">
        <f t="shared" si="96"/>
        <v>0</v>
      </c>
      <c r="AC210" s="158">
        <f>SUM(AC211,AC239,AC257,AC235)</f>
        <v>2971600</v>
      </c>
      <c r="AD210" s="158">
        <f>SUM(AD211,AD239,AD257,AD235)</f>
        <v>0</v>
      </c>
      <c r="AE210" s="158">
        <f t="shared" si="97"/>
        <v>-2971600</v>
      </c>
    </row>
    <row r="211" spans="1:192" s="159" customFormat="1" x14ac:dyDescent="0.25">
      <c r="A211" s="157" t="s">
        <v>364</v>
      </c>
      <c r="B211" s="166"/>
      <c r="C211" s="166"/>
      <c r="D211" s="166"/>
      <c r="E211" s="158">
        <f t="shared" si="75"/>
        <v>338058</v>
      </c>
      <c r="F211" s="158">
        <f t="shared" si="75"/>
        <v>345006</v>
      </c>
      <c r="G211" s="158">
        <f t="shared" si="75"/>
        <v>6948</v>
      </c>
      <c r="H211" s="158">
        <f>SUM(H212:H234)</f>
        <v>0</v>
      </c>
      <c r="I211" s="158">
        <f>SUM(I212:I234)</f>
        <v>0</v>
      </c>
      <c r="J211" s="158">
        <f t="shared" si="67"/>
        <v>0</v>
      </c>
      <c r="K211" s="158">
        <f>SUM(K212:K234)</f>
        <v>0</v>
      </c>
      <c r="L211" s="158">
        <f>SUM(L212:L234)</f>
        <v>0</v>
      </c>
      <c r="M211" s="158">
        <f t="shared" si="91"/>
        <v>0</v>
      </c>
      <c r="N211" s="158">
        <f>SUM(N212:N234)</f>
        <v>58386</v>
      </c>
      <c r="O211" s="158">
        <f>SUM(O212:O234)</f>
        <v>64234</v>
      </c>
      <c r="P211" s="158">
        <f t="shared" si="92"/>
        <v>5848</v>
      </c>
      <c r="Q211" s="158">
        <f>SUM(Q212:Q234)</f>
        <v>5938</v>
      </c>
      <c r="R211" s="158">
        <f>SUM(R212:R234)</f>
        <v>7136</v>
      </c>
      <c r="S211" s="158">
        <f t="shared" si="93"/>
        <v>1198</v>
      </c>
      <c r="T211" s="158">
        <f>SUM(T212:T234)</f>
        <v>218968</v>
      </c>
      <c r="U211" s="158">
        <f>SUM(U212:U234)</f>
        <v>218870</v>
      </c>
      <c r="V211" s="158">
        <f t="shared" si="94"/>
        <v>-98</v>
      </c>
      <c r="W211" s="158">
        <f>SUM(W212:W234)</f>
        <v>26016</v>
      </c>
      <c r="X211" s="158">
        <f>SUM(X212:X234)</f>
        <v>26016</v>
      </c>
      <c r="Y211" s="158">
        <f t="shared" si="95"/>
        <v>0</v>
      </c>
      <c r="Z211" s="158">
        <f>SUM(Z212:Z234)</f>
        <v>28750</v>
      </c>
      <c r="AA211" s="158">
        <f>SUM(AA212:AA234)</f>
        <v>28750</v>
      </c>
      <c r="AB211" s="158">
        <f t="shared" si="96"/>
        <v>0</v>
      </c>
      <c r="AC211" s="158">
        <f>SUM(AC212:AC234)</f>
        <v>0</v>
      </c>
      <c r="AD211" s="158">
        <f>SUM(AD212:AD234)</f>
        <v>0</v>
      </c>
      <c r="AE211" s="158">
        <f t="shared" si="97"/>
        <v>0</v>
      </c>
    </row>
    <row r="212" spans="1:192" s="156" customFormat="1" ht="47.25" x14ac:dyDescent="0.25">
      <c r="A212" s="167" t="s">
        <v>392</v>
      </c>
      <c r="B212" s="168">
        <v>1</v>
      </c>
      <c r="C212" s="168">
        <v>322</v>
      </c>
      <c r="D212" s="168">
        <v>5201</v>
      </c>
      <c r="E212" s="170">
        <f t="shared" si="75"/>
        <v>26016</v>
      </c>
      <c r="F212" s="170">
        <f t="shared" si="75"/>
        <v>26016</v>
      </c>
      <c r="G212" s="170">
        <f t="shared" si="75"/>
        <v>0</v>
      </c>
      <c r="H212" s="170"/>
      <c r="I212" s="170"/>
      <c r="J212" s="170">
        <f t="shared" si="67"/>
        <v>0</v>
      </c>
      <c r="K212" s="170"/>
      <c r="L212" s="170"/>
      <c r="M212" s="170">
        <f t="shared" si="91"/>
        <v>0</v>
      </c>
      <c r="N212" s="170"/>
      <c r="O212" s="170"/>
      <c r="P212" s="170">
        <f t="shared" si="92"/>
        <v>0</v>
      </c>
      <c r="Q212" s="170"/>
      <c r="R212" s="170"/>
      <c r="S212" s="170">
        <f t="shared" si="93"/>
        <v>0</v>
      </c>
      <c r="T212" s="170"/>
      <c r="U212" s="170"/>
      <c r="V212" s="170">
        <f t="shared" si="94"/>
        <v>0</v>
      </c>
      <c r="W212" s="170">
        <f>26016</f>
        <v>26016</v>
      </c>
      <c r="X212" s="170">
        <f>26016</f>
        <v>26016</v>
      </c>
      <c r="Y212" s="170">
        <f t="shared" si="95"/>
        <v>0</v>
      </c>
      <c r="Z212" s="170"/>
      <c r="AA212" s="170"/>
      <c r="AB212" s="170">
        <f t="shared" si="96"/>
        <v>0</v>
      </c>
      <c r="AC212" s="170"/>
      <c r="AD212" s="170"/>
      <c r="AE212" s="170">
        <f t="shared" si="97"/>
        <v>0</v>
      </c>
      <c r="AF212" s="159"/>
      <c r="AG212" s="159"/>
      <c r="AH212" s="159"/>
      <c r="AI212" s="159"/>
      <c r="AJ212" s="159"/>
      <c r="AK212" s="159"/>
      <c r="AL212" s="159"/>
      <c r="AM212" s="159"/>
      <c r="AN212" s="159"/>
      <c r="AO212" s="159"/>
      <c r="AP212" s="159"/>
      <c r="AQ212" s="159"/>
      <c r="AR212" s="159"/>
      <c r="AS212" s="159"/>
      <c r="AT212" s="159"/>
      <c r="AU212" s="159"/>
      <c r="AV212" s="159"/>
      <c r="AW212" s="159"/>
      <c r="AX212" s="159"/>
      <c r="AY212" s="159"/>
      <c r="AZ212" s="159"/>
      <c r="BA212" s="159"/>
      <c r="BB212" s="159"/>
      <c r="BC212" s="159"/>
      <c r="BD212" s="159"/>
      <c r="BE212" s="159"/>
      <c r="BF212" s="159"/>
      <c r="BG212" s="159"/>
      <c r="BH212" s="159"/>
      <c r="BI212" s="159"/>
      <c r="BJ212" s="159"/>
      <c r="BK212" s="159"/>
      <c r="BL212" s="159"/>
      <c r="BM212" s="159"/>
      <c r="BN212" s="159"/>
      <c r="BO212" s="159"/>
      <c r="BP212" s="159"/>
      <c r="BQ212" s="159"/>
      <c r="BR212" s="159"/>
      <c r="BS212" s="159"/>
      <c r="BT212" s="159"/>
      <c r="BU212" s="159"/>
      <c r="BV212" s="159"/>
      <c r="BW212" s="159"/>
      <c r="BX212" s="159"/>
      <c r="BY212" s="159"/>
      <c r="BZ212" s="159"/>
      <c r="CA212" s="159"/>
      <c r="CB212" s="159"/>
      <c r="CC212" s="159"/>
      <c r="CD212" s="159"/>
      <c r="CE212" s="159"/>
      <c r="CF212" s="159"/>
      <c r="CG212" s="159"/>
      <c r="CH212" s="159"/>
      <c r="CI212" s="159"/>
      <c r="CJ212" s="159"/>
      <c r="CK212" s="159"/>
      <c r="CL212" s="159"/>
      <c r="CM212" s="159"/>
      <c r="CN212" s="159"/>
      <c r="CO212" s="159"/>
      <c r="CP212" s="159"/>
      <c r="CQ212" s="159"/>
      <c r="CR212" s="159"/>
      <c r="CS212" s="159"/>
      <c r="CT212" s="159"/>
      <c r="CU212" s="159"/>
      <c r="CV212" s="159"/>
      <c r="CW212" s="159"/>
      <c r="CX212" s="159"/>
      <c r="CY212" s="159"/>
      <c r="CZ212" s="159"/>
      <c r="DA212" s="159"/>
      <c r="DB212" s="159"/>
      <c r="DC212" s="159"/>
      <c r="DD212" s="159"/>
      <c r="DE212" s="159"/>
      <c r="DF212" s="159"/>
      <c r="DG212" s="159"/>
      <c r="DH212" s="159"/>
      <c r="DI212" s="159"/>
      <c r="DJ212" s="159"/>
      <c r="DK212" s="159"/>
      <c r="DL212" s="159"/>
      <c r="DM212" s="159"/>
      <c r="DN212" s="159"/>
      <c r="DO212" s="159"/>
      <c r="DP212" s="159"/>
      <c r="DQ212" s="159"/>
      <c r="DR212" s="159"/>
      <c r="DS212" s="159"/>
      <c r="DT212" s="159"/>
      <c r="DU212" s="159"/>
      <c r="DV212" s="159"/>
      <c r="DW212" s="159"/>
      <c r="DX212" s="159"/>
      <c r="DY212" s="159"/>
      <c r="DZ212" s="159"/>
      <c r="EA212" s="159"/>
      <c r="EB212" s="159"/>
      <c r="EC212" s="159"/>
      <c r="ED212" s="159"/>
      <c r="EE212" s="159"/>
      <c r="EF212" s="159"/>
      <c r="EG212" s="159"/>
      <c r="EH212" s="159"/>
      <c r="EI212" s="159"/>
      <c r="EJ212" s="159"/>
      <c r="EK212" s="159"/>
      <c r="EL212" s="159"/>
      <c r="EM212" s="159"/>
      <c r="EN212" s="159"/>
      <c r="EO212" s="159"/>
      <c r="EP212" s="159"/>
      <c r="EQ212" s="159"/>
      <c r="ER212" s="159"/>
      <c r="ES212" s="159"/>
      <c r="ET212" s="159"/>
      <c r="EU212" s="159"/>
      <c r="EV212" s="159"/>
      <c r="EW212" s="159"/>
      <c r="EX212" s="159"/>
      <c r="EY212" s="159"/>
      <c r="EZ212" s="159"/>
      <c r="FA212" s="159"/>
      <c r="FB212" s="159"/>
      <c r="FC212" s="159"/>
      <c r="FD212" s="159"/>
      <c r="FE212" s="159"/>
      <c r="FF212" s="159"/>
      <c r="FG212" s="159"/>
      <c r="FH212" s="159"/>
      <c r="FI212" s="159"/>
      <c r="FJ212" s="159"/>
      <c r="FK212" s="159"/>
      <c r="FL212" s="159"/>
      <c r="FM212" s="159"/>
      <c r="FN212" s="159"/>
      <c r="FO212" s="159"/>
      <c r="FP212" s="159"/>
      <c r="FQ212" s="159"/>
      <c r="FR212" s="159"/>
      <c r="FS212" s="159"/>
      <c r="FT212" s="159"/>
      <c r="FU212" s="159"/>
      <c r="FV212" s="159"/>
      <c r="FW212" s="159"/>
      <c r="FX212" s="159"/>
      <c r="FY212" s="159"/>
      <c r="FZ212" s="159"/>
      <c r="GA212" s="159"/>
      <c r="GB212" s="159"/>
      <c r="GC212" s="159"/>
      <c r="GD212" s="159"/>
      <c r="GE212" s="159"/>
      <c r="GF212" s="159"/>
      <c r="GG212" s="159"/>
      <c r="GH212" s="159"/>
      <c r="GI212" s="159"/>
      <c r="GJ212" s="159"/>
    </row>
    <row r="213" spans="1:192" s="156" customFormat="1" ht="31.5" x14ac:dyDescent="0.25">
      <c r="A213" s="167" t="s">
        <v>393</v>
      </c>
      <c r="B213" s="168">
        <v>1</v>
      </c>
      <c r="C213" s="168">
        <v>322</v>
      </c>
      <c r="D213" s="168">
        <v>5201</v>
      </c>
      <c r="E213" s="170">
        <f t="shared" si="75"/>
        <v>20188</v>
      </c>
      <c r="F213" s="170">
        <f t="shared" si="75"/>
        <v>20188</v>
      </c>
      <c r="G213" s="170">
        <f t="shared" si="75"/>
        <v>0</v>
      </c>
      <c r="H213" s="170"/>
      <c r="I213" s="170"/>
      <c r="J213" s="170">
        <f t="shared" si="67"/>
        <v>0</v>
      </c>
      <c r="K213" s="170"/>
      <c r="L213" s="170"/>
      <c r="M213" s="170">
        <f t="shared" si="91"/>
        <v>0</v>
      </c>
      <c r="N213" s="170">
        <f>8340+9240+1408+1200</f>
        <v>20188</v>
      </c>
      <c r="O213" s="170">
        <f>8340+9240+1408+1200</f>
        <v>20188</v>
      </c>
      <c r="P213" s="170">
        <f t="shared" si="92"/>
        <v>0</v>
      </c>
      <c r="Q213" s="170"/>
      <c r="R213" s="170"/>
      <c r="S213" s="170">
        <f t="shared" si="93"/>
        <v>0</v>
      </c>
      <c r="T213" s="170"/>
      <c r="U213" s="170"/>
      <c r="V213" s="170">
        <f t="shared" si="94"/>
        <v>0</v>
      </c>
      <c r="W213" s="170"/>
      <c r="X213" s="170"/>
      <c r="Y213" s="170">
        <f t="shared" si="95"/>
        <v>0</v>
      </c>
      <c r="Z213" s="170"/>
      <c r="AA213" s="170"/>
      <c r="AB213" s="170">
        <f t="shared" si="96"/>
        <v>0</v>
      </c>
      <c r="AC213" s="170"/>
      <c r="AD213" s="170"/>
      <c r="AE213" s="170">
        <f t="shared" si="97"/>
        <v>0</v>
      </c>
      <c r="AF213" s="159"/>
      <c r="AG213" s="159"/>
      <c r="AH213" s="159"/>
      <c r="AI213" s="159"/>
      <c r="AJ213" s="159"/>
      <c r="AK213" s="159"/>
      <c r="AL213" s="159"/>
      <c r="AM213" s="159"/>
      <c r="AN213" s="159"/>
      <c r="AO213" s="159"/>
      <c r="AP213" s="159"/>
      <c r="AQ213" s="159"/>
      <c r="AR213" s="159"/>
      <c r="AS213" s="159"/>
      <c r="AT213" s="159"/>
      <c r="AU213" s="159"/>
      <c r="AV213" s="159"/>
      <c r="AW213" s="159"/>
      <c r="AX213" s="159"/>
      <c r="AY213" s="159"/>
      <c r="AZ213" s="159"/>
      <c r="BA213" s="159"/>
      <c r="BB213" s="159"/>
      <c r="BC213" s="159"/>
      <c r="BD213" s="159"/>
      <c r="BE213" s="159"/>
      <c r="BF213" s="159"/>
      <c r="BG213" s="159"/>
      <c r="BH213" s="159"/>
      <c r="BI213" s="159"/>
      <c r="BJ213" s="159"/>
      <c r="BK213" s="159"/>
      <c r="BL213" s="159"/>
      <c r="BM213" s="159"/>
      <c r="BN213" s="159"/>
      <c r="BO213" s="159"/>
      <c r="BP213" s="159"/>
      <c r="BQ213" s="159"/>
      <c r="BR213" s="159"/>
      <c r="BS213" s="159"/>
      <c r="BT213" s="159"/>
      <c r="BU213" s="159"/>
      <c r="BV213" s="159"/>
      <c r="BW213" s="159"/>
      <c r="BX213" s="159"/>
      <c r="BY213" s="159"/>
      <c r="BZ213" s="159"/>
      <c r="CA213" s="159"/>
      <c r="CB213" s="159"/>
      <c r="CC213" s="159"/>
      <c r="CD213" s="159"/>
      <c r="CE213" s="159"/>
      <c r="CF213" s="159"/>
      <c r="CG213" s="159"/>
      <c r="CH213" s="159"/>
      <c r="CI213" s="159"/>
      <c r="CJ213" s="159"/>
      <c r="CK213" s="159"/>
      <c r="CL213" s="159"/>
      <c r="CM213" s="159"/>
      <c r="CN213" s="159"/>
      <c r="CO213" s="159"/>
      <c r="CP213" s="159"/>
      <c r="CQ213" s="159"/>
      <c r="CR213" s="159"/>
      <c r="CS213" s="159"/>
      <c r="CT213" s="159"/>
      <c r="CU213" s="159"/>
      <c r="CV213" s="159"/>
      <c r="CW213" s="159"/>
      <c r="CX213" s="159"/>
      <c r="CY213" s="159"/>
      <c r="CZ213" s="159"/>
      <c r="DA213" s="159"/>
      <c r="DB213" s="159"/>
      <c r="DC213" s="159"/>
      <c r="DD213" s="159"/>
      <c r="DE213" s="159"/>
      <c r="DF213" s="159"/>
      <c r="DG213" s="159"/>
      <c r="DH213" s="159"/>
      <c r="DI213" s="159"/>
      <c r="DJ213" s="159"/>
      <c r="DK213" s="159"/>
      <c r="DL213" s="159"/>
      <c r="DM213" s="159"/>
      <c r="DN213" s="159"/>
      <c r="DO213" s="159"/>
      <c r="DP213" s="159"/>
      <c r="DQ213" s="159"/>
      <c r="DR213" s="159"/>
      <c r="DS213" s="159"/>
      <c r="DT213" s="159"/>
      <c r="DU213" s="159"/>
      <c r="DV213" s="159"/>
      <c r="DW213" s="159"/>
      <c r="DX213" s="159"/>
      <c r="DY213" s="159"/>
      <c r="DZ213" s="159"/>
      <c r="EA213" s="159"/>
      <c r="EB213" s="159"/>
      <c r="EC213" s="159"/>
      <c r="ED213" s="159"/>
      <c r="EE213" s="159"/>
      <c r="EF213" s="159"/>
      <c r="EG213" s="159"/>
      <c r="EH213" s="159"/>
      <c r="EI213" s="159"/>
      <c r="EJ213" s="159"/>
      <c r="EK213" s="159"/>
      <c r="EL213" s="159"/>
      <c r="EM213" s="159"/>
      <c r="EN213" s="159"/>
      <c r="EO213" s="159"/>
      <c r="EP213" s="159"/>
      <c r="EQ213" s="159"/>
      <c r="ER213" s="159"/>
      <c r="ES213" s="159"/>
      <c r="ET213" s="159"/>
      <c r="EU213" s="159"/>
      <c r="EV213" s="159"/>
      <c r="EW213" s="159"/>
      <c r="EX213" s="159"/>
      <c r="EY213" s="159"/>
      <c r="EZ213" s="159"/>
      <c r="FA213" s="159"/>
      <c r="FB213" s="159"/>
      <c r="FC213" s="159"/>
      <c r="FD213" s="159"/>
      <c r="FE213" s="159"/>
      <c r="FF213" s="159"/>
      <c r="FG213" s="159"/>
      <c r="FH213" s="159"/>
      <c r="FI213" s="159"/>
      <c r="FJ213" s="159"/>
      <c r="FK213" s="159"/>
      <c r="FL213" s="159"/>
      <c r="FM213" s="159"/>
      <c r="FN213" s="159"/>
      <c r="FO213" s="159"/>
      <c r="FP213" s="159"/>
      <c r="FQ213" s="159"/>
      <c r="FR213" s="159"/>
      <c r="FS213" s="159"/>
      <c r="FT213" s="159"/>
      <c r="FU213" s="159"/>
      <c r="FV213" s="159"/>
      <c r="FW213" s="159"/>
      <c r="FX213" s="159"/>
      <c r="FY213" s="159"/>
      <c r="FZ213" s="159"/>
      <c r="GA213" s="159"/>
      <c r="GB213" s="159"/>
      <c r="GC213" s="159"/>
      <c r="GD213" s="159"/>
      <c r="GE213" s="159"/>
      <c r="GF213" s="159"/>
      <c r="GG213" s="159"/>
      <c r="GH213" s="159"/>
      <c r="GI213" s="159"/>
      <c r="GJ213" s="159"/>
    </row>
    <row r="214" spans="1:192" s="156" customFormat="1" x14ac:dyDescent="0.25">
      <c r="A214" s="167" t="s">
        <v>394</v>
      </c>
      <c r="B214" s="168">
        <v>1</v>
      </c>
      <c r="C214" s="168">
        <v>322</v>
      </c>
      <c r="D214" s="168">
        <v>5201</v>
      </c>
      <c r="E214" s="170">
        <f t="shared" si="75"/>
        <v>0</v>
      </c>
      <c r="F214" s="170">
        <f t="shared" si="75"/>
        <v>1565</v>
      </c>
      <c r="G214" s="170">
        <f t="shared" si="75"/>
        <v>1565</v>
      </c>
      <c r="H214" s="170"/>
      <c r="I214" s="170"/>
      <c r="J214" s="170">
        <f t="shared" si="67"/>
        <v>0</v>
      </c>
      <c r="K214" s="170"/>
      <c r="L214" s="170"/>
      <c r="M214" s="170">
        <f t="shared" si="91"/>
        <v>0</v>
      </c>
      <c r="N214" s="170"/>
      <c r="O214" s="170">
        <v>1565</v>
      </c>
      <c r="P214" s="170">
        <f t="shared" si="92"/>
        <v>1565</v>
      </c>
      <c r="Q214" s="170"/>
      <c r="R214" s="170"/>
      <c r="S214" s="170">
        <f t="shared" si="93"/>
        <v>0</v>
      </c>
      <c r="T214" s="170"/>
      <c r="U214" s="170"/>
      <c r="V214" s="170">
        <f t="shared" si="94"/>
        <v>0</v>
      </c>
      <c r="W214" s="170"/>
      <c r="X214" s="170"/>
      <c r="Y214" s="170">
        <f t="shared" si="95"/>
        <v>0</v>
      </c>
      <c r="Z214" s="170"/>
      <c r="AA214" s="170"/>
      <c r="AB214" s="170">
        <f t="shared" si="96"/>
        <v>0</v>
      </c>
      <c r="AC214" s="170"/>
      <c r="AD214" s="170"/>
      <c r="AE214" s="170">
        <f t="shared" si="97"/>
        <v>0</v>
      </c>
      <c r="AF214" s="159"/>
      <c r="AG214" s="159"/>
      <c r="AH214" s="159"/>
      <c r="AI214" s="159"/>
      <c r="AJ214" s="159"/>
      <c r="AK214" s="159"/>
      <c r="AL214" s="159"/>
      <c r="AM214" s="159"/>
      <c r="AN214" s="159"/>
      <c r="AO214" s="159"/>
      <c r="AP214" s="159"/>
      <c r="AQ214" s="159"/>
      <c r="AR214" s="159"/>
      <c r="AS214" s="159"/>
      <c r="AT214" s="159"/>
      <c r="AU214" s="159"/>
      <c r="AV214" s="159"/>
      <c r="AW214" s="159"/>
      <c r="AX214" s="159"/>
      <c r="AY214" s="159"/>
      <c r="AZ214" s="159"/>
      <c r="BA214" s="159"/>
      <c r="BB214" s="159"/>
      <c r="BC214" s="159"/>
      <c r="BD214" s="159"/>
      <c r="BE214" s="159"/>
      <c r="BF214" s="159"/>
      <c r="BG214" s="159"/>
      <c r="BH214" s="159"/>
      <c r="BI214" s="159"/>
      <c r="BJ214" s="159"/>
      <c r="BK214" s="159"/>
      <c r="BL214" s="159"/>
      <c r="BM214" s="159"/>
      <c r="BN214" s="159"/>
      <c r="BO214" s="159"/>
      <c r="BP214" s="159"/>
      <c r="BQ214" s="159"/>
      <c r="BR214" s="159"/>
      <c r="BS214" s="159"/>
      <c r="BT214" s="159"/>
      <c r="BU214" s="159"/>
      <c r="BV214" s="159"/>
      <c r="BW214" s="159"/>
      <c r="BX214" s="159"/>
      <c r="BY214" s="159"/>
      <c r="BZ214" s="159"/>
      <c r="CA214" s="159"/>
      <c r="CB214" s="159"/>
      <c r="CC214" s="159"/>
      <c r="CD214" s="159"/>
      <c r="CE214" s="159"/>
      <c r="CF214" s="159"/>
      <c r="CG214" s="159"/>
      <c r="CH214" s="159"/>
      <c r="CI214" s="159"/>
      <c r="CJ214" s="159"/>
      <c r="CK214" s="159"/>
      <c r="CL214" s="159"/>
      <c r="CM214" s="159"/>
      <c r="CN214" s="159"/>
      <c r="CO214" s="159"/>
      <c r="CP214" s="159"/>
      <c r="CQ214" s="159"/>
      <c r="CR214" s="159"/>
      <c r="CS214" s="159"/>
      <c r="CT214" s="159"/>
      <c r="CU214" s="159"/>
      <c r="CV214" s="159"/>
      <c r="CW214" s="159"/>
      <c r="CX214" s="159"/>
      <c r="CY214" s="159"/>
      <c r="CZ214" s="159"/>
      <c r="DA214" s="159"/>
      <c r="DB214" s="159"/>
      <c r="DC214" s="159"/>
      <c r="DD214" s="159"/>
      <c r="DE214" s="159"/>
      <c r="DF214" s="159"/>
      <c r="DG214" s="159"/>
      <c r="DH214" s="159"/>
      <c r="DI214" s="159"/>
      <c r="DJ214" s="159"/>
      <c r="DK214" s="159"/>
      <c r="DL214" s="159"/>
      <c r="DM214" s="159"/>
      <c r="DN214" s="159"/>
      <c r="DO214" s="159"/>
      <c r="DP214" s="159"/>
      <c r="DQ214" s="159"/>
      <c r="DR214" s="159"/>
      <c r="DS214" s="159"/>
      <c r="DT214" s="159"/>
      <c r="DU214" s="159"/>
      <c r="DV214" s="159"/>
      <c r="DW214" s="159"/>
      <c r="DX214" s="159"/>
      <c r="DY214" s="159"/>
      <c r="DZ214" s="159"/>
      <c r="EA214" s="159"/>
      <c r="EB214" s="159"/>
      <c r="EC214" s="159"/>
      <c r="ED214" s="159"/>
      <c r="EE214" s="159"/>
      <c r="EF214" s="159"/>
      <c r="EG214" s="159"/>
      <c r="EH214" s="159"/>
      <c r="EI214" s="159"/>
      <c r="EJ214" s="159"/>
      <c r="EK214" s="159"/>
      <c r="EL214" s="159"/>
      <c r="EM214" s="159"/>
      <c r="EN214" s="159"/>
      <c r="EO214" s="159"/>
      <c r="EP214" s="159"/>
      <c r="EQ214" s="159"/>
      <c r="ER214" s="159"/>
      <c r="ES214" s="159"/>
      <c r="ET214" s="159"/>
      <c r="EU214" s="159"/>
      <c r="EV214" s="159"/>
      <c r="EW214" s="159"/>
      <c r="EX214" s="159"/>
      <c r="EY214" s="159"/>
      <c r="EZ214" s="159"/>
      <c r="FA214" s="159"/>
      <c r="FB214" s="159"/>
      <c r="FC214" s="159"/>
      <c r="FD214" s="159"/>
      <c r="FE214" s="159"/>
      <c r="FF214" s="159"/>
      <c r="FG214" s="159"/>
      <c r="FH214" s="159"/>
      <c r="FI214" s="159"/>
      <c r="FJ214" s="159"/>
      <c r="FK214" s="159"/>
      <c r="FL214" s="159"/>
      <c r="FM214" s="159"/>
      <c r="FN214" s="159"/>
      <c r="FO214" s="159"/>
      <c r="FP214" s="159"/>
      <c r="FQ214" s="159"/>
      <c r="FR214" s="159"/>
      <c r="FS214" s="159"/>
      <c r="FT214" s="159"/>
      <c r="FU214" s="159"/>
      <c r="FV214" s="159"/>
      <c r="FW214" s="159"/>
      <c r="FX214" s="159"/>
      <c r="FY214" s="159"/>
      <c r="FZ214" s="159"/>
      <c r="GA214" s="159"/>
      <c r="GB214" s="159"/>
      <c r="GC214" s="159"/>
      <c r="GD214" s="159"/>
      <c r="GE214" s="159"/>
      <c r="GF214" s="159"/>
      <c r="GG214" s="159"/>
      <c r="GH214" s="159"/>
      <c r="GI214" s="159"/>
      <c r="GJ214" s="159"/>
    </row>
    <row r="215" spans="1:192" s="156" customFormat="1" x14ac:dyDescent="0.25">
      <c r="A215" s="167" t="s">
        <v>395</v>
      </c>
      <c r="B215" s="168">
        <v>1</v>
      </c>
      <c r="C215" s="168">
        <v>322</v>
      </c>
      <c r="D215" s="168">
        <v>5201</v>
      </c>
      <c r="E215" s="170">
        <f t="shared" si="75"/>
        <v>0</v>
      </c>
      <c r="F215" s="170">
        <f t="shared" si="75"/>
        <v>1529</v>
      </c>
      <c r="G215" s="170">
        <f t="shared" si="75"/>
        <v>1529</v>
      </c>
      <c r="H215" s="170"/>
      <c r="I215" s="170"/>
      <c r="J215" s="170">
        <f t="shared" si="67"/>
        <v>0</v>
      </c>
      <c r="K215" s="170"/>
      <c r="L215" s="170"/>
      <c r="M215" s="170">
        <f t="shared" si="91"/>
        <v>0</v>
      </c>
      <c r="N215" s="170"/>
      <c r="O215" s="170">
        <v>1529</v>
      </c>
      <c r="P215" s="170">
        <f t="shared" si="92"/>
        <v>1529</v>
      </c>
      <c r="Q215" s="170"/>
      <c r="R215" s="170"/>
      <c r="S215" s="170">
        <f t="shared" si="93"/>
        <v>0</v>
      </c>
      <c r="T215" s="170"/>
      <c r="U215" s="170"/>
      <c r="V215" s="170">
        <f t="shared" si="94"/>
        <v>0</v>
      </c>
      <c r="W215" s="170"/>
      <c r="X215" s="170"/>
      <c r="Y215" s="170">
        <f t="shared" si="95"/>
        <v>0</v>
      </c>
      <c r="Z215" s="170"/>
      <c r="AA215" s="170"/>
      <c r="AB215" s="170">
        <f t="shared" si="96"/>
        <v>0</v>
      </c>
      <c r="AC215" s="170"/>
      <c r="AD215" s="170"/>
      <c r="AE215" s="170">
        <f t="shared" si="97"/>
        <v>0</v>
      </c>
      <c r="AF215" s="159"/>
      <c r="AG215" s="159"/>
      <c r="AH215" s="159"/>
      <c r="AI215" s="159"/>
      <c r="AJ215" s="159"/>
      <c r="AK215" s="159"/>
      <c r="AL215" s="159"/>
      <c r="AM215" s="159"/>
      <c r="AN215" s="159"/>
      <c r="AO215" s="159"/>
      <c r="AP215" s="159"/>
      <c r="AQ215" s="159"/>
      <c r="AR215" s="159"/>
      <c r="AS215" s="159"/>
      <c r="AT215" s="159"/>
      <c r="AU215" s="159"/>
      <c r="AV215" s="159"/>
      <c r="AW215" s="159"/>
      <c r="AX215" s="159"/>
      <c r="AY215" s="159"/>
      <c r="AZ215" s="159"/>
      <c r="BA215" s="159"/>
      <c r="BB215" s="159"/>
      <c r="BC215" s="159"/>
      <c r="BD215" s="159"/>
      <c r="BE215" s="159"/>
      <c r="BF215" s="159"/>
      <c r="BG215" s="159"/>
      <c r="BH215" s="159"/>
      <c r="BI215" s="159"/>
      <c r="BJ215" s="159"/>
      <c r="BK215" s="159"/>
      <c r="BL215" s="159"/>
      <c r="BM215" s="159"/>
      <c r="BN215" s="159"/>
      <c r="BO215" s="159"/>
      <c r="BP215" s="159"/>
      <c r="BQ215" s="159"/>
      <c r="BR215" s="159"/>
      <c r="BS215" s="159"/>
      <c r="BT215" s="159"/>
      <c r="BU215" s="159"/>
      <c r="BV215" s="159"/>
      <c r="BW215" s="159"/>
      <c r="BX215" s="159"/>
      <c r="BY215" s="159"/>
      <c r="BZ215" s="159"/>
      <c r="CA215" s="159"/>
      <c r="CB215" s="159"/>
      <c r="CC215" s="159"/>
      <c r="CD215" s="159"/>
      <c r="CE215" s="159"/>
      <c r="CF215" s="159"/>
      <c r="CG215" s="159"/>
      <c r="CH215" s="159"/>
      <c r="CI215" s="159"/>
      <c r="CJ215" s="159"/>
      <c r="CK215" s="159"/>
      <c r="CL215" s="159"/>
      <c r="CM215" s="159"/>
      <c r="CN215" s="159"/>
      <c r="CO215" s="159"/>
      <c r="CP215" s="159"/>
      <c r="CQ215" s="159"/>
      <c r="CR215" s="159"/>
      <c r="CS215" s="159"/>
      <c r="CT215" s="159"/>
      <c r="CU215" s="159"/>
      <c r="CV215" s="159"/>
      <c r="CW215" s="159"/>
      <c r="CX215" s="159"/>
      <c r="CY215" s="159"/>
      <c r="CZ215" s="159"/>
      <c r="DA215" s="159"/>
      <c r="DB215" s="159"/>
      <c r="DC215" s="159"/>
      <c r="DD215" s="159"/>
      <c r="DE215" s="159"/>
      <c r="DF215" s="159"/>
      <c r="DG215" s="159"/>
      <c r="DH215" s="159"/>
      <c r="DI215" s="159"/>
      <c r="DJ215" s="159"/>
      <c r="DK215" s="159"/>
      <c r="DL215" s="159"/>
      <c r="DM215" s="159"/>
      <c r="DN215" s="159"/>
      <c r="DO215" s="159"/>
      <c r="DP215" s="159"/>
      <c r="DQ215" s="159"/>
      <c r="DR215" s="159"/>
      <c r="DS215" s="159"/>
      <c r="DT215" s="159"/>
      <c r="DU215" s="159"/>
      <c r="DV215" s="159"/>
      <c r="DW215" s="159"/>
      <c r="DX215" s="159"/>
      <c r="DY215" s="159"/>
      <c r="DZ215" s="159"/>
      <c r="EA215" s="159"/>
      <c r="EB215" s="159"/>
      <c r="EC215" s="159"/>
      <c r="ED215" s="159"/>
      <c r="EE215" s="159"/>
      <c r="EF215" s="159"/>
      <c r="EG215" s="159"/>
      <c r="EH215" s="159"/>
      <c r="EI215" s="159"/>
      <c r="EJ215" s="159"/>
      <c r="EK215" s="159"/>
      <c r="EL215" s="159"/>
      <c r="EM215" s="159"/>
      <c r="EN215" s="159"/>
      <c r="EO215" s="159"/>
      <c r="EP215" s="159"/>
      <c r="EQ215" s="159"/>
      <c r="ER215" s="159"/>
      <c r="ES215" s="159"/>
      <c r="ET215" s="159"/>
      <c r="EU215" s="159"/>
      <c r="EV215" s="159"/>
      <c r="EW215" s="159"/>
      <c r="EX215" s="159"/>
      <c r="EY215" s="159"/>
      <c r="EZ215" s="159"/>
      <c r="FA215" s="159"/>
      <c r="FB215" s="159"/>
      <c r="FC215" s="159"/>
      <c r="FD215" s="159"/>
      <c r="FE215" s="159"/>
      <c r="FF215" s="159"/>
      <c r="FG215" s="159"/>
      <c r="FH215" s="159"/>
      <c r="FI215" s="159"/>
      <c r="FJ215" s="159"/>
      <c r="FK215" s="159"/>
      <c r="FL215" s="159"/>
      <c r="FM215" s="159"/>
      <c r="FN215" s="159"/>
      <c r="FO215" s="159"/>
      <c r="FP215" s="159"/>
      <c r="FQ215" s="159"/>
      <c r="FR215" s="159"/>
      <c r="FS215" s="159"/>
      <c r="FT215" s="159"/>
      <c r="FU215" s="159"/>
      <c r="FV215" s="159"/>
      <c r="FW215" s="159"/>
      <c r="FX215" s="159"/>
      <c r="FY215" s="159"/>
      <c r="FZ215" s="159"/>
      <c r="GA215" s="159"/>
      <c r="GB215" s="159"/>
      <c r="GC215" s="159"/>
      <c r="GD215" s="159"/>
      <c r="GE215" s="159"/>
      <c r="GF215" s="159"/>
      <c r="GG215" s="159"/>
      <c r="GH215" s="159"/>
      <c r="GI215" s="159"/>
      <c r="GJ215" s="159"/>
    </row>
    <row r="216" spans="1:192" s="156" customFormat="1" ht="31.5" x14ac:dyDescent="0.25">
      <c r="A216" s="167" t="s">
        <v>396</v>
      </c>
      <c r="B216" s="168">
        <v>1</v>
      </c>
      <c r="C216" s="168">
        <v>322</v>
      </c>
      <c r="D216" s="168">
        <v>5201</v>
      </c>
      <c r="E216" s="170">
        <f t="shared" si="75"/>
        <v>8672</v>
      </c>
      <c r="F216" s="170">
        <f t="shared" si="75"/>
        <v>8672</v>
      </c>
      <c r="G216" s="170">
        <f t="shared" si="75"/>
        <v>0</v>
      </c>
      <c r="H216" s="170"/>
      <c r="I216" s="170"/>
      <c r="J216" s="170">
        <f t="shared" si="67"/>
        <v>0</v>
      </c>
      <c r="K216" s="170"/>
      <c r="L216" s="170"/>
      <c r="M216" s="170">
        <f t="shared" si="91"/>
        <v>0</v>
      </c>
      <c r="N216" s="170">
        <f>1371+1732</f>
        <v>3103</v>
      </c>
      <c r="O216" s="170">
        <f>1371+1732</f>
        <v>3103</v>
      </c>
      <c r="P216" s="170">
        <f t="shared" si="92"/>
        <v>0</v>
      </c>
      <c r="Q216" s="170"/>
      <c r="R216" s="170"/>
      <c r="S216" s="170">
        <f t="shared" si="93"/>
        <v>0</v>
      </c>
      <c r="T216" s="170">
        <f>3840+1729</f>
        <v>5569</v>
      </c>
      <c r="U216" s="170">
        <f>3840+1729</f>
        <v>5569</v>
      </c>
      <c r="V216" s="170">
        <f t="shared" si="94"/>
        <v>0</v>
      </c>
      <c r="W216" s="170"/>
      <c r="X216" s="170"/>
      <c r="Y216" s="170">
        <f t="shared" si="95"/>
        <v>0</v>
      </c>
      <c r="Z216" s="170"/>
      <c r="AA216" s="170"/>
      <c r="AB216" s="170">
        <f>AA216-Z216</f>
        <v>0</v>
      </c>
      <c r="AC216" s="170"/>
      <c r="AD216" s="170"/>
      <c r="AE216" s="170">
        <f t="shared" si="97"/>
        <v>0</v>
      </c>
      <c r="AF216" s="159"/>
      <c r="AG216" s="159"/>
      <c r="AH216" s="159"/>
      <c r="AI216" s="159"/>
      <c r="AJ216" s="159"/>
      <c r="AK216" s="159"/>
      <c r="AL216" s="159"/>
      <c r="AM216" s="159"/>
      <c r="AN216" s="159"/>
      <c r="AO216" s="159"/>
      <c r="AP216" s="159"/>
      <c r="AQ216" s="159"/>
      <c r="AR216" s="159"/>
      <c r="AS216" s="159"/>
      <c r="AT216" s="159"/>
      <c r="AU216" s="159"/>
      <c r="AV216" s="159"/>
      <c r="AW216" s="159"/>
      <c r="AX216" s="159"/>
      <c r="AY216" s="159"/>
      <c r="AZ216" s="159"/>
      <c r="BA216" s="159"/>
      <c r="BB216" s="159"/>
      <c r="BC216" s="159"/>
      <c r="BD216" s="159"/>
      <c r="BE216" s="159"/>
      <c r="BF216" s="159"/>
      <c r="BG216" s="159"/>
      <c r="BH216" s="159"/>
      <c r="BI216" s="159"/>
      <c r="BJ216" s="159"/>
      <c r="BK216" s="159"/>
      <c r="BL216" s="159"/>
      <c r="BM216" s="159"/>
      <c r="BN216" s="159"/>
      <c r="BO216" s="159"/>
      <c r="BP216" s="159"/>
      <c r="BQ216" s="159"/>
      <c r="BR216" s="159"/>
      <c r="BS216" s="159"/>
      <c r="BT216" s="159"/>
      <c r="BU216" s="159"/>
      <c r="BV216" s="159"/>
      <c r="BW216" s="159"/>
      <c r="BX216" s="159"/>
      <c r="BY216" s="159"/>
      <c r="BZ216" s="159"/>
      <c r="CA216" s="159"/>
      <c r="CB216" s="159"/>
      <c r="CC216" s="159"/>
      <c r="CD216" s="159"/>
      <c r="CE216" s="159"/>
      <c r="CF216" s="159"/>
      <c r="CG216" s="159"/>
      <c r="CH216" s="159"/>
      <c r="CI216" s="159"/>
      <c r="CJ216" s="159"/>
      <c r="CK216" s="159"/>
      <c r="CL216" s="159"/>
      <c r="CM216" s="159"/>
      <c r="CN216" s="159"/>
      <c r="CO216" s="159"/>
      <c r="CP216" s="159"/>
      <c r="CQ216" s="159"/>
      <c r="CR216" s="159"/>
      <c r="CS216" s="159"/>
      <c r="CT216" s="159"/>
      <c r="CU216" s="159"/>
      <c r="CV216" s="159"/>
      <c r="CW216" s="159"/>
      <c r="CX216" s="159"/>
      <c r="CY216" s="159"/>
      <c r="CZ216" s="159"/>
      <c r="DA216" s="159"/>
      <c r="DB216" s="159"/>
      <c r="DC216" s="159"/>
      <c r="DD216" s="159"/>
      <c r="DE216" s="159"/>
      <c r="DF216" s="159"/>
      <c r="DG216" s="159"/>
      <c r="DH216" s="159"/>
      <c r="DI216" s="159"/>
      <c r="DJ216" s="159"/>
      <c r="DK216" s="159"/>
      <c r="DL216" s="159"/>
      <c r="DM216" s="159"/>
      <c r="DN216" s="159"/>
      <c r="DO216" s="159"/>
      <c r="DP216" s="159"/>
      <c r="DQ216" s="159"/>
      <c r="DR216" s="159"/>
      <c r="DS216" s="159"/>
      <c r="DT216" s="159"/>
      <c r="DU216" s="159"/>
      <c r="DV216" s="159"/>
      <c r="DW216" s="159"/>
      <c r="DX216" s="159"/>
      <c r="DY216" s="159"/>
      <c r="DZ216" s="159"/>
      <c r="EA216" s="159"/>
      <c r="EB216" s="159"/>
      <c r="EC216" s="159"/>
      <c r="ED216" s="159"/>
      <c r="EE216" s="159"/>
      <c r="EF216" s="159"/>
      <c r="EG216" s="159"/>
      <c r="EH216" s="159"/>
      <c r="EI216" s="159"/>
      <c r="EJ216" s="159"/>
      <c r="EK216" s="159"/>
      <c r="EL216" s="159"/>
      <c r="EM216" s="159"/>
      <c r="EN216" s="159"/>
      <c r="EO216" s="159"/>
      <c r="EP216" s="159"/>
      <c r="EQ216" s="159"/>
      <c r="ER216" s="159"/>
      <c r="ES216" s="159"/>
      <c r="ET216" s="159"/>
      <c r="EU216" s="159"/>
      <c r="EV216" s="159"/>
      <c r="EW216" s="159"/>
      <c r="EX216" s="159"/>
      <c r="EY216" s="159"/>
      <c r="EZ216" s="159"/>
      <c r="FA216" s="159"/>
      <c r="FB216" s="159"/>
      <c r="FC216" s="159"/>
      <c r="FD216" s="159"/>
      <c r="FE216" s="159"/>
      <c r="FF216" s="159"/>
      <c r="FG216" s="159"/>
      <c r="FH216" s="159"/>
      <c r="FI216" s="159"/>
      <c r="FJ216" s="159"/>
      <c r="FK216" s="159"/>
      <c r="FL216" s="159"/>
      <c r="FM216" s="159"/>
      <c r="FN216" s="159"/>
      <c r="FO216" s="159"/>
      <c r="FP216" s="159"/>
      <c r="FQ216" s="159"/>
      <c r="FR216" s="159"/>
      <c r="FS216" s="159"/>
      <c r="FT216" s="159"/>
      <c r="FU216" s="159"/>
      <c r="FV216" s="159"/>
      <c r="FW216" s="159"/>
      <c r="FX216" s="159"/>
      <c r="FY216" s="159"/>
      <c r="FZ216" s="159"/>
      <c r="GA216" s="159"/>
      <c r="GB216" s="159"/>
      <c r="GC216" s="159"/>
      <c r="GD216" s="159"/>
      <c r="GE216" s="159"/>
      <c r="GF216" s="159"/>
      <c r="GG216" s="159"/>
      <c r="GH216" s="159"/>
      <c r="GI216" s="159"/>
      <c r="GJ216" s="159"/>
    </row>
    <row r="217" spans="1:192" s="159" customFormat="1" x14ac:dyDescent="0.25">
      <c r="A217" s="167" t="s">
        <v>397</v>
      </c>
      <c r="B217" s="168">
        <v>2</v>
      </c>
      <c r="C217" s="168">
        <v>311</v>
      </c>
      <c r="D217" s="168">
        <v>5201</v>
      </c>
      <c r="E217" s="170">
        <f t="shared" si="75"/>
        <v>0</v>
      </c>
      <c r="F217" s="170">
        <f t="shared" si="75"/>
        <v>2754</v>
      </c>
      <c r="G217" s="170">
        <f t="shared" si="75"/>
        <v>2754</v>
      </c>
      <c r="H217" s="170"/>
      <c r="I217" s="170"/>
      <c r="J217" s="170">
        <f t="shared" si="67"/>
        <v>0</v>
      </c>
      <c r="K217" s="170"/>
      <c r="L217" s="170"/>
      <c r="M217" s="170">
        <f t="shared" si="91"/>
        <v>0</v>
      </c>
      <c r="N217" s="170"/>
      <c r="O217" s="170">
        <v>2754</v>
      </c>
      <c r="P217" s="170">
        <f t="shared" si="92"/>
        <v>2754</v>
      </c>
      <c r="Q217" s="170"/>
      <c r="R217" s="170"/>
      <c r="S217" s="170">
        <f t="shared" si="93"/>
        <v>0</v>
      </c>
      <c r="T217" s="170"/>
      <c r="U217" s="170"/>
      <c r="V217" s="170">
        <f t="shared" si="94"/>
        <v>0</v>
      </c>
      <c r="W217" s="170"/>
      <c r="X217" s="170"/>
      <c r="Y217" s="170">
        <f t="shared" si="95"/>
        <v>0</v>
      </c>
      <c r="Z217" s="170"/>
      <c r="AA217" s="170"/>
      <c r="AB217" s="170">
        <f>AA217-Z217</f>
        <v>0</v>
      </c>
      <c r="AC217" s="170"/>
      <c r="AD217" s="170"/>
      <c r="AE217" s="170">
        <f t="shared" si="97"/>
        <v>0</v>
      </c>
    </row>
    <row r="218" spans="1:192" s="156" customFormat="1" ht="47.25" x14ac:dyDescent="0.25">
      <c r="A218" s="167" t="s">
        <v>398</v>
      </c>
      <c r="B218" s="168"/>
      <c r="C218" s="168"/>
      <c r="D218" s="168"/>
      <c r="E218" s="170">
        <f t="shared" si="75"/>
        <v>0</v>
      </c>
      <c r="F218" s="170">
        <f t="shared" si="75"/>
        <v>1198</v>
      </c>
      <c r="G218" s="170">
        <f t="shared" si="75"/>
        <v>1198</v>
      </c>
      <c r="H218" s="170"/>
      <c r="I218" s="170"/>
      <c r="J218" s="170">
        <f t="shared" si="67"/>
        <v>0</v>
      </c>
      <c r="K218" s="170"/>
      <c r="L218" s="170"/>
      <c r="M218" s="170">
        <f t="shared" si="91"/>
        <v>0</v>
      </c>
      <c r="N218" s="170"/>
      <c r="O218" s="170"/>
      <c r="P218" s="170">
        <f t="shared" si="92"/>
        <v>0</v>
      </c>
      <c r="Q218" s="170"/>
      <c r="R218" s="170">
        <v>1198</v>
      </c>
      <c r="S218" s="170">
        <f t="shared" si="93"/>
        <v>1198</v>
      </c>
      <c r="T218" s="170"/>
      <c r="U218" s="170"/>
      <c r="V218" s="170">
        <f t="shared" si="94"/>
        <v>0</v>
      </c>
      <c r="W218" s="170"/>
      <c r="X218" s="170"/>
      <c r="Y218" s="170">
        <f t="shared" si="95"/>
        <v>0</v>
      </c>
      <c r="Z218" s="170"/>
      <c r="AA218" s="170"/>
      <c r="AB218" s="170">
        <f t="shared" ref="AB218:AB229" si="167">AA218-Z218</f>
        <v>0</v>
      </c>
      <c r="AC218" s="170"/>
      <c r="AD218" s="170"/>
      <c r="AE218" s="170">
        <f t="shared" si="97"/>
        <v>0</v>
      </c>
      <c r="AF218" s="159"/>
      <c r="AG218" s="159"/>
      <c r="AH218" s="159"/>
      <c r="AI218" s="159"/>
      <c r="AJ218" s="159"/>
      <c r="AK218" s="159"/>
      <c r="AL218" s="159"/>
      <c r="AM218" s="159"/>
      <c r="AN218" s="159"/>
      <c r="AO218" s="159"/>
      <c r="AP218" s="159"/>
      <c r="AQ218" s="159"/>
      <c r="AR218" s="159"/>
      <c r="AS218" s="159"/>
      <c r="AT218" s="159"/>
      <c r="AU218" s="159"/>
      <c r="AV218" s="159"/>
      <c r="AW218" s="159"/>
      <c r="AX218" s="159"/>
      <c r="AY218" s="159"/>
      <c r="AZ218" s="159"/>
      <c r="BA218" s="159"/>
      <c r="BB218" s="159"/>
      <c r="BC218" s="159"/>
      <c r="BD218" s="159"/>
      <c r="BE218" s="159"/>
      <c r="BF218" s="159"/>
      <c r="BG218" s="159"/>
      <c r="BH218" s="159"/>
      <c r="BI218" s="159"/>
      <c r="BJ218" s="159"/>
      <c r="BK218" s="159"/>
      <c r="BL218" s="159"/>
      <c r="BM218" s="159"/>
      <c r="BN218" s="159"/>
      <c r="BO218" s="159"/>
      <c r="BP218" s="159"/>
      <c r="BQ218" s="159"/>
      <c r="BR218" s="159"/>
      <c r="BS218" s="159"/>
      <c r="BT218" s="159"/>
      <c r="BU218" s="159"/>
      <c r="BV218" s="159"/>
      <c r="BW218" s="159"/>
      <c r="BX218" s="159"/>
      <c r="BY218" s="159"/>
      <c r="BZ218" s="159"/>
      <c r="CA218" s="159"/>
      <c r="CB218" s="159"/>
      <c r="CC218" s="159"/>
      <c r="CD218" s="159"/>
      <c r="CE218" s="159"/>
      <c r="CF218" s="159"/>
      <c r="CG218" s="159"/>
      <c r="CH218" s="159"/>
      <c r="CI218" s="159"/>
      <c r="CJ218" s="159"/>
      <c r="CK218" s="159"/>
      <c r="CL218" s="159"/>
      <c r="CM218" s="159"/>
      <c r="CN218" s="159"/>
      <c r="CO218" s="159"/>
      <c r="CP218" s="159"/>
      <c r="CQ218" s="159"/>
      <c r="CR218" s="159"/>
      <c r="CS218" s="159"/>
      <c r="CT218" s="159"/>
      <c r="CU218" s="159"/>
      <c r="CV218" s="159"/>
      <c r="CW218" s="159"/>
      <c r="CX218" s="159"/>
      <c r="CY218" s="159"/>
      <c r="CZ218" s="159"/>
      <c r="DA218" s="159"/>
      <c r="DB218" s="159"/>
      <c r="DC218" s="159"/>
      <c r="DD218" s="159"/>
      <c r="DE218" s="159"/>
      <c r="DF218" s="159"/>
      <c r="DG218" s="159"/>
      <c r="DH218" s="159"/>
      <c r="DI218" s="159"/>
      <c r="DJ218" s="159"/>
      <c r="DK218" s="159"/>
      <c r="DL218" s="159"/>
      <c r="DM218" s="159"/>
      <c r="DN218" s="159"/>
      <c r="DO218" s="159"/>
      <c r="DP218" s="159"/>
      <c r="DQ218" s="159"/>
      <c r="DR218" s="159"/>
      <c r="DS218" s="159"/>
      <c r="DT218" s="159"/>
      <c r="DU218" s="159"/>
      <c r="DV218" s="159"/>
      <c r="DW218" s="159"/>
      <c r="DX218" s="159"/>
      <c r="DY218" s="159"/>
      <c r="DZ218" s="159"/>
      <c r="EA218" s="159"/>
      <c r="EB218" s="159"/>
      <c r="EC218" s="159"/>
      <c r="ED218" s="159"/>
      <c r="EE218" s="159"/>
      <c r="EF218" s="159"/>
      <c r="EG218" s="159"/>
      <c r="EH218" s="159"/>
      <c r="EI218" s="159"/>
      <c r="EJ218" s="159"/>
      <c r="EK218" s="159"/>
      <c r="EL218" s="159"/>
      <c r="EM218" s="159"/>
      <c r="EN218" s="159"/>
      <c r="EO218" s="159"/>
      <c r="EP218" s="159"/>
      <c r="EQ218" s="159"/>
      <c r="ER218" s="159"/>
      <c r="ES218" s="159"/>
      <c r="ET218" s="159"/>
      <c r="EU218" s="159"/>
      <c r="EV218" s="159"/>
      <c r="EW218" s="159"/>
      <c r="EX218" s="159"/>
      <c r="EY218" s="159"/>
      <c r="EZ218" s="159"/>
      <c r="FA218" s="159"/>
      <c r="FB218" s="159"/>
      <c r="FC218" s="159"/>
      <c r="FD218" s="159"/>
      <c r="FE218" s="159"/>
      <c r="FF218" s="159"/>
      <c r="FG218" s="159"/>
      <c r="FH218" s="159"/>
      <c r="FI218" s="159"/>
      <c r="FJ218" s="159"/>
      <c r="FK218" s="159"/>
      <c r="FL218" s="159"/>
      <c r="FM218" s="159"/>
      <c r="FN218" s="159"/>
      <c r="FO218" s="159"/>
      <c r="FP218" s="159"/>
      <c r="FQ218" s="159"/>
      <c r="FR218" s="159"/>
      <c r="FS218" s="159"/>
      <c r="FT218" s="159"/>
      <c r="FU218" s="159"/>
      <c r="FV218" s="159"/>
      <c r="FW218" s="159"/>
      <c r="FX218" s="159"/>
      <c r="FY218" s="159"/>
      <c r="FZ218" s="159"/>
      <c r="GA218" s="159"/>
      <c r="GB218" s="159"/>
      <c r="GC218" s="159"/>
      <c r="GD218" s="159"/>
      <c r="GE218" s="159"/>
      <c r="GF218" s="159"/>
      <c r="GG218" s="159"/>
      <c r="GH218" s="159"/>
      <c r="GI218" s="159"/>
      <c r="GJ218" s="159"/>
    </row>
    <row r="219" spans="1:192" s="159" customFormat="1" x14ac:dyDescent="0.25">
      <c r="A219" s="167" t="s">
        <v>399</v>
      </c>
      <c r="B219" s="168">
        <v>2</v>
      </c>
      <c r="C219" s="168">
        <v>389</v>
      </c>
      <c r="D219" s="168">
        <v>5201</v>
      </c>
      <c r="E219" s="170">
        <f t="shared" si="75"/>
        <v>918</v>
      </c>
      <c r="F219" s="170">
        <f t="shared" si="75"/>
        <v>918</v>
      </c>
      <c r="G219" s="170">
        <f t="shared" si="75"/>
        <v>0</v>
      </c>
      <c r="H219" s="170"/>
      <c r="I219" s="170"/>
      <c r="J219" s="170">
        <f t="shared" si="67"/>
        <v>0</v>
      </c>
      <c r="K219" s="170"/>
      <c r="L219" s="170"/>
      <c r="M219" s="170">
        <f t="shared" si="91"/>
        <v>0</v>
      </c>
      <c r="N219" s="170">
        <v>918</v>
      </c>
      <c r="O219" s="170">
        <v>918</v>
      </c>
      <c r="P219" s="170">
        <f t="shared" si="92"/>
        <v>0</v>
      </c>
      <c r="Q219" s="170"/>
      <c r="R219" s="170"/>
      <c r="S219" s="170">
        <f t="shared" si="93"/>
        <v>0</v>
      </c>
      <c r="T219" s="170"/>
      <c r="U219" s="170"/>
      <c r="V219" s="170">
        <f t="shared" si="94"/>
        <v>0</v>
      </c>
      <c r="W219" s="170"/>
      <c r="X219" s="170"/>
      <c r="Y219" s="170">
        <f t="shared" si="95"/>
        <v>0</v>
      </c>
      <c r="Z219" s="170"/>
      <c r="AA219" s="170"/>
      <c r="AB219" s="170">
        <f t="shared" si="167"/>
        <v>0</v>
      </c>
      <c r="AC219" s="170"/>
      <c r="AD219" s="170"/>
      <c r="AE219" s="170">
        <f t="shared" si="97"/>
        <v>0</v>
      </c>
    </row>
    <row r="220" spans="1:192" s="159" customFormat="1" ht="47.25" x14ac:dyDescent="0.25">
      <c r="A220" s="167" t="s">
        <v>400</v>
      </c>
      <c r="B220" s="168"/>
      <c r="C220" s="168"/>
      <c r="D220" s="168"/>
      <c r="E220" s="170">
        <f t="shared" si="75"/>
        <v>1700</v>
      </c>
      <c r="F220" s="170">
        <f t="shared" si="75"/>
        <v>1700</v>
      </c>
      <c r="G220" s="170">
        <f t="shared" si="75"/>
        <v>0</v>
      </c>
      <c r="H220" s="170"/>
      <c r="I220" s="170"/>
      <c r="J220" s="170">
        <f t="shared" si="67"/>
        <v>0</v>
      </c>
      <c r="K220" s="170"/>
      <c r="L220" s="170"/>
      <c r="M220" s="170">
        <f t="shared" si="91"/>
        <v>0</v>
      </c>
      <c r="N220" s="170"/>
      <c r="O220" s="170"/>
      <c r="P220" s="170">
        <f t="shared" si="92"/>
        <v>0</v>
      </c>
      <c r="Q220" s="170">
        <v>1700</v>
      </c>
      <c r="R220" s="170">
        <v>1700</v>
      </c>
      <c r="S220" s="170">
        <f t="shared" si="93"/>
        <v>0</v>
      </c>
      <c r="T220" s="170"/>
      <c r="U220" s="170"/>
      <c r="V220" s="170">
        <f t="shared" si="94"/>
        <v>0</v>
      </c>
      <c r="W220" s="170"/>
      <c r="X220" s="170"/>
      <c r="Y220" s="170">
        <f t="shared" si="95"/>
        <v>0</v>
      </c>
      <c r="Z220" s="170"/>
      <c r="AA220" s="170"/>
      <c r="AB220" s="170">
        <f t="shared" si="167"/>
        <v>0</v>
      </c>
      <c r="AC220" s="170"/>
      <c r="AD220" s="170"/>
      <c r="AE220" s="170">
        <f t="shared" si="97"/>
        <v>0</v>
      </c>
    </row>
    <row r="221" spans="1:192" s="159" customFormat="1" ht="47.25" x14ac:dyDescent="0.25">
      <c r="A221" s="167" t="s">
        <v>401</v>
      </c>
      <c r="B221" s="168"/>
      <c r="C221" s="168"/>
      <c r="D221" s="168"/>
      <c r="E221" s="170">
        <f t="shared" si="75"/>
        <v>4238</v>
      </c>
      <c r="F221" s="170">
        <f t="shared" si="75"/>
        <v>4238</v>
      </c>
      <c r="G221" s="170">
        <f t="shared" si="75"/>
        <v>0</v>
      </c>
      <c r="H221" s="170"/>
      <c r="I221" s="170"/>
      <c r="J221" s="170">
        <f t="shared" si="67"/>
        <v>0</v>
      </c>
      <c r="K221" s="170"/>
      <c r="L221" s="170"/>
      <c r="M221" s="170">
        <f t="shared" si="91"/>
        <v>0</v>
      </c>
      <c r="N221" s="170"/>
      <c r="O221" s="170"/>
      <c r="P221" s="170">
        <f t="shared" si="92"/>
        <v>0</v>
      </c>
      <c r="Q221" s="170">
        <v>4238</v>
      </c>
      <c r="R221" s="170">
        <v>4238</v>
      </c>
      <c r="S221" s="170">
        <f t="shared" si="93"/>
        <v>0</v>
      </c>
      <c r="T221" s="170"/>
      <c r="U221" s="170"/>
      <c r="V221" s="170">
        <f t="shared" si="94"/>
        <v>0</v>
      </c>
      <c r="W221" s="170"/>
      <c r="X221" s="170"/>
      <c r="Y221" s="170">
        <f t="shared" si="95"/>
        <v>0</v>
      </c>
      <c r="Z221" s="170"/>
      <c r="AA221" s="170"/>
      <c r="AB221" s="170">
        <f t="shared" si="167"/>
        <v>0</v>
      </c>
      <c r="AC221" s="170"/>
      <c r="AD221" s="170"/>
      <c r="AE221" s="170">
        <f t="shared" si="97"/>
        <v>0</v>
      </c>
    </row>
    <row r="222" spans="1:192" s="184" customFormat="1" ht="31.5" x14ac:dyDescent="0.25">
      <c r="A222" s="181" t="s">
        <v>402</v>
      </c>
      <c r="B222" s="182">
        <v>2</v>
      </c>
      <c r="C222" s="182">
        <v>311</v>
      </c>
      <c r="D222" s="182">
        <v>5201</v>
      </c>
      <c r="E222" s="183">
        <f t="shared" si="75"/>
        <v>1836</v>
      </c>
      <c r="F222" s="183">
        <f t="shared" si="75"/>
        <v>1836</v>
      </c>
      <c r="G222" s="183">
        <f t="shared" si="75"/>
        <v>0</v>
      </c>
      <c r="H222" s="183"/>
      <c r="I222" s="183"/>
      <c r="J222" s="183">
        <f t="shared" si="67"/>
        <v>0</v>
      </c>
      <c r="K222" s="183"/>
      <c r="L222" s="183"/>
      <c r="M222" s="183">
        <f t="shared" si="91"/>
        <v>0</v>
      </c>
      <c r="N222" s="183">
        <f>1836</f>
        <v>1836</v>
      </c>
      <c r="O222" s="183">
        <f>1836</f>
        <v>1836</v>
      </c>
      <c r="P222" s="183">
        <f t="shared" si="92"/>
        <v>0</v>
      </c>
      <c r="Q222" s="183"/>
      <c r="R222" s="183"/>
      <c r="S222" s="183">
        <f t="shared" si="93"/>
        <v>0</v>
      </c>
      <c r="T222" s="183"/>
      <c r="U222" s="183"/>
      <c r="V222" s="183">
        <f t="shared" si="94"/>
        <v>0</v>
      </c>
      <c r="W222" s="183"/>
      <c r="X222" s="183"/>
      <c r="Y222" s="183">
        <f t="shared" si="95"/>
        <v>0</v>
      </c>
      <c r="Z222" s="183"/>
      <c r="AA222" s="183"/>
      <c r="AB222" s="183">
        <f t="shared" si="167"/>
        <v>0</v>
      </c>
      <c r="AC222" s="183"/>
      <c r="AD222" s="183"/>
      <c r="AE222" s="183">
        <f t="shared" si="97"/>
        <v>0</v>
      </c>
    </row>
    <row r="223" spans="1:192" s="156" customFormat="1" ht="31.5" x14ac:dyDescent="0.25">
      <c r="A223" s="167" t="s">
        <v>403</v>
      </c>
      <c r="B223" s="168">
        <v>1</v>
      </c>
      <c r="C223" s="168">
        <v>322</v>
      </c>
      <c r="D223" s="168">
        <v>5201</v>
      </c>
      <c r="E223" s="170">
        <f t="shared" si="75"/>
        <v>28750</v>
      </c>
      <c r="F223" s="170">
        <f t="shared" si="75"/>
        <v>28750</v>
      </c>
      <c r="G223" s="170">
        <f t="shared" si="75"/>
        <v>0</v>
      </c>
      <c r="H223" s="170"/>
      <c r="I223" s="170"/>
      <c r="J223" s="170">
        <f t="shared" si="67"/>
        <v>0</v>
      </c>
      <c r="K223" s="170"/>
      <c r="L223" s="170"/>
      <c r="M223" s="170">
        <f t="shared" si="91"/>
        <v>0</v>
      </c>
      <c r="N223" s="170"/>
      <c r="O223" s="170"/>
      <c r="P223" s="170">
        <f t="shared" si="92"/>
        <v>0</v>
      </c>
      <c r="Q223" s="170"/>
      <c r="R223" s="170"/>
      <c r="S223" s="170">
        <f t="shared" si="93"/>
        <v>0</v>
      </c>
      <c r="T223" s="170"/>
      <c r="U223" s="170"/>
      <c r="V223" s="170">
        <f t="shared" si="94"/>
        <v>0</v>
      </c>
      <c r="W223" s="170"/>
      <c r="X223" s="170"/>
      <c r="Y223" s="170">
        <f t="shared" si="95"/>
        <v>0</v>
      </c>
      <c r="Z223" s="170">
        <v>28750</v>
      </c>
      <c r="AA223" s="170">
        <v>28750</v>
      </c>
      <c r="AB223" s="170">
        <f t="shared" si="167"/>
        <v>0</v>
      </c>
      <c r="AC223" s="170"/>
      <c r="AD223" s="170"/>
      <c r="AE223" s="170">
        <f t="shared" si="97"/>
        <v>0</v>
      </c>
      <c r="AF223" s="159"/>
      <c r="AG223" s="159"/>
      <c r="AH223" s="159"/>
      <c r="AI223" s="159"/>
      <c r="AJ223" s="159"/>
      <c r="AK223" s="159"/>
      <c r="AL223" s="159"/>
      <c r="AM223" s="159"/>
      <c r="AN223" s="159"/>
      <c r="AO223" s="159"/>
      <c r="AP223" s="159"/>
      <c r="AQ223" s="159"/>
      <c r="AR223" s="159"/>
      <c r="AS223" s="159"/>
      <c r="AT223" s="159"/>
      <c r="AU223" s="159"/>
      <c r="AV223" s="159"/>
      <c r="AW223" s="159"/>
      <c r="AX223" s="159"/>
      <c r="AY223" s="159"/>
      <c r="AZ223" s="159"/>
      <c r="BA223" s="159"/>
      <c r="BB223" s="159"/>
      <c r="BC223" s="159"/>
      <c r="BD223" s="159"/>
      <c r="BE223" s="159"/>
      <c r="BF223" s="159"/>
      <c r="BG223" s="159"/>
      <c r="BH223" s="159"/>
      <c r="BI223" s="159"/>
      <c r="BJ223" s="159"/>
      <c r="BK223" s="159"/>
      <c r="BL223" s="159"/>
      <c r="BM223" s="159"/>
      <c r="BN223" s="159"/>
      <c r="BO223" s="159"/>
      <c r="BP223" s="159"/>
      <c r="BQ223" s="159"/>
      <c r="BR223" s="159"/>
      <c r="BS223" s="159"/>
      <c r="BT223" s="159"/>
      <c r="BU223" s="159"/>
      <c r="BV223" s="159"/>
      <c r="BW223" s="159"/>
      <c r="BX223" s="159"/>
      <c r="BY223" s="159"/>
      <c r="BZ223" s="159"/>
      <c r="CA223" s="159"/>
      <c r="CB223" s="159"/>
      <c r="CC223" s="159"/>
      <c r="CD223" s="159"/>
      <c r="CE223" s="159"/>
      <c r="CF223" s="159"/>
      <c r="CG223" s="159"/>
      <c r="CH223" s="159"/>
      <c r="CI223" s="159"/>
      <c r="CJ223" s="159"/>
      <c r="CK223" s="159"/>
      <c r="CL223" s="159"/>
      <c r="CM223" s="159"/>
      <c r="CN223" s="159"/>
      <c r="CO223" s="159"/>
      <c r="CP223" s="159"/>
      <c r="CQ223" s="159"/>
      <c r="CR223" s="159"/>
      <c r="CS223" s="159"/>
      <c r="CT223" s="159"/>
      <c r="CU223" s="159"/>
      <c r="CV223" s="159"/>
      <c r="CW223" s="159"/>
      <c r="CX223" s="159"/>
      <c r="CY223" s="159"/>
      <c r="CZ223" s="159"/>
      <c r="DA223" s="159"/>
      <c r="DB223" s="159"/>
      <c r="DC223" s="159"/>
      <c r="DD223" s="159"/>
      <c r="DE223" s="159"/>
      <c r="DF223" s="159"/>
      <c r="DG223" s="159"/>
      <c r="DH223" s="159"/>
      <c r="DI223" s="159"/>
      <c r="DJ223" s="159"/>
      <c r="DK223" s="159"/>
      <c r="DL223" s="159"/>
      <c r="DM223" s="159"/>
      <c r="DN223" s="159"/>
      <c r="DO223" s="159"/>
      <c r="DP223" s="159"/>
      <c r="DQ223" s="159"/>
      <c r="DR223" s="159"/>
      <c r="DS223" s="159"/>
      <c r="DT223" s="159"/>
      <c r="DU223" s="159"/>
      <c r="DV223" s="159"/>
      <c r="DW223" s="159"/>
      <c r="DX223" s="159"/>
      <c r="DY223" s="159"/>
      <c r="DZ223" s="159"/>
      <c r="EA223" s="159"/>
      <c r="EB223" s="159"/>
      <c r="EC223" s="159"/>
      <c r="ED223" s="159"/>
      <c r="EE223" s="159"/>
      <c r="EF223" s="159"/>
      <c r="EG223" s="159"/>
      <c r="EH223" s="159"/>
      <c r="EI223" s="159"/>
      <c r="EJ223" s="159"/>
      <c r="EK223" s="159"/>
      <c r="EL223" s="159"/>
      <c r="EM223" s="159"/>
      <c r="EN223" s="159"/>
      <c r="EO223" s="159"/>
      <c r="EP223" s="159"/>
      <c r="EQ223" s="159"/>
      <c r="ER223" s="159"/>
      <c r="ES223" s="159"/>
      <c r="ET223" s="159"/>
      <c r="EU223" s="159"/>
      <c r="EV223" s="159"/>
      <c r="EW223" s="159"/>
      <c r="EX223" s="159"/>
      <c r="EY223" s="159"/>
      <c r="EZ223" s="159"/>
      <c r="FA223" s="159"/>
      <c r="FB223" s="159"/>
      <c r="FC223" s="159"/>
      <c r="FD223" s="159"/>
      <c r="FE223" s="159"/>
      <c r="FF223" s="159"/>
      <c r="FG223" s="159"/>
      <c r="FH223" s="159"/>
      <c r="FI223" s="159"/>
      <c r="FJ223" s="159"/>
      <c r="FK223" s="159"/>
      <c r="FL223" s="159"/>
      <c r="FM223" s="159"/>
      <c r="FN223" s="159"/>
      <c r="FO223" s="159"/>
      <c r="FP223" s="159"/>
      <c r="FQ223" s="159"/>
      <c r="FR223" s="159"/>
      <c r="FS223" s="159"/>
      <c r="FT223" s="159"/>
      <c r="FU223" s="159"/>
      <c r="FV223" s="159"/>
      <c r="FW223" s="159"/>
      <c r="FX223" s="159"/>
      <c r="FY223" s="159"/>
      <c r="FZ223" s="159"/>
      <c r="GA223" s="159"/>
      <c r="GB223" s="159"/>
      <c r="GC223" s="159"/>
      <c r="GD223" s="159"/>
      <c r="GE223" s="159"/>
      <c r="GF223" s="159"/>
      <c r="GG223" s="159"/>
      <c r="GH223" s="159"/>
      <c r="GI223" s="159"/>
      <c r="GJ223" s="159"/>
    </row>
    <row r="224" spans="1:192" s="156" customFormat="1" ht="31.5" x14ac:dyDescent="0.25">
      <c r="A224" s="167" t="s">
        <v>404</v>
      </c>
      <c r="B224" s="168">
        <v>1</v>
      </c>
      <c r="C224" s="168">
        <v>322</v>
      </c>
      <c r="D224" s="168">
        <v>5201</v>
      </c>
      <c r="E224" s="170">
        <f t="shared" si="75"/>
        <v>7695</v>
      </c>
      <c r="F224" s="170">
        <f t="shared" si="75"/>
        <v>7695</v>
      </c>
      <c r="G224" s="170">
        <f t="shared" si="75"/>
        <v>0</v>
      </c>
      <c r="H224" s="170"/>
      <c r="I224" s="170"/>
      <c r="J224" s="170">
        <f t="shared" si="67"/>
        <v>0</v>
      </c>
      <c r="K224" s="170"/>
      <c r="L224" s="170"/>
      <c r="M224" s="170">
        <f t="shared" si="91"/>
        <v>0</v>
      </c>
      <c r="N224" s="170">
        <v>7695</v>
      </c>
      <c r="O224" s="170">
        <v>7695</v>
      </c>
      <c r="P224" s="170">
        <f t="shared" si="92"/>
        <v>0</v>
      </c>
      <c r="Q224" s="170"/>
      <c r="R224" s="170"/>
      <c r="S224" s="170">
        <f t="shared" si="93"/>
        <v>0</v>
      </c>
      <c r="T224" s="170"/>
      <c r="U224" s="170"/>
      <c r="V224" s="170">
        <f t="shared" si="94"/>
        <v>0</v>
      </c>
      <c r="W224" s="170"/>
      <c r="X224" s="170"/>
      <c r="Y224" s="170">
        <f t="shared" si="95"/>
        <v>0</v>
      </c>
      <c r="Z224" s="170"/>
      <c r="AA224" s="170"/>
      <c r="AB224" s="170">
        <f t="shared" si="167"/>
        <v>0</v>
      </c>
      <c r="AC224" s="170"/>
      <c r="AD224" s="170"/>
      <c r="AE224" s="170">
        <f t="shared" si="97"/>
        <v>0</v>
      </c>
      <c r="AF224" s="159"/>
      <c r="AG224" s="159"/>
      <c r="AH224" s="159"/>
      <c r="AI224" s="159"/>
      <c r="AJ224" s="159"/>
      <c r="AK224" s="159"/>
      <c r="AL224" s="159"/>
      <c r="AM224" s="159"/>
      <c r="AN224" s="159"/>
      <c r="AO224" s="159"/>
      <c r="AP224" s="159"/>
      <c r="AQ224" s="159"/>
      <c r="AR224" s="159"/>
      <c r="AS224" s="159"/>
      <c r="AT224" s="159"/>
      <c r="AU224" s="159"/>
      <c r="AV224" s="159"/>
      <c r="AW224" s="159"/>
      <c r="AX224" s="159"/>
      <c r="AY224" s="159"/>
      <c r="AZ224" s="159"/>
      <c r="BA224" s="159"/>
      <c r="BB224" s="159"/>
      <c r="BC224" s="159"/>
      <c r="BD224" s="159"/>
      <c r="BE224" s="159"/>
      <c r="BF224" s="159"/>
      <c r="BG224" s="159"/>
      <c r="BH224" s="159"/>
      <c r="BI224" s="159"/>
      <c r="BJ224" s="159"/>
      <c r="BK224" s="159"/>
      <c r="BL224" s="159"/>
      <c r="BM224" s="159"/>
      <c r="BN224" s="159"/>
      <c r="BO224" s="159"/>
      <c r="BP224" s="159"/>
      <c r="BQ224" s="159"/>
      <c r="BR224" s="159"/>
      <c r="BS224" s="159"/>
      <c r="BT224" s="159"/>
      <c r="BU224" s="159"/>
      <c r="BV224" s="159"/>
      <c r="BW224" s="159"/>
      <c r="BX224" s="159"/>
      <c r="BY224" s="159"/>
      <c r="BZ224" s="159"/>
      <c r="CA224" s="159"/>
      <c r="CB224" s="159"/>
      <c r="CC224" s="159"/>
      <c r="CD224" s="159"/>
      <c r="CE224" s="159"/>
      <c r="CF224" s="159"/>
      <c r="CG224" s="159"/>
      <c r="CH224" s="159"/>
      <c r="CI224" s="159"/>
      <c r="CJ224" s="159"/>
      <c r="CK224" s="159"/>
      <c r="CL224" s="159"/>
      <c r="CM224" s="159"/>
      <c r="CN224" s="159"/>
      <c r="CO224" s="159"/>
      <c r="CP224" s="159"/>
      <c r="CQ224" s="159"/>
      <c r="CR224" s="159"/>
      <c r="CS224" s="159"/>
      <c r="CT224" s="159"/>
      <c r="CU224" s="159"/>
      <c r="CV224" s="159"/>
      <c r="CW224" s="159"/>
      <c r="CX224" s="159"/>
      <c r="CY224" s="159"/>
      <c r="CZ224" s="159"/>
      <c r="DA224" s="159"/>
      <c r="DB224" s="159"/>
      <c r="DC224" s="159"/>
      <c r="DD224" s="159"/>
      <c r="DE224" s="159"/>
      <c r="DF224" s="159"/>
      <c r="DG224" s="159"/>
      <c r="DH224" s="159"/>
      <c r="DI224" s="159"/>
      <c r="DJ224" s="159"/>
      <c r="DK224" s="159"/>
      <c r="DL224" s="159"/>
      <c r="DM224" s="159"/>
      <c r="DN224" s="159"/>
      <c r="DO224" s="159"/>
      <c r="DP224" s="159"/>
      <c r="DQ224" s="159"/>
      <c r="DR224" s="159"/>
      <c r="DS224" s="159"/>
      <c r="DT224" s="159"/>
      <c r="DU224" s="159"/>
      <c r="DV224" s="159"/>
      <c r="DW224" s="159"/>
      <c r="DX224" s="159"/>
      <c r="DY224" s="159"/>
      <c r="DZ224" s="159"/>
      <c r="EA224" s="159"/>
      <c r="EB224" s="159"/>
      <c r="EC224" s="159"/>
      <c r="ED224" s="159"/>
      <c r="EE224" s="159"/>
      <c r="EF224" s="159"/>
      <c r="EG224" s="159"/>
      <c r="EH224" s="159"/>
      <c r="EI224" s="159"/>
      <c r="EJ224" s="159"/>
      <c r="EK224" s="159"/>
      <c r="EL224" s="159"/>
      <c r="EM224" s="159"/>
      <c r="EN224" s="159"/>
      <c r="EO224" s="159"/>
      <c r="EP224" s="159"/>
      <c r="EQ224" s="159"/>
      <c r="ER224" s="159"/>
      <c r="ES224" s="159"/>
      <c r="ET224" s="159"/>
      <c r="EU224" s="159"/>
      <c r="EV224" s="159"/>
      <c r="EW224" s="159"/>
      <c r="EX224" s="159"/>
      <c r="EY224" s="159"/>
      <c r="EZ224" s="159"/>
      <c r="FA224" s="159"/>
      <c r="FB224" s="159"/>
      <c r="FC224" s="159"/>
      <c r="FD224" s="159"/>
      <c r="FE224" s="159"/>
      <c r="FF224" s="159"/>
      <c r="FG224" s="159"/>
      <c r="FH224" s="159"/>
      <c r="FI224" s="159"/>
      <c r="FJ224" s="159"/>
      <c r="FK224" s="159"/>
      <c r="FL224" s="159"/>
      <c r="FM224" s="159"/>
      <c r="FN224" s="159"/>
      <c r="FO224" s="159"/>
      <c r="FP224" s="159"/>
      <c r="FQ224" s="159"/>
      <c r="FR224" s="159"/>
      <c r="FS224" s="159"/>
      <c r="FT224" s="159"/>
      <c r="FU224" s="159"/>
      <c r="FV224" s="159"/>
      <c r="FW224" s="159"/>
      <c r="FX224" s="159"/>
      <c r="FY224" s="159"/>
      <c r="FZ224" s="159"/>
      <c r="GA224" s="159"/>
      <c r="GB224" s="159"/>
      <c r="GC224" s="159"/>
      <c r="GD224" s="159"/>
      <c r="GE224" s="159"/>
      <c r="GF224" s="159"/>
      <c r="GG224" s="159"/>
      <c r="GH224" s="159"/>
      <c r="GI224" s="159"/>
      <c r="GJ224" s="159"/>
    </row>
    <row r="225" spans="1:192" s="156" customFormat="1" ht="31.5" x14ac:dyDescent="0.25">
      <c r="A225" s="167" t="s">
        <v>405</v>
      </c>
      <c r="B225" s="168">
        <v>1</v>
      </c>
      <c r="C225" s="168">
        <v>322</v>
      </c>
      <c r="D225" s="168">
        <v>5201</v>
      </c>
      <c r="E225" s="170">
        <f t="shared" si="75"/>
        <v>2347</v>
      </c>
      <c r="F225" s="170">
        <f t="shared" si="75"/>
        <v>2347</v>
      </c>
      <c r="G225" s="170">
        <f t="shared" si="75"/>
        <v>0</v>
      </c>
      <c r="H225" s="170"/>
      <c r="I225" s="170"/>
      <c r="J225" s="170">
        <f t="shared" si="67"/>
        <v>0</v>
      </c>
      <c r="K225" s="170"/>
      <c r="L225" s="170"/>
      <c r="M225" s="170">
        <f t="shared" si="91"/>
        <v>0</v>
      </c>
      <c r="N225" s="170"/>
      <c r="O225" s="170"/>
      <c r="P225" s="170">
        <f t="shared" si="92"/>
        <v>0</v>
      </c>
      <c r="Q225" s="170"/>
      <c r="R225" s="170"/>
      <c r="S225" s="170">
        <f t="shared" si="93"/>
        <v>0</v>
      </c>
      <c r="T225" s="170">
        <v>2347</v>
      </c>
      <c r="U225" s="170">
        <v>2347</v>
      </c>
      <c r="V225" s="170">
        <f t="shared" si="94"/>
        <v>0</v>
      </c>
      <c r="W225" s="170"/>
      <c r="X225" s="170"/>
      <c r="Y225" s="170">
        <f t="shared" si="95"/>
        <v>0</v>
      </c>
      <c r="Z225" s="170"/>
      <c r="AA225" s="170"/>
      <c r="AB225" s="170">
        <f t="shared" si="167"/>
        <v>0</v>
      </c>
      <c r="AC225" s="170"/>
      <c r="AD225" s="170"/>
      <c r="AE225" s="170">
        <f t="shared" si="97"/>
        <v>0</v>
      </c>
      <c r="AF225" s="159"/>
      <c r="AG225" s="159"/>
      <c r="AH225" s="159"/>
      <c r="AI225" s="159"/>
      <c r="AJ225" s="159"/>
      <c r="AK225" s="159"/>
      <c r="AL225" s="159"/>
      <c r="AM225" s="159"/>
      <c r="AN225" s="159"/>
      <c r="AO225" s="159"/>
      <c r="AP225" s="159"/>
      <c r="AQ225" s="159"/>
      <c r="AR225" s="159"/>
      <c r="AS225" s="159"/>
      <c r="AT225" s="159"/>
      <c r="AU225" s="159"/>
      <c r="AV225" s="159"/>
      <c r="AW225" s="159"/>
      <c r="AX225" s="159"/>
      <c r="AY225" s="159"/>
      <c r="AZ225" s="159"/>
      <c r="BA225" s="159"/>
      <c r="BB225" s="159"/>
      <c r="BC225" s="159"/>
      <c r="BD225" s="159"/>
      <c r="BE225" s="159"/>
      <c r="BF225" s="159"/>
      <c r="BG225" s="159"/>
      <c r="BH225" s="159"/>
      <c r="BI225" s="159"/>
      <c r="BJ225" s="159"/>
      <c r="BK225" s="159"/>
      <c r="BL225" s="159"/>
      <c r="BM225" s="159"/>
      <c r="BN225" s="159"/>
      <c r="BO225" s="159"/>
      <c r="BP225" s="159"/>
      <c r="BQ225" s="159"/>
      <c r="BR225" s="159"/>
      <c r="BS225" s="159"/>
      <c r="BT225" s="159"/>
      <c r="BU225" s="159"/>
      <c r="BV225" s="159"/>
      <c r="BW225" s="159"/>
      <c r="BX225" s="159"/>
      <c r="BY225" s="159"/>
      <c r="BZ225" s="159"/>
      <c r="CA225" s="159"/>
      <c r="CB225" s="159"/>
      <c r="CC225" s="159"/>
      <c r="CD225" s="159"/>
      <c r="CE225" s="159"/>
      <c r="CF225" s="159"/>
      <c r="CG225" s="159"/>
      <c r="CH225" s="159"/>
      <c r="CI225" s="159"/>
      <c r="CJ225" s="159"/>
      <c r="CK225" s="159"/>
      <c r="CL225" s="159"/>
      <c r="CM225" s="159"/>
      <c r="CN225" s="159"/>
      <c r="CO225" s="159"/>
      <c r="CP225" s="159"/>
      <c r="CQ225" s="159"/>
      <c r="CR225" s="159"/>
      <c r="CS225" s="159"/>
      <c r="CT225" s="159"/>
      <c r="CU225" s="159"/>
      <c r="CV225" s="159"/>
      <c r="CW225" s="159"/>
      <c r="CX225" s="159"/>
      <c r="CY225" s="159"/>
      <c r="CZ225" s="159"/>
      <c r="DA225" s="159"/>
      <c r="DB225" s="159"/>
      <c r="DC225" s="159"/>
      <c r="DD225" s="159"/>
      <c r="DE225" s="159"/>
      <c r="DF225" s="159"/>
      <c r="DG225" s="159"/>
      <c r="DH225" s="159"/>
      <c r="DI225" s="159"/>
      <c r="DJ225" s="159"/>
      <c r="DK225" s="159"/>
      <c r="DL225" s="159"/>
      <c r="DM225" s="159"/>
      <c r="DN225" s="159"/>
      <c r="DO225" s="159"/>
      <c r="DP225" s="159"/>
      <c r="DQ225" s="159"/>
      <c r="DR225" s="159"/>
      <c r="DS225" s="159"/>
      <c r="DT225" s="159"/>
      <c r="DU225" s="159"/>
      <c r="DV225" s="159"/>
      <c r="DW225" s="159"/>
      <c r="DX225" s="159"/>
      <c r="DY225" s="159"/>
      <c r="DZ225" s="159"/>
      <c r="EA225" s="159"/>
      <c r="EB225" s="159"/>
      <c r="EC225" s="159"/>
      <c r="ED225" s="159"/>
      <c r="EE225" s="159"/>
      <c r="EF225" s="159"/>
      <c r="EG225" s="159"/>
      <c r="EH225" s="159"/>
      <c r="EI225" s="159"/>
      <c r="EJ225" s="159"/>
      <c r="EK225" s="159"/>
      <c r="EL225" s="159"/>
      <c r="EM225" s="159"/>
      <c r="EN225" s="159"/>
      <c r="EO225" s="159"/>
      <c r="EP225" s="159"/>
      <c r="EQ225" s="159"/>
      <c r="ER225" s="159"/>
      <c r="ES225" s="159"/>
      <c r="ET225" s="159"/>
      <c r="EU225" s="159"/>
      <c r="EV225" s="159"/>
      <c r="EW225" s="159"/>
      <c r="EX225" s="159"/>
      <c r="EY225" s="159"/>
      <c r="EZ225" s="159"/>
      <c r="FA225" s="159"/>
      <c r="FB225" s="159"/>
      <c r="FC225" s="159"/>
      <c r="FD225" s="159"/>
      <c r="FE225" s="159"/>
      <c r="FF225" s="159"/>
      <c r="FG225" s="159"/>
      <c r="FH225" s="159"/>
      <c r="FI225" s="159"/>
      <c r="FJ225" s="159"/>
      <c r="FK225" s="159"/>
      <c r="FL225" s="159"/>
      <c r="FM225" s="159"/>
      <c r="FN225" s="159"/>
      <c r="FO225" s="159"/>
      <c r="FP225" s="159"/>
      <c r="FQ225" s="159"/>
      <c r="FR225" s="159"/>
      <c r="FS225" s="159"/>
      <c r="FT225" s="159"/>
      <c r="FU225" s="159"/>
      <c r="FV225" s="159"/>
      <c r="FW225" s="159"/>
      <c r="FX225" s="159"/>
      <c r="FY225" s="159"/>
      <c r="FZ225" s="159"/>
      <c r="GA225" s="159"/>
      <c r="GB225" s="159"/>
      <c r="GC225" s="159"/>
      <c r="GD225" s="159"/>
      <c r="GE225" s="159"/>
      <c r="GF225" s="159"/>
      <c r="GG225" s="159"/>
      <c r="GH225" s="159"/>
      <c r="GI225" s="159"/>
      <c r="GJ225" s="159"/>
    </row>
    <row r="226" spans="1:192" s="156" customFormat="1" x14ac:dyDescent="0.25">
      <c r="A226" s="167" t="s">
        <v>406</v>
      </c>
      <c r="B226" s="168">
        <v>1</v>
      </c>
      <c r="C226" s="168">
        <v>322</v>
      </c>
      <c r="D226" s="168">
        <v>5201</v>
      </c>
      <c r="E226" s="170">
        <f t="shared" si="75"/>
        <v>6834</v>
      </c>
      <c r="F226" s="170">
        <f t="shared" si="75"/>
        <v>6834</v>
      </c>
      <c r="G226" s="170">
        <f t="shared" si="75"/>
        <v>0</v>
      </c>
      <c r="H226" s="170"/>
      <c r="I226" s="170"/>
      <c r="J226" s="170">
        <f t="shared" si="67"/>
        <v>0</v>
      </c>
      <c r="K226" s="170"/>
      <c r="L226" s="170"/>
      <c r="M226" s="170">
        <f t="shared" si="91"/>
        <v>0</v>
      </c>
      <c r="N226" s="170">
        <v>6834</v>
      </c>
      <c r="O226" s="170">
        <v>6834</v>
      </c>
      <c r="P226" s="170">
        <f t="shared" si="92"/>
        <v>0</v>
      </c>
      <c r="Q226" s="170"/>
      <c r="R226" s="170"/>
      <c r="S226" s="170">
        <f t="shared" si="93"/>
        <v>0</v>
      </c>
      <c r="T226" s="170"/>
      <c r="U226" s="170"/>
      <c r="V226" s="170">
        <f t="shared" si="94"/>
        <v>0</v>
      </c>
      <c r="W226" s="170"/>
      <c r="X226" s="170"/>
      <c r="Y226" s="170">
        <f t="shared" si="95"/>
        <v>0</v>
      </c>
      <c r="Z226" s="170"/>
      <c r="AA226" s="170"/>
      <c r="AB226" s="170">
        <f t="shared" si="167"/>
        <v>0</v>
      </c>
      <c r="AC226" s="170"/>
      <c r="AD226" s="170"/>
      <c r="AE226" s="170">
        <f t="shared" si="97"/>
        <v>0</v>
      </c>
      <c r="AF226" s="159"/>
      <c r="AG226" s="159"/>
      <c r="AH226" s="159"/>
      <c r="AI226" s="159"/>
      <c r="AJ226" s="159"/>
      <c r="AK226" s="159"/>
      <c r="AL226" s="159"/>
      <c r="AM226" s="159"/>
      <c r="AN226" s="159"/>
      <c r="AO226" s="159"/>
      <c r="AP226" s="159"/>
      <c r="AQ226" s="159"/>
      <c r="AR226" s="159"/>
      <c r="AS226" s="159"/>
      <c r="AT226" s="159"/>
      <c r="AU226" s="159"/>
      <c r="AV226" s="159"/>
      <c r="AW226" s="159"/>
      <c r="AX226" s="159"/>
      <c r="AY226" s="159"/>
      <c r="AZ226" s="159"/>
      <c r="BA226" s="159"/>
      <c r="BB226" s="159"/>
      <c r="BC226" s="159"/>
      <c r="BD226" s="159"/>
      <c r="BE226" s="159"/>
      <c r="BF226" s="159"/>
      <c r="BG226" s="159"/>
      <c r="BH226" s="159"/>
      <c r="BI226" s="159"/>
      <c r="BJ226" s="159"/>
      <c r="BK226" s="159"/>
      <c r="BL226" s="159"/>
      <c r="BM226" s="159"/>
      <c r="BN226" s="159"/>
      <c r="BO226" s="159"/>
      <c r="BP226" s="159"/>
      <c r="BQ226" s="159"/>
      <c r="BR226" s="159"/>
      <c r="BS226" s="159"/>
      <c r="BT226" s="159"/>
      <c r="BU226" s="159"/>
      <c r="BV226" s="159"/>
      <c r="BW226" s="159"/>
      <c r="BX226" s="159"/>
      <c r="BY226" s="159"/>
      <c r="BZ226" s="159"/>
      <c r="CA226" s="159"/>
      <c r="CB226" s="159"/>
      <c r="CC226" s="159"/>
      <c r="CD226" s="159"/>
      <c r="CE226" s="159"/>
      <c r="CF226" s="159"/>
      <c r="CG226" s="159"/>
      <c r="CH226" s="159"/>
      <c r="CI226" s="159"/>
      <c r="CJ226" s="159"/>
      <c r="CK226" s="159"/>
      <c r="CL226" s="159"/>
      <c r="CM226" s="159"/>
      <c r="CN226" s="159"/>
      <c r="CO226" s="159"/>
      <c r="CP226" s="159"/>
      <c r="CQ226" s="159"/>
      <c r="CR226" s="159"/>
      <c r="CS226" s="159"/>
      <c r="CT226" s="159"/>
      <c r="CU226" s="159"/>
      <c r="CV226" s="159"/>
      <c r="CW226" s="159"/>
      <c r="CX226" s="159"/>
      <c r="CY226" s="159"/>
      <c r="CZ226" s="159"/>
      <c r="DA226" s="159"/>
      <c r="DB226" s="159"/>
      <c r="DC226" s="159"/>
      <c r="DD226" s="159"/>
      <c r="DE226" s="159"/>
      <c r="DF226" s="159"/>
      <c r="DG226" s="159"/>
      <c r="DH226" s="159"/>
      <c r="DI226" s="159"/>
      <c r="DJ226" s="159"/>
      <c r="DK226" s="159"/>
      <c r="DL226" s="159"/>
      <c r="DM226" s="159"/>
      <c r="DN226" s="159"/>
      <c r="DO226" s="159"/>
      <c r="DP226" s="159"/>
      <c r="DQ226" s="159"/>
      <c r="DR226" s="159"/>
      <c r="DS226" s="159"/>
      <c r="DT226" s="159"/>
      <c r="DU226" s="159"/>
      <c r="DV226" s="159"/>
      <c r="DW226" s="159"/>
      <c r="DX226" s="159"/>
      <c r="DY226" s="159"/>
      <c r="DZ226" s="159"/>
      <c r="EA226" s="159"/>
      <c r="EB226" s="159"/>
      <c r="EC226" s="159"/>
      <c r="ED226" s="159"/>
      <c r="EE226" s="159"/>
      <c r="EF226" s="159"/>
      <c r="EG226" s="159"/>
      <c r="EH226" s="159"/>
      <c r="EI226" s="159"/>
      <c r="EJ226" s="159"/>
      <c r="EK226" s="159"/>
      <c r="EL226" s="159"/>
      <c r="EM226" s="159"/>
      <c r="EN226" s="159"/>
      <c r="EO226" s="159"/>
      <c r="EP226" s="159"/>
      <c r="EQ226" s="159"/>
      <c r="ER226" s="159"/>
      <c r="ES226" s="159"/>
      <c r="ET226" s="159"/>
      <c r="EU226" s="159"/>
      <c r="EV226" s="159"/>
      <c r="EW226" s="159"/>
      <c r="EX226" s="159"/>
      <c r="EY226" s="159"/>
      <c r="EZ226" s="159"/>
      <c r="FA226" s="159"/>
      <c r="FB226" s="159"/>
      <c r="FC226" s="159"/>
      <c r="FD226" s="159"/>
      <c r="FE226" s="159"/>
      <c r="FF226" s="159"/>
      <c r="FG226" s="159"/>
      <c r="FH226" s="159"/>
      <c r="FI226" s="159"/>
      <c r="FJ226" s="159"/>
      <c r="FK226" s="159"/>
      <c r="FL226" s="159"/>
      <c r="FM226" s="159"/>
      <c r="FN226" s="159"/>
      <c r="FO226" s="159"/>
      <c r="FP226" s="159"/>
      <c r="FQ226" s="159"/>
      <c r="FR226" s="159"/>
      <c r="FS226" s="159"/>
      <c r="FT226" s="159"/>
      <c r="FU226" s="159"/>
      <c r="FV226" s="159"/>
      <c r="FW226" s="159"/>
      <c r="FX226" s="159"/>
      <c r="FY226" s="159"/>
      <c r="FZ226" s="159"/>
      <c r="GA226" s="159"/>
      <c r="GB226" s="159"/>
      <c r="GC226" s="159"/>
      <c r="GD226" s="159"/>
      <c r="GE226" s="159"/>
      <c r="GF226" s="159"/>
      <c r="GG226" s="159"/>
      <c r="GH226" s="159"/>
      <c r="GI226" s="159"/>
      <c r="GJ226" s="159"/>
    </row>
    <row r="227" spans="1:192" s="156" customFormat="1" x14ac:dyDescent="0.25">
      <c r="A227" s="167" t="s">
        <v>407</v>
      </c>
      <c r="B227" s="168">
        <v>1</v>
      </c>
      <c r="C227" s="168">
        <v>332</v>
      </c>
      <c r="D227" s="168">
        <v>5201</v>
      </c>
      <c r="E227" s="170">
        <f t="shared" si="75"/>
        <v>2891</v>
      </c>
      <c r="F227" s="170">
        <f t="shared" si="75"/>
        <v>2891</v>
      </c>
      <c r="G227" s="170">
        <f t="shared" si="75"/>
        <v>0</v>
      </c>
      <c r="H227" s="170"/>
      <c r="I227" s="170"/>
      <c r="J227" s="170">
        <f t="shared" si="67"/>
        <v>0</v>
      </c>
      <c r="K227" s="170"/>
      <c r="L227" s="170"/>
      <c r="M227" s="170">
        <f t="shared" si="91"/>
        <v>0</v>
      </c>
      <c r="N227" s="170">
        <f>1798+1093</f>
        <v>2891</v>
      </c>
      <c r="O227" s="170">
        <f>1798+1093</f>
        <v>2891</v>
      </c>
      <c r="P227" s="170">
        <f t="shared" si="92"/>
        <v>0</v>
      </c>
      <c r="Q227" s="170"/>
      <c r="R227" s="170"/>
      <c r="S227" s="170">
        <f t="shared" si="93"/>
        <v>0</v>
      </c>
      <c r="T227" s="170"/>
      <c r="U227" s="170"/>
      <c r="V227" s="170">
        <f t="shared" si="94"/>
        <v>0</v>
      </c>
      <c r="W227" s="170"/>
      <c r="X227" s="170"/>
      <c r="Y227" s="170">
        <f t="shared" si="95"/>
        <v>0</v>
      </c>
      <c r="Z227" s="170"/>
      <c r="AA227" s="170"/>
      <c r="AB227" s="170">
        <f t="shared" si="167"/>
        <v>0</v>
      </c>
      <c r="AC227" s="170"/>
      <c r="AD227" s="170"/>
      <c r="AE227" s="170">
        <f t="shared" si="97"/>
        <v>0</v>
      </c>
      <c r="AF227" s="159"/>
      <c r="AG227" s="159"/>
      <c r="AH227" s="159"/>
      <c r="AI227" s="159"/>
      <c r="AJ227" s="159"/>
      <c r="AK227" s="159"/>
      <c r="AL227" s="159"/>
      <c r="AM227" s="159"/>
      <c r="AN227" s="159"/>
      <c r="AO227" s="159"/>
      <c r="AP227" s="159"/>
      <c r="AQ227" s="159"/>
      <c r="AR227" s="159"/>
      <c r="AS227" s="159"/>
      <c r="AT227" s="159"/>
      <c r="AU227" s="159"/>
      <c r="AV227" s="159"/>
      <c r="AW227" s="159"/>
      <c r="AX227" s="159"/>
      <c r="AY227" s="159"/>
      <c r="AZ227" s="159"/>
      <c r="BA227" s="159"/>
      <c r="BB227" s="159"/>
      <c r="BC227" s="159"/>
      <c r="BD227" s="159"/>
      <c r="BE227" s="159"/>
      <c r="BF227" s="159"/>
      <c r="BG227" s="159"/>
      <c r="BH227" s="159"/>
      <c r="BI227" s="159"/>
      <c r="BJ227" s="159"/>
      <c r="BK227" s="159"/>
      <c r="BL227" s="159"/>
      <c r="BM227" s="159"/>
      <c r="BN227" s="159"/>
      <c r="BO227" s="159"/>
      <c r="BP227" s="159"/>
      <c r="BQ227" s="159"/>
      <c r="BR227" s="159"/>
      <c r="BS227" s="159"/>
      <c r="BT227" s="159"/>
      <c r="BU227" s="159"/>
      <c r="BV227" s="159"/>
      <c r="BW227" s="159"/>
      <c r="BX227" s="159"/>
      <c r="BY227" s="159"/>
      <c r="BZ227" s="159"/>
      <c r="CA227" s="159"/>
      <c r="CB227" s="159"/>
      <c r="CC227" s="159"/>
      <c r="CD227" s="159"/>
      <c r="CE227" s="159"/>
      <c r="CF227" s="159"/>
      <c r="CG227" s="159"/>
      <c r="CH227" s="159"/>
      <c r="CI227" s="159"/>
      <c r="CJ227" s="159"/>
      <c r="CK227" s="159"/>
      <c r="CL227" s="159"/>
      <c r="CM227" s="159"/>
      <c r="CN227" s="159"/>
      <c r="CO227" s="159"/>
      <c r="CP227" s="159"/>
      <c r="CQ227" s="159"/>
      <c r="CR227" s="159"/>
      <c r="CS227" s="159"/>
      <c r="CT227" s="159"/>
      <c r="CU227" s="159"/>
      <c r="CV227" s="159"/>
      <c r="CW227" s="159"/>
      <c r="CX227" s="159"/>
      <c r="CY227" s="159"/>
      <c r="CZ227" s="159"/>
      <c r="DA227" s="159"/>
      <c r="DB227" s="159"/>
      <c r="DC227" s="159"/>
      <c r="DD227" s="159"/>
      <c r="DE227" s="159"/>
      <c r="DF227" s="159"/>
      <c r="DG227" s="159"/>
      <c r="DH227" s="159"/>
      <c r="DI227" s="159"/>
      <c r="DJ227" s="159"/>
      <c r="DK227" s="159"/>
      <c r="DL227" s="159"/>
      <c r="DM227" s="159"/>
      <c r="DN227" s="159"/>
      <c r="DO227" s="159"/>
      <c r="DP227" s="159"/>
      <c r="DQ227" s="159"/>
      <c r="DR227" s="159"/>
      <c r="DS227" s="159"/>
      <c r="DT227" s="159"/>
      <c r="DU227" s="159"/>
      <c r="DV227" s="159"/>
      <c r="DW227" s="159"/>
      <c r="DX227" s="159"/>
      <c r="DY227" s="159"/>
      <c r="DZ227" s="159"/>
      <c r="EA227" s="159"/>
      <c r="EB227" s="159"/>
      <c r="EC227" s="159"/>
      <c r="ED227" s="159"/>
      <c r="EE227" s="159"/>
      <c r="EF227" s="159"/>
      <c r="EG227" s="159"/>
      <c r="EH227" s="159"/>
      <c r="EI227" s="159"/>
      <c r="EJ227" s="159"/>
      <c r="EK227" s="159"/>
      <c r="EL227" s="159"/>
      <c r="EM227" s="159"/>
      <c r="EN227" s="159"/>
      <c r="EO227" s="159"/>
      <c r="EP227" s="159"/>
      <c r="EQ227" s="159"/>
      <c r="ER227" s="159"/>
      <c r="ES227" s="159"/>
      <c r="ET227" s="159"/>
      <c r="EU227" s="159"/>
      <c r="EV227" s="159"/>
      <c r="EW227" s="159"/>
      <c r="EX227" s="159"/>
      <c r="EY227" s="159"/>
      <c r="EZ227" s="159"/>
      <c r="FA227" s="159"/>
      <c r="FB227" s="159"/>
      <c r="FC227" s="159"/>
      <c r="FD227" s="159"/>
      <c r="FE227" s="159"/>
      <c r="FF227" s="159"/>
      <c r="FG227" s="159"/>
      <c r="FH227" s="159"/>
      <c r="FI227" s="159"/>
      <c r="FJ227" s="159"/>
      <c r="FK227" s="159"/>
      <c r="FL227" s="159"/>
      <c r="FM227" s="159"/>
      <c r="FN227" s="159"/>
      <c r="FO227" s="159"/>
      <c r="FP227" s="159"/>
      <c r="FQ227" s="159"/>
      <c r="FR227" s="159"/>
      <c r="FS227" s="159"/>
      <c r="FT227" s="159"/>
      <c r="FU227" s="159"/>
      <c r="FV227" s="159"/>
      <c r="FW227" s="159"/>
      <c r="FX227" s="159"/>
      <c r="FY227" s="159"/>
      <c r="FZ227" s="159"/>
      <c r="GA227" s="159"/>
      <c r="GB227" s="159"/>
      <c r="GC227" s="159"/>
      <c r="GD227" s="159"/>
      <c r="GE227" s="159"/>
      <c r="GF227" s="159"/>
      <c r="GG227" s="159"/>
      <c r="GH227" s="159"/>
      <c r="GI227" s="159"/>
      <c r="GJ227" s="159"/>
    </row>
    <row r="228" spans="1:192" s="156" customFormat="1" x14ac:dyDescent="0.25">
      <c r="A228" s="167" t="s">
        <v>408</v>
      </c>
      <c r="B228" s="168">
        <v>1</v>
      </c>
      <c r="C228" s="168">
        <v>322</v>
      </c>
      <c r="D228" s="168">
        <v>5201</v>
      </c>
      <c r="E228" s="170">
        <f t="shared" si="75"/>
        <v>3336</v>
      </c>
      <c r="F228" s="170">
        <f t="shared" si="75"/>
        <v>3336</v>
      </c>
      <c r="G228" s="170">
        <f t="shared" si="75"/>
        <v>0</v>
      </c>
      <c r="H228" s="170"/>
      <c r="I228" s="170"/>
      <c r="J228" s="170">
        <f t="shared" si="67"/>
        <v>0</v>
      </c>
      <c r="K228" s="170"/>
      <c r="L228" s="170"/>
      <c r="M228" s="170">
        <f t="shared" si="91"/>
        <v>0</v>
      </c>
      <c r="N228" s="170">
        <v>3336</v>
      </c>
      <c r="O228" s="170">
        <v>3336</v>
      </c>
      <c r="P228" s="170">
        <f t="shared" si="92"/>
        <v>0</v>
      </c>
      <c r="Q228" s="170"/>
      <c r="R228" s="170"/>
      <c r="S228" s="170">
        <f t="shared" si="93"/>
        <v>0</v>
      </c>
      <c r="T228" s="170"/>
      <c r="U228" s="170"/>
      <c r="V228" s="170">
        <f t="shared" si="94"/>
        <v>0</v>
      </c>
      <c r="W228" s="170"/>
      <c r="X228" s="170"/>
      <c r="Y228" s="170">
        <f t="shared" si="95"/>
        <v>0</v>
      </c>
      <c r="Z228" s="170"/>
      <c r="AA228" s="170"/>
      <c r="AB228" s="170">
        <f t="shared" si="167"/>
        <v>0</v>
      </c>
      <c r="AC228" s="170"/>
      <c r="AD228" s="170"/>
      <c r="AE228" s="170">
        <f t="shared" si="97"/>
        <v>0</v>
      </c>
      <c r="AF228" s="159"/>
      <c r="AG228" s="159"/>
      <c r="AH228" s="159"/>
      <c r="AI228" s="159"/>
      <c r="AJ228" s="159"/>
      <c r="AK228" s="159"/>
      <c r="AL228" s="159"/>
      <c r="AM228" s="159"/>
      <c r="AN228" s="159"/>
      <c r="AO228" s="159"/>
      <c r="AP228" s="159"/>
      <c r="AQ228" s="159"/>
      <c r="AR228" s="159"/>
      <c r="AS228" s="159"/>
      <c r="AT228" s="159"/>
      <c r="AU228" s="159"/>
      <c r="AV228" s="159"/>
      <c r="AW228" s="159"/>
      <c r="AX228" s="159"/>
      <c r="AY228" s="159"/>
      <c r="AZ228" s="159"/>
      <c r="BA228" s="159"/>
      <c r="BB228" s="159"/>
      <c r="BC228" s="159"/>
      <c r="BD228" s="159"/>
      <c r="BE228" s="159"/>
      <c r="BF228" s="159"/>
      <c r="BG228" s="159"/>
      <c r="BH228" s="159"/>
      <c r="BI228" s="159"/>
      <c r="BJ228" s="159"/>
      <c r="BK228" s="159"/>
      <c r="BL228" s="159"/>
      <c r="BM228" s="159"/>
      <c r="BN228" s="159"/>
      <c r="BO228" s="159"/>
      <c r="BP228" s="159"/>
      <c r="BQ228" s="159"/>
      <c r="BR228" s="159"/>
      <c r="BS228" s="159"/>
      <c r="BT228" s="159"/>
      <c r="BU228" s="159"/>
      <c r="BV228" s="159"/>
      <c r="BW228" s="159"/>
      <c r="BX228" s="159"/>
      <c r="BY228" s="159"/>
      <c r="BZ228" s="159"/>
      <c r="CA228" s="159"/>
      <c r="CB228" s="159"/>
      <c r="CC228" s="159"/>
      <c r="CD228" s="159"/>
      <c r="CE228" s="159"/>
      <c r="CF228" s="159"/>
      <c r="CG228" s="159"/>
      <c r="CH228" s="159"/>
      <c r="CI228" s="159"/>
      <c r="CJ228" s="159"/>
      <c r="CK228" s="159"/>
      <c r="CL228" s="159"/>
      <c r="CM228" s="159"/>
      <c r="CN228" s="159"/>
      <c r="CO228" s="159"/>
      <c r="CP228" s="159"/>
      <c r="CQ228" s="159"/>
      <c r="CR228" s="159"/>
      <c r="CS228" s="159"/>
      <c r="CT228" s="159"/>
      <c r="CU228" s="159"/>
      <c r="CV228" s="159"/>
      <c r="CW228" s="159"/>
      <c r="CX228" s="159"/>
      <c r="CY228" s="159"/>
      <c r="CZ228" s="159"/>
      <c r="DA228" s="159"/>
      <c r="DB228" s="159"/>
      <c r="DC228" s="159"/>
      <c r="DD228" s="159"/>
      <c r="DE228" s="159"/>
      <c r="DF228" s="159"/>
      <c r="DG228" s="159"/>
      <c r="DH228" s="159"/>
      <c r="DI228" s="159"/>
      <c r="DJ228" s="159"/>
      <c r="DK228" s="159"/>
      <c r="DL228" s="159"/>
      <c r="DM228" s="159"/>
      <c r="DN228" s="159"/>
      <c r="DO228" s="159"/>
      <c r="DP228" s="159"/>
      <c r="DQ228" s="159"/>
      <c r="DR228" s="159"/>
      <c r="DS228" s="159"/>
      <c r="DT228" s="159"/>
      <c r="DU228" s="159"/>
      <c r="DV228" s="159"/>
      <c r="DW228" s="159"/>
      <c r="DX228" s="159"/>
      <c r="DY228" s="159"/>
      <c r="DZ228" s="159"/>
      <c r="EA228" s="159"/>
      <c r="EB228" s="159"/>
      <c r="EC228" s="159"/>
      <c r="ED228" s="159"/>
      <c r="EE228" s="159"/>
      <c r="EF228" s="159"/>
      <c r="EG228" s="159"/>
      <c r="EH228" s="159"/>
      <c r="EI228" s="159"/>
      <c r="EJ228" s="159"/>
      <c r="EK228" s="159"/>
      <c r="EL228" s="159"/>
      <c r="EM228" s="159"/>
      <c r="EN228" s="159"/>
      <c r="EO228" s="159"/>
      <c r="EP228" s="159"/>
      <c r="EQ228" s="159"/>
      <c r="ER228" s="159"/>
      <c r="ES228" s="159"/>
      <c r="ET228" s="159"/>
      <c r="EU228" s="159"/>
      <c r="EV228" s="159"/>
      <c r="EW228" s="159"/>
      <c r="EX228" s="159"/>
      <c r="EY228" s="159"/>
      <c r="EZ228" s="159"/>
      <c r="FA228" s="159"/>
      <c r="FB228" s="159"/>
      <c r="FC228" s="159"/>
      <c r="FD228" s="159"/>
      <c r="FE228" s="159"/>
      <c r="FF228" s="159"/>
      <c r="FG228" s="159"/>
      <c r="FH228" s="159"/>
      <c r="FI228" s="159"/>
      <c r="FJ228" s="159"/>
      <c r="FK228" s="159"/>
      <c r="FL228" s="159"/>
      <c r="FM228" s="159"/>
      <c r="FN228" s="159"/>
      <c r="FO228" s="159"/>
      <c r="FP228" s="159"/>
      <c r="FQ228" s="159"/>
      <c r="FR228" s="159"/>
      <c r="FS228" s="159"/>
      <c r="FT228" s="159"/>
      <c r="FU228" s="159"/>
      <c r="FV228" s="159"/>
      <c r="FW228" s="159"/>
      <c r="FX228" s="159"/>
      <c r="FY228" s="159"/>
      <c r="FZ228" s="159"/>
      <c r="GA228" s="159"/>
      <c r="GB228" s="159"/>
      <c r="GC228" s="159"/>
      <c r="GD228" s="159"/>
      <c r="GE228" s="159"/>
      <c r="GF228" s="159"/>
      <c r="GG228" s="159"/>
      <c r="GH228" s="159"/>
      <c r="GI228" s="159"/>
      <c r="GJ228" s="159"/>
    </row>
    <row r="229" spans="1:192" s="156" customFormat="1" ht="31.5" x14ac:dyDescent="0.25">
      <c r="A229" s="167" t="s">
        <v>409</v>
      </c>
      <c r="B229" s="168">
        <v>1</v>
      </c>
      <c r="C229" s="168">
        <v>322</v>
      </c>
      <c r="D229" s="168">
        <v>5201</v>
      </c>
      <c r="E229" s="170">
        <f t="shared" si="75"/>
        <v>4219</v>
      </c>
      <c r="F229" s="170">
        <f t="shared" si="75"/>
        <v>4219</v>
      </c>
      <c r="G229" s="170">
        <f t="shared" si="75"/>
        <v>0</v>
      </c>
      <c r="H229" s="170"/>
      <c r="I229" s="170"/>
      <c r="J229" s="170">
        <f t="shared" si="67"/>
        <v>0</v>
      </c>
      <c r="K229" s="170"/>
      <c r="L229" s="170"/>
      <c r="M229" s="170">
        <f t="shared" si="91"/>
        <v>0</v>
      </c>
      <c r="N229" s="170">
        <v>4219</v>
      </c>
      <c r="O229" s="170">
        <v>4219</v>
      </c>
      <c r="P229" s="170">
        <f t="shared" si="92"/>
        <v>0</v>
      </c>
      <c r="Q229" s="170"/>
      <c r="R229" s="170"/>
      <c r="S229" s="170">
        <f t="shared" si="93"/>
        <v>0</v>
      </c>
      <c r="T229" s="170"/>
      <c r="U229" s="170"/>
      <c r="V229" s="170">
        <f t="shared" si="94"/>
        <v>0</v>
      </c>
      <c r="W229" s="170"/>
      <c r="X229" s="170"/>
      <c r="Y229" s="170">
        <f t="shared" si="95"/>
        <v>0</v>
      </c>
      <c r="Z229" s="170"/>
      <c r="AA229" s="170"/>
      <c r="AB229" s="170">
        <f t="shared" si="167"/>
        <v>0</v>
      </c>
      <c r="AC229" s="170"/>
      <c r="AD229" s="170"/>
      <c r="AE229" s="170">
        <f t="shared" si="97"/>
        <v>0</v>
      </c>
      <c r="AF229" s="159"/>
      <c r="AG229" s="159"/>
      <c r="AH229" s="159"/>
      <c r="AI229" s="159"/>
      <c r="AJ229" s="159"/>
      <c r="AK229" s="159"/>
      <c r="AL229" s="159"/>
      <c r="AM229" s="159"/>
      <c r="AN229" s="159"/>
      <c r="AO229" s="159"/>
      <c r="AP229" s="159"/>
      <c r="AQ229" s="159"/>
      <c r="AR229" s="159"/>
      <c r="AS229" s="159"/>
      <c r="AT229" s="159"/>
      <c r="AU229" s="159"/>
      <c r="AV229" s="159"/>
      <c r="AW229" s="159"/>
      <c r="AX229" s="159"/>
      <c r="AY229" s="159"/>
      <c r="AZ229" s="159"/>
      <c r="BA229" s="159"/>
      <c r="BB229" s="159"/>
      <c r="BC229" s="159"/>
      <c r="BD229" s="159"/>
      <c r="BE229" s="159"/>
      <c r="BF229" s="159"/>
      <c r="BG229" s="159"/>
      <c r="BH229" s="159"/>
      <c r="BI229" s="159"/>
      <c r="BJ229" s="159"/>
      <c r="BK229" s="159"/>
      <c r="BL229" s="159"/>
      <c r="BM229" s="159"/>
      <c r="BN229" s="159"/>
      <c r="BO229" s="159"/>
      <c r="BP229" s="159"/>
      <c r="BQ229" s="159"/>
      <c r="BR229" s="159"/>
      <c r="BS229" s="159"/>
      <c r="BT229" s="159"/>
      <c r="BU229" s="159"/>
      <c r="BV229" s="159"/>
      <c r="BW229" s="159"/>
      <c r="BX229" s="159"/>
      <c r="BY229" s="159"/>
      <c r="BZ229" s="159"/>
      <c r="CA229" s="159"/>
      <c r="CB229" s="159"/>
      <c r="CC229" s="159"/>
      <c r="CD229" s="159"/>
      <c r="CE229" s="159"/>
      <c r="CF229" s="159"/>
      <c r="CG229" s="159"/>
      <c r="CH229" s="159"/>
      <c r="CI229" s="159"/>
      <c r="CJ229" s="159"/>
      <c r="CK229" s="159"/>
      <c r="CL229" s="159"/>
      <c r="CM229" s="159"/>
      <c r="CN229" s="159"/>
      <c r="CO229" s="159"/>
      <c r="CP229" s="159"/>
      <c r="CQ229" s="159"/>
      <c r="CR229" s="159"/>
      <c r="CS229" s="159"/>
      <c r="CT229" s="159"/>
      <c r="CU229" s="159"/>
      <c r="CV229" s="159"/>
      <c r="CW229" s="159"/>
      <c r="CX229" s="159"/>
      <c r="CY229" s="159"/>
      <c r="CZ229" s="159"/>
      <c r="DA229" s="159"/>
      <c r="DB229" s="159"/>
      <c r="DC229" s="159"/>
      <c r="DD229" s="159"/>
      <c r="DE229" s="159"/>
      <c r="DF229" s="159"/>
      <c r="DG229" s="159"/>
      <c r="DH229" s="159"/>
      <c r="DI229" s="159"/>
      <c r="DJ229" s="159"/>
      <c r="DK229" s="159"/>
      <c r="DL229" s="159"/>
      <c r="DM229" s="159"/>
      <c r="DN229" s="159"/>
      <c r="DO229" s="159"/>
      <c r="DP229" s="159"/>
      <c r="DQ229" s="159"/>
      <c r="DR229" s="159"/>
      <c r="DS229" s="159"/>
      <c r="DT229" s="159"/>
      <c r="DU229" s="159"/>
      <c r="DV229" s="159"/>
      <c r="DW229" s="159"/>
      <c r="DX229" s="159"/>
      <c r="DY229" s="159"/>
      <c r="DZ229" s="159"/>
      <c r="EA229" s="159"/>
      <c r="EB229" s="159"/>
      <c r="EC229" s="159"/>
      <c r="ED229" s="159"/>
      <c r="EE229" s="159"/>
      <c r="EF229" s="159"/>
      <c r="EG229" s="159"/>
      <c r="EH229" s="159"/>
      <c r="EI229" s="159"/>
      <c r="EJ229" s="159"/>
      <c r="EK229" s="159"/>
      <c r="EL229" s="159"/>
      <c r="EM229" s="159"/>
      <c r="EN229" s="159"/>
      <c r="EO229" s="159"/>
      <c r="EP229" s="159"/>
      <c r="EQ229" s="159"/>
      <c r="ER229" s="159"/>
      <c r="ES229" s="159"/>
      <c r="ET229" s="159"/>
      <c r="EU229" s="159"/>
      <c r="EV229" s="159"/>
      <c r="EW229" s="159"/>
      <c r="EX229" s="159"/>
      <c r="EY229" s="159"/>
      <c r="EZ229" s="159"/>
      <c r="FA229" s="159"/>
      <c r="FB229" s="159"/>
      <c r="FC229" s="159"/>
      <c r="FD229" s="159"/>
      <c r="FE229" s="159"/>
      <c r="FF229" s="159"/>
      <c r="FG229" s="159"/>
      <c r="FH229" s="159"/>
      <c r="FI229" s="159"/>
      <c r="FJ229" s="159"/>
      <c r="FK229" s="159"/>
      <c r="FL229" s="159"/>
      <c r="FM229" s="159"/>
      <c r="FN229" s="159"/>
      <c r="FO229" s="159"/>
      <c r="FP229" s="159"/>
      <c r="FQ229" s="159"/>
      <c r="FR229" s="159"/>
      <c r="FS229" s="159"/>
      <c r="FT229" s="159"/>
      <c r="FU229" s="159"/>
      <c r="FV229" s="159"/>
      <c r="FW229" s="159"/>
      <c r="FX229" s="159"/>
      <c r="FY229" s="159"/>
      <c r="FZ229" s="159"/>
      <c r="GA229" s="159"/>
      <c r="GB229" s="159"/>
      <c r="GC229" s="159"/>
      <c r="GD229" s="159"/>
      <c r="GE229" s="159"/>
      <c r="GF229" s="159"/>
      <c r="GG229" s="159"/>
      <c r="GH229" s="159"/>
      <c r="GI229" s="159"/>
      <c r="GJ229" s="159"/>
    </row>
    <row r="230" spans="1:192" s="156" customFormat="1" x14ac:dyDescent="0.25">
      <c r="A230" s="167" t="s">
        <v>410</v>
      </c>
      <c r="B230" s="168">
        <v>1</v>
      </c>
      <c r="C230" s="168">
        <v>322</v>
      </c>
      <c r="D230" s="168">
        <v>5201</v>
      </c>
      <c r="E230" s="170">
        <f t="shared" si="75"/>
        <v>2600</v>
      </c>
      <c r="F230" s="170">
        <f t="shared" si="75"/>
        <v>2502</v>
      </c>
      <c r="G230" s="170">
        <f t="shared" si="75"/>
        <v>-98</v>
      </c>
      <c r="H230" s="170"/>
      <c r="I230" s="170"/>
      <c r="J230" s="170">
        <f t="shared" si="67"/>
        <v>0</v>
      </c>
      <c r="K230" s="170"/>
      <c r="L230" s="170"/>
      <c r="M230" s="170">
        <f t="shared" si="91"/>
        <v>0</v>
      </c>
      <c r="N230" s="170"/>
      <c r="O230" s="170"/>
      <c r="P230" s="170">
        <f t="shared" si="92"/>
        <v>0</v>
      </c>
      <c r="Q230" s="170"/>
      <c r="R230" s="170"/>
      <c r="S230" s="170">
        <f t="shared" si="93"/>
        <v>0</v>
      </c>
      <c r="T230" s="170">
        <v>2600</v>
      </c>
      <c r="U230" s="170">
        <f>2600-98</f>
        <v>2502</v>
      </c>
      <c r="V230" s="170">
        <f t="shared" si="94"/>
        <v>-98</v>
      </c>
      <c r="W230" s="170"/>
      <c r="X230" s="170"/>
      <c r="Y230" s="170">
        <f t="shared" si="95"/>
        <v>0</v>
      </c>
      <c r="Z230" s="170"/>
      <c r="AA230" s="170"/>
      <c r="AB230" s="170">
        <f t="shared" si="96"/>
        <v>0</v>
      </c>
      <c r="AC230" s="170"/>
      <c r="AD230" s="170"/>
      <c r="AE230" s="170">
        <f t="shared" si="97"/>
        <v>0</v>
      </c>
      <c r="AF230" s="159"/>
      <c r="AG230" s="159"/>
      <c r="AH230" s="159"/>
      <c r="AI230" s="159"/>
      <c r="AJ230" s="159"/>
      <c r="AK230" s="159"/>
      <c r="AL230" s="159"/>
      <c r="AM230" s="159"/>
      <c r="AN230" s="159"/>
      <c r="AO230" s="159"/>
      <c r="AP230" s="159"/>
      <c r="AQ230" s="159"/>
      <c r="AR230" s="159"/>
      <c r="AS230" s="159"/>
      <c r="AT230" s="159"/>
      <c r="AU230" s="159"/>
      <c r="AV230" s="159"/>
      <c r="AW230" s="159"/>
      <c r="AX230" s="159"/>
      <c r="AY230" s="159"/>
      <c r="AZ230" s="159"/>
      <c r="BA230" s="159"/>
      <c r="BB230" s="159"/>
      <c r="BC230" s="159"/>
      <c r="BD230" s="159"/>
      <c r="BE230" s="159"/>
      <c r="BF230" s="159"/>
      <c r="BG230" s="159"/>
      <c r="BH230" s="159"/>
      <c r="BI230" s="159"/>
      <c r="BJ230" s="159"/>
      <c r="BK230" s="159"/>
      <c r="BL230" s="159"/>
      <c r="BM230" s="159"/>
      <c r="BN230" s="159"/>
      <c r="BO230" s="159"/>
      <c r="BP230" s="159"/>
      <c r="BQ230" s="159"/>
      <c r="BR230" s="159"/>
      <c r="BS230" s="159"/>
      <c r="BT230" s="159"/>
      <c r="BU230" s="159"/>
      <c r="BV230" s="159"/>
      <c r="BW230" s="159"/>
      <c r="BX230" s="159"/>
      <c r="BY230" s="159"/>
      <c r="BZ230" s="159"/>
      <c r="CA230" s="159"/>
      <c r="CB230" s="159"/>
      <c r="CC230" s="159"/>
      <c r="CD230" s="159"/>
      <c r="CE230" s="159"/>
      <c r="CF230" s="159"/>
      <c r="CG230" s="159"/>
      <c r="CH230" s="159"/>
      <c r="CI230" s="159"/>
      <c r="CJ230" s="159"/>
      <c r="CK230" s="159"/>
      <c r="CL230" s="159"/>
      <c r="CM230" s="159"/>
      <c r="CN230" s="159"/>
      <c r="CO230" s="159"/>
      <c r="CP230" s="159"/>
      <c r="CQ230" s="159"/>
      <c r="CR230" s="159"/>
      <c r="CS230" s="159"/>
      <c r="CT230" s="159"/>
      <c r="CU230" s="159"/>
      <c r="CV230" s="159"/>
      <c r="CW230" s="159"/>
      <c r="CX230" s="159"/>
      <c r="CY230" s="159"/>
      <c r="CZ230" s="159"/>
      <c r="DA230" s="159"/>
      <c r="DB230" s="159"/>
      <c r="DC230" s="159"/>
      <c r="DD230" s="159"/>
      <c r="DE230" s="159"/>
      <c r="DF230" s="159"/>
      <c r="DG230" s="159"/>
      <c r="DH230" s="159"/>
      <c r="DI230" s="159"/>
      <c r="DJ230" s="159"/>
      <c r="DK230" s="159"/>
      <c r="DL230" s="159"/>
      <c r="DM230" s="159"/>
      <c r="DN230" s="159"/>
      <c r="DO230" s="159"/>
      <c r="DP230" s="159"/>
      <c r="DQ230" s="159"/>
      <c r="DR230" s="159"/>
      <c r="DS230" s="159"/>
      <c r="DT230" s="159"/>
      <c r="DU230" s="159"/>
      <c r="DV230" s="159"/>
      <c r="DW230" s="159"/>
      <c r="DX230" s="159"/>
      <c r="DY230" s="159"/>
      <c r="DZ230" s="159"/>
      <c r="EA230" s="159"/>
      <c r="EB230" s="159"/>
      <c r="EC230" s="159"/>
      <c r="ED230" s="159"/>
      <c r="EE230" s="159"/>
      <c r="EF230" s="159"/>
      <c r="EG230" s="159"/>
      <c r="EH230" s="159"/>
      <c r="EI230" s="159"/>
      <c r="EJ230" s="159"/>
      <c r="EK230" s="159"/>
      <c r="EL230" s="159"/>
      <c r="EM230" s="159"/>
      <c r="EN230" s="159"/>
      <c r="EO230" s="159"/>
      <c r="EP230" s="159"/>
      <c r="EQ230" s="159"/>
      <c r="ER230" s="159"/>
      <c r="ES230" s="159"/>
      <c r="ET230" s="159"/>
      <c r="EU230" s="159"/>
      <c r="EV230" s="159"/>
      <c r="EW230" s="159"/>
      <c r="EX230" s="159"/>
      <c r="EY230" s="159"/>
      <c r="EZ230" s="159"/>
      <c r="FA230" s="159"/>
      <c r="FB230" s="159"/>
      <c r="FC230" s="159"/>
      <c r="FD230" s="159"/>
      <c r="FE230" s="159"/>
      <c r="FF230" s="159"/>
      <c r="FG230" s="159"/>
      <c r="FH230" s="159"/>
      <c r="FI230" s="159"/>
      <c r="FJ230" s="159"/>
      <c r="FK230" s="159"/>
      <c r="FL230" s="159"/>
      <c r="FM230" s="159"/>
      <c r="FN230" s="159"/>
      <c r="FO230" s="159"/>
      <c r="FP230" s="159"/>
      <c r="FQ230" s="159"/>
      <c r="FR230" s="159"/>
      <c r="FS230" s="159"/>
      <c r="FT230" s="159"/>
      <c r="FU230" s="159"/>
      <c r="FV230" s="159"/>
      <c r="FW230" s="159"/>
      <c r="FX230" s="159"/>
      <c r="FY230" s="159"/>
      <c r="FZ230" s="159"/>
      <c r="GA230" s="159"/>
      <c r="GB230" s="159"/>
      <c r="GC230" s="159"/>
      <c r="GD230" s="159"/>
      <c r="GE230" s="159"/>
      <c r="GF230" s="159"/>
      <c r="GG230" s="159"/>
      <c r="GH230" s="159"/>
      <c r="GI230" s="159"/>
      <c r="GJ230" s="159"/>
    </row>
    <row r="231" spans="1:192" s="156" customFormat="1" ht="31.5" x14ac:dyDescent="0.25">
      <c r="A231" s="167" t="s">
        <v>411</v>
      </c>
      <c r="B231" s="168">
        <v>1</v>
      </c>
      <c r="C231" s="168">
        <v>322</v>
      </c>
      <c r="D231" s="168">
        <v>5201</v>
      </c>
      <c r="E231" s="170">
        <f t="shared" si="75"/>
        <v>44571</v>
      </c>
      <c r="F231" s="170">
        <f t="shared" ref="E231:G317" si="168">I231+L231+O231+R231+U231+X231+AD231+AA231</f>
        <v>44571</v>
      </c>
      <c r="G231" s="170">
        <f t="shared" si="168"/>
        <v>0</v>
      </c>
      <c r="H231" s="170"/>
      <c r="I231" s="170"/>
      <c r="J231" s="170">
        <f t="shared" si="67"/>
        <v>0</v>
      </c>
      <c r="K231" s="170"/>
      <c r="L231" s="170"/>
      <c r="M231" s="170">
        <f t="shared" si="91"/>
        <v>0</v>
      </c>
      <c r="N231" s="170"/>
      <c r="O231" s="170"/>
      <c r="P231" s="170">
        <f t="shared" si="92"/>
        <v>0</v>
      </c>
      <c r="Q231" s="170"/>
      <c r="R231" s="170"/>
      <c r="S231" s="170">
        <f t="shared" si="93"/>
        <v>0</v>
      </c>
      <c r="T231" s="170">
        <f>21490+20079+3002</f>
        <v>44571</v>
      </c>
      <c r="U231" s="170">
        <f>21490+20079+3002</f>
        <v>44571</v>
      </c>
      <c r="V231" s="170">
        <f t="shared" si="94"/>
        <v>0</v>
      </c>
      <c r="W231" s="170"/>
      <c r="X231" s="170"/>
      <c r="Y231" s="170">
        <f t="shared" si="95"/>
        <v>0</v>
      </c>
      <c r="Z231" s="170"/>
      <c r="AA231" s="170"/>
      <c r="AB231" s="170">
        <f t="shared" si="96"/>
        <v>0</v>
      </c>
      <c r="AC231" s="170"/>
      <c r="AD231" s="170"/>
      <c r="AE231" s="170">
        <f t="shared" si="97"/>
        <v>0</v>
      </c>
      <c r="AF231" s="159"/>
      <c r="AG231" s="159"/>
      <c r="AH231" s="159"/>
      <c r="AI231" s="159"/>
      <c r="AJ231" s="159"/>
      <c r="AK231" s="159"/>
      <c r="AL231" s="159"/>
      <c r="AM231" s="159"/>
      <c r="AN231" s="159"/>
      <c r="AO231" s="159"/>
      <c r="AP231" s="159"/>
      <c r="AQ231" s="159"/>
      <c r="AR231" s="159"/>
      <c r="AS231" s="159"/>
      <c r="AT231" s="159"/>
      <c r="AU231" s="159"/>
      <c r="AV231" s="159"/>
      <c r="AW231" s="159"/>
      <c r="AX231" s="159"/>
      <c r="AY231" s="159"/>
      <c r="AZ231" s="159"/>
      <c r="BA231" s="159"/>
      <c r="BB231" s="159"/>
      <c r="BC231" s="159"/>
      <c r="BD231" s="159"/>
      <c r="BE231" s="159"/>
      <c r="BF231" s="159"/>
      <c r="BG231" s="159"/>
      <c r="BH231" s="159"/>
      <c r="BI231" s="159"/>
      <c r="BJ231" s="159"/>
      <c r="BK231" s="159"/>
      <c r="BL231" s="159"/>
      <c r="BM231" s="159"/>
      <c r="BN231" s="159"/>
      <c r="BO231" s="159"/>
      <c r="BP231" s="159"/>
      <c r="BQ231" s="159"/>
      <c r="BR231" s="159"/>
      <c r="BS231" s="159"/>
      <c r="BT231" s="159"/>
      <c r="BU231" s="159"/>
      <c r="BV231" s="159"/>
      <c r="BW231" s="159"/>
      <c r="BX231" s="159"/>
      <c r="BY231" s="159"/>
      <c r="BZ231" s="159"/>
      <c r="CA231" s="159"/>
      <c r="CB231" s="159"/>
      <c r="CC231" s="159"/>
      <c r="CD231" s="159"/>
      <c r="CE231" s="159"/>
      <c r="CF231" s="159"/>
      <c r="CG231" s="159"/>
      <c r="CH231" s="159"/>
      <c r="CI231" s="159"/>
      <c r="CJ231" s="159"/>
      <c r="CK231" s="159"/>
      <c r="CL231" s="159"/>
      <c r="CM231" s="159"/>
      <c r="CN231" s="159"/>
      <c r="CO231" s="159"/>
      <c r="CP231" s="159"/>
      <c r="CQ231" s="159"/>
      <c r="CR231" s="159"/>
      <c r="CS231" s="159"/>
      <c r="CT231" s="159"/>
      <c r="CU231" s="159"/>
      <c r="CV231" s="159"/>
      <c r="CW231" s="159"/>
      <c r="CX231" s="159"/>
      <c r="CY231" s="159"/>
      <c r="CZ231" s="159"/>
      <c r="DA231" s="159"/>
      <c r="DB231" s="159"/>
      <c r="DC231" s="159"/>
      <c r="DD231" s="159"/>
      <c r="DE231" s="159"/>
      <c r="DF231" s="159"/>
      <c r="DG231" s="159"/>
      <c r="DH231" s="159"/>
      <c r="DI231" s="159"/>
      <c r="DJ231" s="159"/>
      <c r="DK231" s="159"/>
      <c r="DL231" s="159"/>
      <c r="DM231" s="159"/>
      <c r="DN231" s="159"/>
      <c r="DO231" s="159"/>
      <c r="DP231" s="159"/>
      <c r="DQ231" s="159"/>
      <c r="DR231" s="159"/>
      <c r="DS231" s="159"/>
      <c r="DT231" s="159"/>
      <c r="DU231" s="159"/>
      <c r="DV231" s="159"/>
      <c r="DW231" s="159"/>
      <c r="DX231" s="159"/>
      <c r="DY231" s="159"/>
      <c r="DZ231" s="159"/>
      <c r="EA231" s="159"/>
      <c r="EB231" s="159"/>
      <c r="EC231" s="159"/>
      <c r="ED231" s="159"/>
      <c r="EE231" s="159"/>
      <c r="EF231" s="159"/>
      <c r="EG231" s="159"/>
      <c r="EH231" s="159"/>
      <c r="EI231" s="159"/>
      <c r="EJ231" s="159"/>
      <c r="EK231" s="159"/>
      <c r="EL231" s="159"/>
      <c r="EM231" s="159"/>
      <c r="EN231" s="159"/>
      <c r="EO231" s="159"/>
      <c r="EP231" s="159"/>
      <c r="EQ231" s="159"/>
      <c r="ER231" s="159"/>
      <c r="ES231" s="159"/>
      <c r="ET231" s="159"/>
      <c r="EU231" s="159"/>
      <c r="EV231" s="159"/>
      <c r="EW231" s="159"/>
      <c r="EX231" s="159"/>
      <c r="EY231" s="159"/>
      <c r="EZ231" s="159"/>
      <c r="FA231" s="159"/>
      <c r="FB231" s="159"/>
      <c r="FC231" s="159"/>
      <c r="FD231" s="159"/>
      <c r="FE231" s="159"/>
      <c r="FF231" s="159"/>
      <c r="FG231" s="159"/>
      <c r="FH231" s="159"/>
      <c r="FI231" s="159"/>
      <c r="FJ231" s="159"/>
      <c r="FK231" s="159"/>
      <c r="FL231" s="159"/>
      <c r="FM231" s="159"/>
      <c r="FN231" s="159"/>
      <c r="FO231" s="159"/>
      <c r="FP231" s="159"/>
      <c r="FQ231" s="159"/>
      <c r="FR231" s="159"/>
      <c r="FS231" s="159"/>
      <c r="FT231" s="159"/>
      <c r="FU231" s="159"/>
      <c r="FV231" s="159"/>
      <c r="FW231" s="159"/>
      <c r="FX231" s="159"/>
      <c r="FY231" s="159"/>
      <c r="FZ231" s="159"/>
      <c r="GA231" s="159"/>
      <c r="GB231" s="159"/>
      <c r="GC231" s="159"/>
      <c r="GD231" s="159"/>
      <c r="GE231" s="159"/>
      <c r="GF231" s="159"/>
      <c r="GG231" s="159"/>
      <c r="GH231" s="159"/>
      <c r="GI231" s="159"/>
      <c r="GJ231" s="159"/>
    </row>
    <row r="232" spans="1:192" s="156" customFormat="1" ht="31.5" x14ac:dyDescent="0.25">
      <c r="A232" s="167" t="s">
        <v>412</v>
      </c>
      <c r="B232" s="168">
        <v>1</v>
      </c>
      <c r="C232" s="168">
        <v>322</v>
      </c>
      <c r="D232" s="168">
        <v>5201</v>
      </c>
      <c r="E232" s="170">
        <f t="shared" si="168"/>
        <v>2261</v>
      </c>
      <c r="F232" s="170">
        <f t="shared" si="168"/>
        <v>2261</v>
      </c>
      <c r="G232" s="170">
        <f t="shared" si="168"/>
        <v>0</v>
      </c>
      <c r="H232" s="170"/>
      <c r="I232" s="170"/>
      <c r="J232" s="170">
        <f t="shared" si="67"/>
        <v>0</v>
      </c>
      <c r="K232" s="170"/>
      <c r="L232" s="170"/>
      <c r="M232" s="170">
        <f t="shared" si="91"/>
        <v>0</v>
      </c>
      <c r="N232" s="170"/>
      <c r="O232" s="170"/>
      <c r="P232" s="170">
        <f t="shared" si="92"/>
        <v>0</v>
      </c>
      <c r="Q232" s="170"/>
      <c r="R232" s="170"/>
      <c r="S232" s="170">
        <f t="shared" si="93"/>
        <v>0</v>
      </c>
      <c r="T232" s="170">
        <f>834+1427</f>
        <v>2261</v>
      </c>
      <c r="U232" s="170">
        <f>834+1427</f>
        <v>2261</v>
      </c>
      <c r="V232" s="170">
        <f t="shared" si="94"/>
        <v>0</v>
      </c>
      <c r="W232" s="170"/>
      <c r="X232" s="170"/>
      <c r="Y232" s="170">
        <f t="shared" si="95"/>
        <v>0</v>
      </c>
      <c r="Z232" s="170"/>
      <c r="AA232" s="170"/>
      <c r="AB232" s="170">
        <f t="shared" si="96"/>
        <v>0</v>
      </c>
      <c r="AC232" s="170"/>
      <c r="AD232" s="170"/>
      <c r="AE232" s="170">
        <f t="shared" si="97"/>
        <v>0</v>
      </c>
      <c r="AF232" s="159"/>
      <c r="AG232" s="159"/>
      <c r="AH232" s="159"/>
      <c r="AI232" s="159"/>
      <c r="AJ232" s="159"/>
      <c r="AK232" s="159"/>
      <c r="AL232" s="159"/>
      <c r="AM232" s="159"/>
      <c r="AN232" s="159"/>
      <c r="AO232" s="159"/>
      <c r="AP232" s="159"/>
      <c r="AQ232" s="159"/>
      <c r="AR232" s="159"/>
      <c r="AS232" s="159"/>
      <c r="AT232" s="159"/>
      <c r="AU232" s="159"/>
      <c r="AV232" s="159"/>
      <c r="AW232" s="159"/>
      <c r="AX232" s="159"/>
      <c r="AY232" s="159"/>
      <c r="AZ232" s="159"/>
      <c r="BA232" s="159"/>
      <c r="BB232" s="159"/>
      <c r="BC232" s="159"/>
      <c r="BD232" s="159"/>
      <c r="BE232" s="159"/>
      <c r="BF232" s="159"/>
      <c r="BG232" s="159"/>
      <c r="BH232" s="159"/>
      <c r="BI232" s="159"/>
      <c r="BJ232" s="159"/>
      <c r="BK232" s="159"/>
      <c r="BL232" s="159"/>
      <c r="BM232" s="159"/>
      <c r="BN232" s="159"/>
      <c r="BO232" s="159"/>
      <c r="BP232" s="159"/>
      <c r="BQ232" s="159"/>
      <c r="BR232" s="159"/>
      <c r="BS232" s="159"/>
      <c r="BT232" s="159"/>
      <c r="BU232" s="159"/>
      <c r="BV232" s="159"/>
      <c r="BW232" s="159"/>
      <c r="BX232" s="159"/>
      <c r="BY232" s="159"/>
      <c r="BZ232" s="159"/>
      <c r="CA232" s="159"/>
      <c r="CB232" s="159"/>
      <c r="CC232" s="159"/>
      <c r="CD232" s="159"/>
      <c r="CE232" s="159"/>
      <c r="CF232" s="159"/>
      <c r="CG232" s="159"/>
      <c r="CH232" s="159"/>
      <c r="CI232" s="159"/>
      <c r="CJ232" s="159"/>
      <c r="CK232" s="159"/>
      <c r="CL232" s="159"/>
      <c r="CM232" s="159"/>
      <c r="CN232" s="159"/>
      <c r="CO232" s="159"/>
      <c r="CP232" s="159"/>
      <c r="CQ232" s="159"/>
      <c r="CR232" s="159"/>
      <c r="CS232" s="159"/>
      <c r="CT232" s="159"/>
      <c r="CU232" s="159"/>
      <c r="CV232" s="159"/>
      <c r="CW232" s="159"/>
      <c r="CX232" s="159"/>
      <c r="CY232" s="159"/>
      <c r="CZ232" s="159"/>
      <c r="DA232" s="159"/>
      <c r="DB232" s="159"/>
      <c r="DC232" s="159"/>
      <c r="DD232" s="159"/>
      <c r="DE232" s="159"/>
      <c r="DF232" s="159"/>
      <c r="DG232" s="159"/>
      <c r="DH232" s="159"/>
      <c r="DI232" s="159"/>
      <c r="DJ232" s="159"/>
      <c r="DK232" s="159"/>
      <c r="DL232" s="159"/>
      <c r="DM232" s="159"/>
      <c r="DN232" s="159"/>
      <c r="DO232" s="159"/>
      <c r="DP232" s="159"/>
      <c r="DQ232" s="159"/>
      <c r="DR232" s="159"/>
      <c r="DS232" s="159"/>
      <c r="DT232" s="159"/>
      <c r="DU232" s="159"/>
      <c r="DV232" s="159"/>
      <c r="DW232" s="159"/>
      <c r="DX232" s="159"/>
      <c r="DY232" s="159"/>
      <c r="DZ232" s="159"/>
      <c r="EA232" s="159"/>
      <c r="EB232" s="159"/>
      <c r="EC232" s="159"/>
      <c r="ED232" s="159"/>
      <c r="EE232" s="159"/>
      <c r="EF232" s="159"/>
      <c r="EG232" s="159"/>
      <c r="EH232" s="159"/>
      <c r="EI232" s="159"/>
      <c r="EJ232" s="159"/>
      <c r="EK232" s="159"/>
      <c r="EL232" s="159"/>
      <c r="EM232" s="159"/>
      <c r="EN232" s="159"/>
      <c r="EO232" s="159"/>
      <c r="EP232" s="159"/>
      <c r="EQ232" s="159"/>
      <c r="ER232" s="159"/>
      <c r="ES232" s="159"/>
      <c r="ET232" s="159"/>
      <c r="EU232" s="159"/>
      <c r="EV232" s="159"/>
      <c r="EW232" s="159"/>
      <c r="EX232" s="159"/>
      <c r="EY232" s="159"/>
      <c r="EZ232" s="159"/>
      <c r="FA232" s="159"/>
      <c r="FB232" s="159"/>
      <c r="FC232" s="159"/>
      <c r="FD232" s="159"/>
      <c r="FE232" s="159"/>
      <c r="FF232" s="159"/>
      <c r="FG232" s="159"/>
      <c r="FH232" s="159"/>
      <c r="FI232" s="159"/>
      <c r="FJ232" s="159"/>
      <c r="FK232" s="159"/>
      <c r="FL232" s="159"/>
      <c r="FM232" s="159"/>
      <c r="FN232" s="159"/>
      <c r="FO232" s="159"/>
      <c r="FP232" s="159"/>
      <c r="FQ232" s="159"/>
      <c r="FR232" s="159"/>
      <c r="FS232" s="159"/>
      <c r="FT232" s="159"/>
      <c r="FU232" s="159"/>
      <c r="FV232" s="159"/>
      <c r="FW232" s="159"/>
      <c r="FX232" s="159"/>
      <c r="FY232" s="159"/>
      <c r="FZ232" s="159"/>
      <c r="GA232" s="159"/>
      <c r="GB232" s="159"/>
      <c r="GC232" s="159"/>
      <c r="GD232" s="159"/>
      <c r="GE232" s="159"/>
      <c r="GF232" s="159"/>
      <c r="GG232" s="159"/>
      <c r="GH232" s="159"/>
      <c r="GI232" s="159"/>
      <c r="GJ232" s="159"/>
    </row>
    <row r="233" spans="1:192" s="185" customFormat="1" ht="47.25" x14ac:dyDescent="0.25">
      <c r="A233" s="181" t="s">
        <v>413</v>
      </c>
      <c r="B233" s="182">
        <v>1</v>
      </c>
      <c r="C233" s="182">
        <v>322</v>
      </c>
      <c r="D233" s="182">
        <v>5201</v>
      </c>
      <c r="E233" s="183">
        <f t="shared" si="168"/>
        <v>7366</v>
      </c>
      <c r="F233" s="183">
        <f t="shared" si="168"/>
        <v>7366</v>
      </c>
      <c r="G233" s="183">
        <f t="shared" si="168"/>
        <v>0</v>
      </c>
      <c r="H233" s="183"/>
      <c r="I233" s="183"/>
      <c r="J233" s="183">
        <f t="shared" si="67"/>
        <v>0</v>
      </c>
      <c r="K233" s="183"/>
      <c r="L233" s="183"/>
      <c r="M233" s="183">
        <f t="shared" si="91"/>
        <v>0</v>
      </c>
      <c r="N233" s="183">
        <f>1966+5400</f>
        <v>7366</v>
      </c>
      <c r="O233" s="183">
        <f>1966+5400</f>
        <v>7366</v>
      </c>
      <c r="P233" s="183">
        <f t="shared" si="92"/>
        <v>0</v>
      </c>
      <c r="Q233" s="183"/>
      <c r="R233" s="183"/>
      <c r="S233" s="183">
        <f t="shared" si="93"/>
        <v>0</v>
      </c>
      <c r="T233" s="183"/>
      <c r="U233" s="183"/>
      <c r="V233" s="183">
        <f t="shared" si="94"/>
        <v>0</v>
      </c>
      <c r="W233" s="183"/>
      <c r="X233" s="183"/>
      <c r="Y233" s="183">
        <f t="shared" si="95"/>
        <v>0</v>
      </c>
      <c r="Z233" s="183"/>
      <c r="AA233" s="183"/>
      <c r="AB233" s="183">
        <f t="shared" si="96"/>
        <v>0</v>
      </c>
      <c r="AC233" s="183"/>
      <c r="AD233" s="183"/>
      <c r="AE233" s="183">
        <f t="shared" si="97"/>
        <v>0</v>
      </c>
      <c r="AF233" s="184"/>
      <c r="AG233" s="184"/>
      <c r="AH233" s="184"/>
      <c r="AI233" s="184"/>
      <c r="AJ233" s="184"/>
      <c r="AK233" s="184"/>
      <c r="AL233" s="184"/>
      <c r="AM233" s="184"/>
      <c r="AN233" s="184"/>
      <c r="AO233" s="184"/>
      <c r="AP233" s="184"/>
      <c r="AQ233" s="184"/>
      <c r="AR233" s="184"/>
      <c r="AS233" s="184"/>
      <c r="AT233" s="184"/>
      <c r="AU233" s="184"/>
      <c r="AV233" s="184"/>
      <c r="AW233" s="184"/>
      <c r="AX233" s="184"/>
      <c r="AY233" s="184"/>
      <c r="AZ233" s="184"/>
      <c r="BA233" s="184"/>
      <c r="BB233" s="184"/>
      <c r="BC233" s="184"/>
      <c r="BD233" s="184"/>
      <c r="BE233" s="184"/>
      <c r="BF233" s="184"/>
      <c r="BG233" s="184"/>
      <c r="BH233" s="184"/>
      <c r="BI233" s="184"/>
      <c r="BJ233" s="184"/>
      <c r="BK233" s="184"/>
      <c r="BL233" s="184"/>
      <c r="BM233" s="184"/>
      <c r="BN233" s="184"/>
      <c r="BO233" s="184"/>
      <c r="BP233" s="184"/>
      <c r="BQ233" s="184"/>
      <c r="BR233" s="184"/>
      <c r="BS233" s="184"/>
      <c r="BT233" s="184"/>
      <c r="BU233" s="184"/>
      <c r="BV233" s="184"/>
      <c r="BW233" s="184"/>
      <c r="BX233" s="184"/>
      <c r="BY233" s="184"/>
      <c r="BZ233" s="184"/>
      <c r="CA233" s="184"/>
      <c r="CB233" s="184"/>
      <c r="CC233" s="184"/>
      <c r="CD233" s="184"/>
      <c r="CE233" s="184"/>
      <c r="CF233" s="184"/>
      <c r="CG233" s="184"/>
      <c r="CH233" s="184"/>
      <c r="CI233" s="184"/>
      <c r="CJ233" s="184"/>
      <c r="CK233" s="184"/>
      <c r="CL233" s="184"/>
      <c r="CM233" s="184"/>
      <c r="CN233" s="184"/>
      <c r="CO233" s="184"/>
      <c r="CP233" s="184"/>
      <c r="CQ233" s="184"/>
      <c r="CR233" s="184"/>
      <c r="CS233" s="184"/>
      <c r="CT233" s="184"/>
      <c r="CU233" s="184"/>
      <c r="CV233" s="184"/>
      <c r="CW233" s="184"/>
      <c r="CX233" s="184"/>
      <c r="CY233" s="184"/>
      <c r="CZ233" s="184"/>
      <c r="DA233" s="184"/>
      <c r="DB233" s="184"/>
      <c r="DC233" s="184"/>
      <c r="DD233" s="184"/>
      <c r="DE233" s="184"/>
      <c r="DF233" s="184"/>
      <c r="DG233" s="184"/>
      <c r="DH233" s="184"/>
      <c r="DI233" s="184"/>
      <c r="DJ233" s="184"/>
      <c r="DK233" s="184"/>
      <c r="DL233" s="184"/>
      <c r="DM233" s="184"/>
      <c r="DN233" s="184"/>
      <c r="DO233" s="184"/>
      <c r="DP233" s="184"/>
      <c r="DQ233" s="184"/>
      <c r="DR233" s="184"/>
      <c r="DS233" s="184"/>
      <c r="DT233" s="184"/>
      <c r="DU233" s="184"/>
      <c r="DV233" s="184"/>
      <c r="DW233" s="184"/>
      <c r="DX233" s="184"/>
      <c r="DY233" s="184"/>
      <c r="DZ233" s="184"/>
      <c r="EA233" s="184"/>
      <c r="EB233" s="184"/>
      <c r="EC233" s="184"/>
      <c r="ED233" s="184"/>
      <c r="EE233" s="184"/>
      <c r="EF233" s="184"/>
      <c r="EG233" s="184"/>
      <c r="EH233" s="184"/>
      <c r="EI233" s="184"/>
      <c r="EJ233" s="184"/>
      <c r="EK233" s="184"/>
      <c r="EL233" s="184"/>
      <c r="EM233" s="184"/>
      <c r="EN233" s="184"/>
      <c r="EO233" s="184"/>
      <c r="EP233" s="184"/>
      <c r="EQ233" s="184"/>
      <c r="ER233" s="184"/>
      <c r="ES233" s="184"/>
      <c r="ET233" s="184"/>
      <c r="EU233" s="184"/>
      <c r="EV233" s="184"/>
      <c r="EW233" s="184"/>
      <c r="EX233" s="184"/>
      <c r="EY233" s="184"/>
      <c r="EZ233" s="184"/>
      <c r="FA233" s="184"/>
      <c r="FB233" s="184"/>
      <c r="FC233" s="184"/>
      <c r="FD233" s="184"/>
      <c r="FE233" s="184"/>
      <c r="FF233" s="184"/>
      <c r="FG233" s="184"/>
      <c r="FH233" s="184"/>
      <c r="FI233" s="184"/>
      <c r="FJ233" s="184"/>
      <c r="FK233" s="184"/>
      <c r="FL233" s="184"/>
      <c r="FM233" s="184"/>
      <c r="FN233" s="184"/>
      <c r="FO233" s="184"/>
      <c r="FP233" s="184"/>
      <c r="FQ233" s="184"/>
      <c r="FR233" s="184"/>
      <c r="FS233" s="184"/>
      <c r="FT233" s="184"/>
      <c r="FU233" s="184"/>
      <c r="FV233" s="184"/>
      <c r="FW233" s="184"/>
      <c r="FX233" s="184"/>
      <c r="FY233" s="184"/>
      <c r="FZ233" s="184"/>
      <c r="GA233" s="184"/>
      <c r="GB233" s="184"/>
      <c r="GC233" s="184"/>
      <c r="GD233" s="184"/>
      <c r="GE233" s="184"/>
      <c r="GF233" s="184"/>
      <c r="GG233" s="184"/>
      <c r="GH233" s="184"/>
      <c r="GI233" s="184"/>
      <c r="GJ233" s="184"/>
    </row>
    <row r="234" spans="1:192" s="156" customFormat="1" ht="31.5" x14ac:dyDescent="0.25">
      <c r="A234" s="167" t="s">
        <v>414</v>
      </c>
      <c r="B234" s="168">
        <v>1</v>
      </c>
      <c r="C234" s="168">
        <v>322</v>
      </c>
      <c r="D234" s="168">
        <v>5201</v>
      </c>
      <c r="E234" s="170">
        <f t="shared" si="168"/>
        <v>161620</v>
      </c>
      <c r="F234" s="170">
        <f t="shared" si="168"/>
        <v>161620</v>
      </c>
      <c r="G234" s="170">
        <f t="shared" si="168"/>
        <v>0</v>
      </c>
      <c r="H234" s="170"/>
      <c r="I234" s="170"/>
      <c r="J234" s="170">
        <f t="shared" si="67"/>
        <v>0</v>
      </c>
      <c r="K234" s="170"/>
      <c r="L234" s="170"/>
      <c r="M234" s="170">
        <f t="shared" si="91"/>
        <v>0</v>
      </c>
      <c r="N234" s="170"/>
      <c r="O234" s="170"/>
      <c r="P234" s="170">
        <f t="shared" si="92"/>
        <v>0</v>
      </c>
      <c r="Q234" s="170"/>
      <c r="R234" s="170"/>
      <c r="S234" s="170">
        <f t="shared" si="93"/>
        <v>0</v>
      </c>
      <c r="T234" s="170">
        <f>19453+7200+8823+23491+5400+100633-3380</f>
        <v>161620</v>
      </c>
      <c r="U234" s="170">
        <f>19453+7200+8823+23491+5400+100633-3380</f>
        <v>161620</v>
      </c>
      <c r="V234" s="170">
        <f t="shared" si="94"/>
        <v>0</v>
      </c>
      <c r="W234" s="170"/>
      <c r="X234" s="170"/>
      <c r="Y234" s="170">
        <f t="shared" si="95"/>
        <v>0</v>
      </c>
      <c r="Z234" s="170"/>
      <c r="AA234" s="170"/>
      <c r="AB234" s="170">
        <f t="shared" si="96"/>
        <v>0</v>
      </c>
      <c r="AC234" s="170"/>
      <c r="AD234" s="170"/>
      <c r="AE234" s="170">
        <f t="shared" si="97"/>
        <v>0</v>
      </c>
      <c r="AF234" s="159"/>
      <c r="AG234" s="159"/>
      <c r="AH234" s="159"/>
      <c r="AI234" s="159"/>
      <c r="AJ234" s="159"/>
      <c r="AK234" s="159"/>
      <c r="AL234" s="159"/>
      <c r="AM234" s="159"/>
      <c r="AN234" s="159"/>
      <c r="AO234" s="159"/>
      <c r="AP234" s="159"/>
      <c r="AQ234" s="159"/>
      <c r="AR234" s="159"/>
      <c r="AS234" s="159"/>
      <c r="AT234" s="159"/>
      <c r="AU234" s="159"/>
      <c r="AV234" s="159"/>
      <c r="AW234" s="159"/>
      <c r="AX234" s="159"/>
      <c r="AY234" s="159"/>
      <c r="AZ234" s="159"/>
      <c r="BA234" s="159"/>
      <c r="BB234" s="159"/>
      <c r="BC234" s="159"/>
      <c r="BD234" s="159"/>
      <c r="BE234" s="159"/>
      <c r="BF234" s="159"/>
      <c r="BG234" s="159"/>
      <c r="BH234" s="159"/>
      <c r="BI234" s="159"/>
      <c r="BJ234" s="159"/>
      <c r="BK234" s="159"/>
      <c r="BL234" s="159"/>
      <c r="BM234" s="159"/>
      <c r="BN234" s="159"/>
      <c r="BO234" s="159"/>
      <c r="BP234" s="159"/>
      <c r="BQ234" s="159"/>
      <c r="BR234" s="159"/>
      <c r="BS234" s="159"/>
      <c r="BT234" s="159"/>
      <c r="BU234" s="159"/>
      <c r="BV234" s="159"/>
      <c r="BW234" s="159"/>
      <c r="BX234" s="159"/>
      <c r="BY234" s="159"/>
      <c r="BZ234" s="159"/>
      <c r="CA234" s="159"/>
      <c r="CB234" s="159"/>
      <c r="CC234" s="159"/>
      <c r="CD234" s="159"/>
      <c r="CE234" s="159"/>
      <c r="CF234" s="159"/>
      <c r="CG234" s="159"/>
      <c r="CH234" s="159"/>
      <c r="CI234" s="159"/>
      <c r="CJ234" s="159"/>
      <c r="CK234" s="159"/>
      <c r="CL234" s="159"/>
      <c r="CM234" s="159"/>
      <c r="CN234" s="159"/>
      <c r="CO234" s="159"/>
      <c r="CP234" s="159"/>
      <c r="CQ234" s="159"/>
      <c r="CR234" s="159"/>
      <c r="CS234" s="159"/>
      <c r="CT234" s="159"/>
      <c r="CU234" s="159"/>
      <c r="CV234" s="159"/>
      <c r="CW234" s="159"/>
      <c r="CX234" s="159"/>
      <c r="CY234" s="159"/>
      <c r="CZ234" s="159"/>
      <c r="DA234" s="159"/>
      <c r="DB234" s="159"/>
      <c r="DC234" s="159"/>
      <c r="DD234" s="159"/>
      <c r="DE234" s="159"/>
      <c r="DF234" s="159"/>
      <c r="DG234" s="159"/>
      <c r="DH234" s="159"/>
      <c r="DI234" s="159"/>
      <c r="DJ234" s="159"/>
      <c r="DK234" s="159"/>
      <c r="DL234" s="159"/>
      <c r="DM234" s="159"/>
      <c r="DN234" s="159"/>
      <c r="DO234" s="159"/>
      <c r="DP234" s="159"/>
      <c r="DQ234" s="159"/>
      <c r="DR234" s="159"/>
      <c r="DS234" s="159"/>
      <c r="DT234" s="159"/>
      <c r="DU234" s="159"/>
      <c r="DV234" s="159"/>
      <c r="DW234" s="159"/>
      <c r="DX234" s="159"/>
      <c r="DY234" s="159"/>
      <c r="DZ234" s="159"/>
      <c r="EA234" s="159"/>
      <c r="EB234" s="159"/>
      <c r="EC234" s="159"/>
      <c r="ED234" s="159"/>
      <c r="EE234" s="159"/>
      <c r="EF234" s="159"/>
      <c r="EG234" s="159"/>
      <c r="EH234" s="159"/>
      <c r="EI234" s="159"/>
      <c r="EJ234" s="159"/>
      <c r="EK234" s="159"/>
      <c r="EL234" s="159"/>
      <c r="EM234" s="159"/>
      <c r="EN234" s="159"/>
      <c r="EO234" s="159"/>
      <c r="EP234" s="159"/>
      <c r="EQ234" s="159"/>
      <c r="ER234" s="159"/>
      <c r="ES234" s="159"/>
      <c r="ET234" s="159"/>
      <c r="EU234" s="159"/>
      <c r="EV234" s="159"/>
      <c r="EW234" s="159"/>
      <c r="EX234" s="159"/>
      <c r="EY234" s="159"/>
      <c r="EZ234" s="159"/>
      <c r="FA234" s="159"/>
      <c r="FB234" s="159"/>
      <c r="FC234" s="159"/>
      <c r="FD234" s="159"/>
      <c r="FE234" s="159"/>
      <c r="FF234" s="159"/>
      <c r="FG234" s="159"/>
      <c r="FH234" s="159"/>
      <c r="FI234" s="159"/>
      <c r="FJ234" s="159"/>
      <c r="FK234" s="159"/>
      <c r="FL234" s="159"/>
      <c r="FM234" s="159"/>
      <c r="FN234" s="159"/>
      <c r="FO234" s="159"/>
      <c r="FP234" s="159"/>
      <c r="FQ234" s="159"/>
      <c r="FR234" s="159"/>
      <c r="FS234" s="159"/>
      <c r="FT234" s="159"/>
      <c r="FU234" s="159"/>
      <c r="FV234" s="159"/>
      <c r="FW234" s="159"/>
      <c r="FX234" s="159"/>
      <c r="FY234" s="159"/>
      <c r="FZ234" s="159"/>
      <c r="GA234" s="159"/>
      <c r="GB234" s="159"/>
      <c r="GC234" s="159"/>
      <c r="GD234" s="159"/>
      <c r="GE234" s="159"/>
      <c r="GF234" s="159"/>
      <c r="GG234" s="159"/>
      <c r="GH234" s="159"/>
      <c r="GI234" s="159"/>
      <c r="GJ234" s="159"/>
    </row>
    <row r="235" spans="1:192" s="159" customFormat="1" x14ac:dyDescent="0.25">
      <c r="A235" s="157" t="s">
        <v>371</v>
      </c>
      <c r="B235" s="166"/>
      <c r="C235" s="166"/>
      <c r="D235" s="166"/>
      <c r="E235" s="158">
        <f t="shared" si="168"/>
        <v>4387800</v>
      </c>
      <c r="F235" s="158">
        <f t="shared" si="168"/>
        <v>1416200</v>
      </c>
      <c r="G235" s="158">
        <f t="shared" si="168"/>
        <v>-2971600</v>
      </c>
      <c r="H235" s="158">
        <f t="shared" ref="H235:AD235" si="169">SUM(H236:H238)</f>
        <v>235276</v>
      </c>
      <c r="I235" s="158">
        <f t="shared" si="169"/>
        <v>235276</v>
      </c>
      <c r="J235" s="158">
        <f t="shared" si="67"/>
        <v>0</v>
      </c>
      <c r="K235" s="158">
        <f t="shared" ref="K235" si="170">SUM(K236:K238)</f>
        <v>0</v>
      </c>
      <c r="L235" s="158">
        <f t="shared" si="169"/>
        <v>0</v>
      </c>
      <c r="M235" s="158">
        <f t="shared" si="91"/>
        <v>0</v>
      </c>
      <c r="N235" s="158">
        <f t="shared" ref="N235" si="171">SUM(N236:N238)</f>
        <v>16732</v>
      </c>
      <c r="O235" s="158">
        <f t="shared" si="169"/>
        <v>16732</v>
      </c>
      <c r="P235" s="158">
        <f t="shared" si="92"/>
        <v>0</v>
      </c>
      <c r="Q235" s="158">
        <f t="shared" ref="Q235" si="172">SUM(Q236:Q238)</f>
        <v>0</v>
      </c>
      <c r="R235" s="158">
        <f t="shared" si="169"/>
        <v>0</v>
      </c>
      <c r="S235" s="158">
        <f t="shared" si="93"/>
        <v>0</v>
      </c>
      <c r="T235" s="158">
        <f t="shared" ref="T235" si="173">SUM(T236:T238)</f>
        <v>0</v>
      </c>
      <c r="U235" s="158">
        <f t="shared" si="169"/>
        <v>0</v>
      </c>
      <c r="V235" s="158">
        <f t="shared" si="94"/>
        <v>0</v>
      </c>
      <c r="W235" s="158">
        <f t="shared" ref="W235" si="174">SUM(W236:W238)</f>
        <v>364192</v>
      </c>
      <c r="X235" s="158">
        <f t="shared" si="169"/>
        <v>364192</v>
      </c>
      <c r="Y235" s="158">
        <f t="shared" si="95"/>
        <v>0</v>
      </c>
      <c r="Z235" s="158">
        <f t="shared" ref="Z235" si="175">SUM(Z236:Z238)</f>
        <v>800000</v>
      </c>
      <c r="AA235" s="158">
        <f t="shared" si="169"/>
        <v>800000</v>
      </c>
      <c r="AB235" s="158">
        <f t="shared" si="96"/>
        <v>0</v>
      </c>
      <c r="AC235" s="158">
        <f t="shared" ref="AC235" si="176">SUM(AC236:AC238)</f>
        <v>2971600</v>
      </c>
      <c r="AD235" s="158">
        <f t="shared" si="169"/>
        <v>0</v>
      </c>
      <c r="AE235" s="158">
        <f t="shared" si="97"/>
        <v>-2971600</v>
      </c>
      <c r="AF235" s="156"/>
      <c r="AG235" s="156"/>
      <c r="AH235" s="156"/>
      <c r="AI235" s="156"/>
      <c r="AJ235" s="156"/>
      <c r="AK235" s="156"/>
      <c r="AL235" s="156"/>
      <c r="AM235" s="156"/>
      <c r="AN235" s="156"/>
      <c r="AO235" s="156"/>
      <c r="AP235" s="156"/>
      <c r="AQ235" s="156"/>
      <c r="AR235" s="156"/>
      <c r="AS235" s="156"/>
      <c r="AT235" s="156"/>
      <c r="AU235" s="156"/>
      <c r="AV235" s="156"/>
      <c r="AW235" s="156"/>
      <c r="AX235" s="156"/>
      <c r="AY235" s="156"/>
      <c r="AZ235" s="156"/>
      <c r="BA235" s="156"/>
      <c r="BB235" s="156"/>
      <c r="BC235" s="156"/>
      <c r="BD235" s="156"/>
      <c r="BE235" s="156"/>
      <c r="BF235" s="156"/>
      <c r="BG235" s="156"/>
      <c r="BH235" s="156"/>
      <c r="BI235" s="156"/>
      <c r="BJ235" s="156"/>
      <c r="BK235" s="156"/>
      <c r="BL235" s="156"/>
      <c r="BM235" s="156"/>
      <c r="BN235" s="156"/>
      <c r="BO235" s="156"/>
      <c r="BP235" s="156"/>
      <c r="BQ235" s="156"/>
      <c r="BR235" s="156"/>
      <c r="BS235" s="156"/>
      <c r="BT235" s="156"/>
      <c r="BU235" s="156"/>
      <c r="BV235" s="156"/>
      <c r="BW235" s="156"/>
      <c r="BX235" s="156"/>
      <c r="BY235" s="156"/>
      <c r="BZ235" s="156"/>
      <c r="CA235" s="156"/>
      <c r="CB235" s="156"/>
      <c r="CC235" s="156"/>
      <c r="CD235" s="156"/>
      <c r="CE235" s="156"/>
      <c r="CF235" s="156"/>
      <c r="CG235" s="156"/>
      <c r="CH235" s="156"/>
      <c r="CI235" s="156"/>
      <c r="CJ235" s="156"/>
      <c r="CK235" s="156"/>
      <c r="CL235" s="156"/>
      <c r="CM235" s="156"/>
      <c r="CN235" s="156"/>
      <c r="CO235" s="156"/>
      <c r="CP235" s="156"/>
      <c r="CQ235" s="156"/>
      <c r="CR235" s="156"/>
      <c r="CS235" s="156"/>
      <c r="CT235" s="156"/>
      <c r="CU235" s="156"/>
      <c r="CV235" s="156"/>
      <c r="CW235" s="156"/>
      <c r="CX235" s="156"/>
      <c r="CY235" s="156"/>
      <c r="CZ235" s="156"/>
      <c r="DA235" s="156"/>
      <c r="DB235" s="156"/>
      <c r="DC235" s="156"/>
      <c r="DD235" s="156"/>
      <c r="DE235" s="156"/>
      <c r="DF235" s="156"/>
      <c r="DG235" s="156"/>
      <c r="DH235" s="156"/>
      <c r="DI235" s="156"/>
      <c r="DJ235" s="156"/>
      <c r="DK235" s="156"/>
      <c r="DL235" s="156"/>
      <c r="DM235" s="156"/>
      <c r="DN235" s="156"/>
      <c r="DO235" s="156"/>
      <c r="DP235" s="156"/>
      <c r="DQ235" s="156"/>
      <c r="DR235" s="156"/>
      <c r="DS235" s="156"/>
      <c r="DT235" s="156"/>
      <c r="DU235" s="156"/>
      <c r="DV235" s="156"/>
      <c r="DW235" s="156"/>
      <c r="DX235" s="156"/>
      <c r="DY235" s="156"/>
      <c r="DZ235" s="156"/>
      <c r="EA235" s="156"/>
      <c r="EB235" s="156"/>
      <c r="EC235" s="156"/>
      <c r="ED235" s="156"/>
      <c r="EE235" s="156"/>
      <c r="EF235" s="156"/>
      <c r="EG235" s="156"/>
      <c r="EH235" s="156"/>
      <c r="EI235" s="156"/>
      <c r="EJ235" s="156"/>
      <c r="EK235" s="156"/>
      <c r="EL235" s="156"/>
      <c r="EM235" s="156"/>
      <c r="EN235" s="156"/>
      <c r="EO235" s="156"/>
      <c r="EP235" s="156"/>
      <c r="EQ235" s="156"/>
      <c r="ER235" s="156"/>
      <c r="ES235" s="156"/>
      <c r="ET235" s="156"/>
      <c r="EU235" s="156"/>
      <c r="EV235" s="156"/>
      <c r="EW235" s="156"/>
      <c r="EX235" s="156"/>
      <c r="EY235" s="156"/>
      <c r="EZ235" s="156"/>
      <c r="FA235" s="156"/>
      <c r="FB235" s="156"/>
      <c r="FC235" s="156"/>
      <c r="FD235" s="156"/>
      <c r="FE235" s="156"/>
      <c r="FF235" s="156"/>
      <c r="FG235" s="156"/>
      <c r="FH235" s="156"/>
      <c r="FI235" s="156"/>
      <c r="FJ235" s="156"/>
      <c r="FK235" s="156"/>
      <c r="FL235" s="156"/>
      <c r="FM235" s="156"/>
      <c r="FN235" s="156"/>
      <c r="FO235" s="156"/>
      <c r="FP235" s="156"/>
      <c r="FQ235" s="156"/>
      <c r="FR235" s="156"/>
      <c r="FS235" s="156"/>
      <c r="FT235" s="156"/>
      <c r="FU235" s="156"/>
      <c r="FV235" s="156"/>
      <c r="FW235" s="156"/>
      <c r="FX235" s="156"/>
      <c r="FY235" s="156"/>
      <c r="FZ235" s="156"/>
      <c r="GA235" s="156"/>
      <c r="GB235" s="156"/>
      <c r="GC235" s="156"/>
      <c r="GD235" s="156"/>
      <c r="GE235" s="156"/>
      <c r="GF235" s="156"/>
      <c r="GG235" s="156"/>
      <c r="GH235" s="156"/>
      <c r="GI235" s="156"/>
      <c r="GJ235" s="156"/>
    </row>
    <row r="236" spans="1:192" s="159" customFormat="1" ht="47.25" x14ac:dyDescent="0.25">
      <c r="A236" s="167" t="s">
        <v>415</v>
      </c>
      <c r="B236" s="168">
        <v>2</v>
      </c>
      <c r="C236" s="168">
        <v>311</v>
      </c>
      <c r="D236" s="168">
        <v>5202</v>
      </c>
      <c r="E236" s="170">
        <f t="shared" si="168"/>
        <v>1052008</v>
      </c>
      <c r="F236" s="170">
        <f t="shared" si="168"/>
        <v>1052008</v>
      </c>
      <c r="G236" s="170">
        <f t="shared" si="168"/>
        <v>0</v>
      </c>
      <c r="H236" s="170">
        <f>200000+35278-2</f>
        <v>235276</v>
      </c>
      <c r="I236" s="170">
        <f>200000+35278-2</f>
        <v>235276</v>
      </c>
      <c r="J236" s="170">
        <f t="shared" si="67"/>
        <v>0</v>
      </c>
      <c r="K236" s="170"/>
      <c r="L236" s="170"/>
      <c r="M236" s="170">
        <f t="shared" si="91"/>
        <v>0</v>
      </c>
      <c r="N236" s="170">
        <f>52010-35278</f>
        <v>16732</v>
      </c>
      <c r="O236" s="170">
        <f>52010-35278</f>
        <v>16732</v>
      </c>
      <c r="P236" s="170">
        <f t="shared" si="92"/>
        <v>0</v>
      </c>
      <c r="Q236" s="170"/>
      <c r="R236" s="170"/>
      <c r="S236" s="170">
        <f t="shared" si="93"/>
        <v>0</v>
      </c>
      <c r="T236" s="170"/>
      <c r="U236" s="170"/>
      <c r="V236" s="170">
        <f t="shared" si="94"/>
        <v>0</v>
      </c>
      <c r="W236" s="170"/>
      <c r="X236" s="170"/>
      <c r="Y236" s="170">
        <f t="shared" si="95"/>
        <v>0</v>
      </c>
      <c r="Z236" s="170">
        <v>800000</v>
      </c>
      <c r="AA236" s="170">
        <v>800000</v>
      </c>
      <c r="AB236" s="170">
        <f t="shared" si="96"/>
        <v>0</v>
      </c>
      <c r="AC236" s="170">
        <f>800000-800000</f>
        <v>0</v>
      </c>
      <c r="AD236" s="170">
        <f>800000-800000</f>
        <v>0</v>
      </c>
      <c r="AE236" s="170">
        <f t="shared" si="97"/>
        <v>0</v>
      </c>
    </row>
    <row r="237" spans="1:192" s="159" customFormat="1" x14ac:dyDescent="0.25">
      <c r="A237" s="167" t="s">
        <v>416</v>
      </c>
      <c r="B237" s="168"/>
      <c r="C237" s="168"/>
      <c r="D237" s="168"/>
      <c r="E237" s="170">
        <f t="shared" si="168"/>
        <v>2971600</v>
      </c>
      <c r="F237" s="170">
        <f t="shared" si="168"/>
        <v>0</v>
      </c>
      <c r="G237" s="170">
        <f t="shared" si="168"/>
        <v>-2971600</v>
      </c>
      <c r="H237" s="170"/>
      <c r="I237" s="170"/>
      <c r="J237" s="170">
        <f t="shared" ref="J237:J350" si="177">I237-H237</f>
        <v>0</v>
      </c>
      <c r="K237" s="170"/>
      <c r="L237" s="170"/>
      <c r="M237" s="170">
        <f t="shared" si="91"/>
        <v>0</v>
      </c>
      <c r="N237" s="170"/>
      <c r="O237" s="170"/>
      <c r="P237" s="170">
        <f t="shared" si="92"/>
        <v>0</v>
      </c>
      <c r="Q237" s="170"/>
      <c r="R237" s="170"/>
      <c r="S237" s="170">
        <f t="shared" si="93"/>
        <v>0</v>
      </c>
      <c r="T237" s="170"/>
      <c r="U237" s="170"/>
      <c r="V237" s="170">
        <f t="shared" si="94"/>
        <v>0</v>
      </c>
      <c r="W237" s="170"/>
      <c r="X237" s="170"/>
      <c r="Y237" s="170">
        <f t="shared" si="95"/>
        <v>0</v>
      </c>
      <c r="Z237" s="170"/>
      <c r="AA237" s="170"/>
      <c r="AB237" s="170">
        <f t="shared" si="96"/>
        <v>0</v>
      </c>
      <c r="AC237" s="170">
        <v>2971600</v>
      </c>
      <c r="AD237" s="170"/>
      <c r="AE237" s="170">
        <f t="shared" si="97"/>
        <v>-2971600</v>
      </c>
    </row>
    <row r="238" spans="1:192" s="159" customFormat="1" ht="47.25" x14ac:dyDescent="0.25">
      <c r="A238" s="167" t="s">
        <v>417</v>
      </c>
      <c r="B238" s="168">
        <v>2</v>
      </c>
      <c r="C238" s="168">
        <v>311</v>
      </c>
      <c r="D238" s="168">
        <v>5202</v>
      </c>
      <c r="E238" s="170">
        <f t="shared" si="168"/>
        <v>364192</v>
      </c>
      <c r="F238" s="170">
        <f t="shared" si="168"/>
        <v>364192</v>
      </c>
      <c r="G238" s="170">
        <f t="shared" si="168"/>
        <v>0</v>
      </c>
      <c r="H238" s="170"/>
      <c r="I238" s="170"/>
      <c r="J238" s="170">
        <f t="shared" si="177"/>
        <v>0</v>
      </c>
      <c r="K238" s="170"/>
      <c r="L238" s="170"/>
      <c r="M238" s="170">
        <f t="shared" si="91"/>
        <v>0</v>
      </c>
      <c r="N238" s="170"/>
      <c r="O238" s="170"/>
      <c r="P238" s="170">
        <f t="shared" si="92"/>
        <v>0</v>
      </c>
      <c r="Q238" s="170"/>
      <c r="R238" s="170"/>
      <c r="S238" s="170">
        <f t="shared" si="93"/>
        <v>0</v>
      </c>
      <c r="T238" s="170"/>
      <c r="U238" s="170"/>
      <c r="V238" s="170">
        <f t="shared" si="94"/>
        <v>0</v>
      </c>
      <c r="W238" s="170">
        <v>364192</v>
      </c>
      <c r="X238" s="170">
        <v>364192</v>
      </c>
      <c r="Y238" s="170">
        <f t="shared" si="95"/>
        <v>0</v>
      </c>
      <c r="Z238" s="170"/>
      <c r="AA238" s="170"/>
      <c r="AB238" s="170">
        <f t="shared" si="96"/>
        <v>0</v>
      </c>
      <c r="AC238" s="170"/>
      <c r="AD238" s="170"/>
      <c r="AE238" s="170">
        <f t="shared" si="97"/>
        <v>0</v>
      </c>
    </row>
    <row r="239" spans="1:192" s="159" customFormat="1" ht="31.5" x14ac:dyDescent="0.25">
      <c r="A239" s="157" t="s">
        <v>373</v>
      </c>
      <c r="B239" s="166"/>
      <c r="C239" s="166"/>
      <c r="D239" s="166"/>
      <c r="E239" s="158">
        <f t="shared" si="168"/>
        <v>83610</v>
      </c>
      <c r="F239" s="158">
        <f t="shared" si="168"/>
        <v>78301</v>
      </c>
      <c r="G239" s="158">
        <f t="shared" si="168"/>
        <v>-5309</v>
      </c>
      <c r="H239" s="158">
        <f>SUM(H240:H256)</f>
        <v>0</v>
      </c>
      <c r="I239" s="158">
        <f>SUM(I240:I256)</f>
        <v>0</v>
      </c>
      <c r="J239" s="158">
        <f t="shared" si="177"/>
        <v>0</v>
      </c>
      <c r="K239" s="158">
        <f t="shared" ref="K239:L239" si="178">SUM(K240:K256)</f>
        <v>0</v>
      </c>
      <c r="L239" s="158">
        <f t="shared" si="178"/>
        <v>0</v>
      </c>
      <c r="M239" s="158">
        <f t="shared" si="91"/>
        <v>0</v>
      </c>
      <c r="N239" s="158">
        <f t="shared" ref="N239:O239" si="179">SUM(N240:N256)</f>
        <v>43491</v>
      </c>
      <c r="O239" s="158">
        <f t="shared" si="179"/>
        <v>38182</v>
      </c>
      <c r="P239" s="158">
        <f t="shared" si="92"/>
        <v>-5309</v>
      </c>
      <c r="Q239" s="158">
        <f t="shared" ref="Q239:R239" si="180">SUM(Q240:Q256)</f>
        <v>0</v>
      </c>
      <c r="R239" s="158">
        <f t="shared" si="180"/>
        <v>0</v>
      </c>
      <c r="S239" s="158">
        <f t="shared" si="93"/>
        <v>0</v>
      </c>
      <c r="T239" s="158">
        <f t="shared" ref="T239:U239" si="181">SUM(T240:T256)</f>
        <v>27508</v>
      </c>
      <c r="U239" s="158">
        <f t="shared" si="181"/>
        <v>27508</v>
      </c>
      <c r="V239" s="158">
        <f t="shared" si="94"/>
        <v>0</v>
      </c>
      <c r="W239" s="158">
        <f t="shared" ref="W239:X239" si="182">SUM(W240:W256)</f>
        <v>0</v>
      </c>
      <c r="X239" s="158">
        <f t="shared" si="182"/>
        <v>0</v>
      </c>
      <c r="Y239" s="158">
        <f t="shared" si="95"/>
        <v>0</v>
      </c>
      <c r="Z239" s="158">
        <f t="shared" ref="Z239:AA239" si="183">SUM(Z240:Z256)</f>
        <v>12611</v>
      </c>
      <c r="AA239" s="158">
        <f t="shared" si="183"/>
        <v>12611</v>
      </c>
      <c r="AB239" s="158">
        <f t="shared" si="96"/>
        <v>0</v>
      </c>
      <c r="AC239" s="158">
        <f t="shared" ref="AC239:AD239" si="184">SUM(AC240:AC256)</f>
        <v>0</v>
      </c>
      <c r="AD239" s="158">
        <f t="shared" si="184"/>
        <v>0</v>
      </c>
      <c r="AE239" s="158">
        <f t="shared" si="97"/>
        <v>0</v>
      </c>
    </row>
    <row r="240" spans="1:192" s="159" customFormat="1" x14ac:dyDescent="0.25">
      <c r="A240" s="167" t="s">
        <v>418</v>
      </c>
      <c r="B240" s="168">
        <v>1</v>
      </c>
      <c r="C240" s="168">
        <v>322</v>
      </c>
      <c r="D240" s="168">
        <v>5203</v>
      </c>
      <c r="E240" s="170">
        <f t="shared" si="168"/>
        <v>3358</v>
      </c>
      <c r="F240" s="170">
        <f t="shared" si="168"/>
        <v>3358</v>
      </c>
      <c r="G240" s="170">
        <f t="shared" si="168"/>
        <v>0</v>
      </c>
      <c r="H240" s="170"/>
      <c r="I240" s="170"/>
      <c r="J240" s="170">
        <f t="shared" si="177"/>
        <v>0</v>
      </c>
      <c r="K240" s="170"/>
      <c r="L240" s="170"/>
      <c r="M240" s="170">
        <f t="shared" si="91"/>
        <v>0</v>
      </c>
      <c r="N240" s="170"/>
      <c r="O240" s="170"/>
      <c r="P240" s="170">
        <f t="shared" si="92"/>
        <v>0</v>
      </c>
      <c r="Q240" s="170"/>
      <c r="R240" s="170"/>
      <c r="S240" s="170">
        <f t="shared" si="93"/>
        <v>0</v>
      </c>
      <c r="T240" s="170">
        <f>131668-120000-8310</f>
        <v>3358</v>
      </c>
      <c r="U240" s="170">
        <f>131668-120000-8310</f>
        <v>3358</v>
      </c>
      <c r="V240" s="170">
        <f t="shared" si="94"/>
        <v>0</v>
      </c>
      <c r="W240" s="170"/>
      <c r="X240" s="170"/>
      <c r="Y240" s="170">
        <f t="shared" si="95"/>
        <v>0</v>
      </c>
      <c r="Z240" s="170"/>
      <c r="AA240" s="170"/>
      <c r="AB240" s="170">
        <f t="shared" si="96"/>
        <v>0</v>
      </c>
      <c r="AC240" s="170"/>
      <c r="AD240" s="170"/>
      <c r="AE240" s="170">
        <f t="shared" si="97"/>
        <v>0</v>
      </c>
    </row>
    <row r="241" spans="1:192" s="159" customFormat="1" ht="31.5" x14ac:dyDescent="0.25">
      <c r="A241" s="167" t="s">
        <v>419</v>
      </c>
      <c r="B241" s="168">
        <v>1</v>
      </c>
      <c r="C241" s="168">
        <v>322</v>
      </c>
      <c r="D241" s="168">
        <v>5203</v>
      </c>
      <c r="E241" s="170">
        <f t="shared" si="168"/>
        <v>3054</v>
      </c>
      <c r="F241" s="170">
        <f t="shared" si="168"/>
        <v>3054</v>
      </c>
      <c r="G241" s="170">
        <f t="shared" si="168"/>
        <v>0</v>
      </c>
      <c r="H241" s="170"/>
      <c r="I241" s="170"/>
      <c r="J241" s="170">
        <f t="shared" si="177"/>
        <v>0</v>
      </c>
      <c r="K241" s="170"/>
      <c r="L241" s="170"/>
      <c r="M241" s="170">
        <f t="shared" si="91"/>
        <v>0</v>
      </c>
      <c r="N241" s="170">
        <v>3054</v>
      </c>
      <c r="O241" s="170">
        <v>3054</v>
      </c>
      <c r="P241" s="170">
        <f t="shared" si="92"/>
        <v>0</v>
      </c>
      <c r="Q241" s="170"/>
      <c r="R241" s="170"/>
      <c r="S241" s="170">
        <f t="shared" si="93"/>
        <v>0</v>
      </c>
      <c r="T241" s="170"/>
      <c r="U241" s="170"/>
      <c r="V241" s="170">
        <f t="shared" si="94"/>
        <v>0</v>
      </c>
      <c r="W241" s="170"/>
      <c r="X241" s="170"/>
      <c r="Y241" s="170">
        <f t="shared" si="95"/>
        <v>0</v>
      </c>
      <c r="Z241" s="170"/>
      <c r="AA241" s="170"/>
      <c r="AB241" s="170">
        <f t="shared" si="96"/>
        <v>0</v>
      </c>
      <c r="AC241" s="170"/>
      <c r="AD241" s="170"/>
      <c r="AE241" s="170">
        <f t="shared" si="97"/>
        <v>0</v>
      </c>
    </row>
    <row r="242" spans="1:192" s="159" customFormat="1" ht="31.5" x14ac:dyDescent="0.25">
      <c r="A242" s="167" t="s">
        <v>420</v>
      </c>
      <c r="B242" s="168">
        <v>1</v>
      </c>
      <c r="C242" s="168">
        <v>322</v>
      </c>
      <c r="D242" s="168">
        <v>5203</v>
      </c>
      <c r="E242" s="170">
        <f t="shared" si="168"/>
        <v>3744</v>
      </c>
      <c r="F242" s="170">
        <f t="shared" si="168"/>
        <v>3744</v>
      </c>
      <c r="G242" s="170">
        <f t="shared" si="168"/>
        <v>0</v>
      </c>
      <c r="H242" s="170"/>
      <c r="I242" s="170"/>
      <c r="J242" s="170">
        <f t="shared" si="177"/>
        <v>0</v>
      </c>
      <c r="K242" s="170"/>
      <c r="L242" s="170"/>
      <c r="M242" s="170">
        <f t="shared" si="91"/>
        <v>0</v>
      </c>
      <c r="N242" s="170"/>
      <c r="O242" s="170"/>
      <c r="P242" s="170">
        <f t="shared" si="92"/>
        <v>0</v>
      </c>
      <c r="Q242" s="170"/>
      <c r="R242" s="170"/>
      <c r="S242" s="170">
        <f t="shared" si="93"/>
        <v>0</v>
      </c>
      <c r="T242" s="170">
        <v>3744</v>
      </c>
      <c r="U242" s="170">
        <v>3744</v>
      </c>
      <c r="V242" s="170">
        <f t="shared" si="94"/>
        <v>0</v>
      </c>
      <c r="W242" s="170"/>
      <c r="X242" s="170"/>
      <c r="Y242" s="170">
        <f t="shared" si="95"/>
        <v>0</v>
      </c>
      <c r="Z242" s="170"/>
      <c r="AA242" s="170"/>
      <c r="AB242" s="170">
        <f t="shared" si="96"/>
        <v>0</v>
      </c>
      <c r="AC242" s="170"/>
      <c r="AD242" s="170"/>
      <c r="AE242" s="170">
        <f t="shared" si="97"/>
        <v>0</v>
      </c>
    </row>
    <row r="243" spans="1:192" s="156" customFormat="1" x14ac:dyDescent="0.25">
      <c r="A243" s="167" t="s">
        <v>421</v>
      </c>
      <c r="B243" s="168">
        <v>1</v>
      </c>
      <c r="C243" s="168">
        <v>322</v>
      </c>
      <c r="D243" s="168">
        <v>5203</v>
      </c>
      <c r="E243" s="170">
        <f t="shared" si="168"/>
        <v>10482</v>
      </c>
      <c r="F243" s="170">
        <f t="shared" si="168"/>
        <v>10482</v>
      </c>
      <c r="G243" s="170">
        <f t="shared" si="168"/>
        <v>0</v>
      </c>
      <c r="H243" s="170"/>
      <c r="I243" s="170"/>
      <c r="J243" s="170">
        <f t="shared" si="177"/>
        <v>0</v>
      </c>
      <c r="K243" s="170"/>
      <c r="L243" s="170"/>
      <c r="M243" s="170">
        <f t="shared" si="91"/>
        <v>0</v>
      </c>
      <c r="N243" s="170"/>
      <c r="O243" s="170"/>
      <c r="P243" s="170">
        <f t="shared" si="92"/>
        <v>0</v>
      </c>
      <c r="Q243" s="170"/>
      <c r="R243" s="170"/>
      <c r="S243" s="170">
        <f t="shared" si="93"/>
        <v>0</v>
      </c>
      <c r="T243" s="170">
        <f>3108+1842+2532+3000</f>
        <v>10482</v>
      </c>
      <c r="U243" s="170">
        <f>3108+1842+2532+3000</f>
        <v>10482</v>
      </c>
      <c r="V243" s="170">
        <f t="shared" si="94"/>
        <v>0</v>
      </c>
      <c r="W243" s="170"/>
      <c r="X243" s="170"/>
      <c r="Y243" s="170">
        <f t="shared" si="95"/>
        <v>0</v>
      </c>
      <c r="Z243" s="170"/>
      <c r="AA243" s="170"/>
      <c r="AB243" s="170">
        <f t="shared" si="96"/>
        <v>0</v>
      </c>
      <c r="AC243" s="170"/>
      <c r="AD243" s="170"/>
      <c r="AE243" s="170">
        <f t="shared" si="97"/>
        <v>0</v>
      </c>
      <c r="AF243" s="159"/>
      <c r="AG243" s="159"/>
      <c r="AH243" s="159"/>
      <c r="AI243" s="159"/>
      <c r="AJ243" s="159"/>
      <c r="AK243" s="159"/>
      <c r="AL243" s="159"/>
      <c r="AM243" s="159"/>
      <c r="AN243" s="159"/>
      <c r="AO243" s="159"/>
      <c r="AP243" s="159"/>
      <c r="AQ243" s="159"/>
      <c r="AR243" s="159"/>
      <c r="AS243" s="159"/>
      <c r="AT243" s="159"/>
      <c r="AU243" s="159"/>
      <c r="AV243" s="159"/>
      <c r="AW243" s="159"/>
      <c r="AX243" s="159"/>
      <c r="AY243" s="159"/>
      <c r="AZ243" s="159"/>
      <c r="BA243" s="159"/>
      <c r="BB243" s="159"/>
      <c r="BC243" s="159"/>
      <c r="BD243" s="159"/>
      <c r="BE243" s="159"/>
      <c r="BF243" s="159"/>
      <c r="BG243" s="159"/>
      <c r="BH243" s="159"/>
      <c r="BI243" s="159"/>
      <c r="BJ243" s="159"/>
      <c r="BK243" s="159"/>
      <c r="BL243" s="159"/>
      <c r="BM243" s="159"/>
      <c r="BN243" s="159"/>
      <c r="BO243" s="159"/>
      <c r="BP243" s="159"/>
      <c r="BQ243" s="159"/>
      <c r="BR243" s="159"/>
      <c r="BS243" s="159"/>
      <c r="BT243" s="159"/>
      <c r="BU243" s="159"/>
      <c r="BV243" s="159"/>
      <c r="BW243" s="159"/>
      <c r="BX243" s="159"/>
      <c r="BY243" s="159"/>
      <c r="BZ243" s="159"/>
      <c r="CA243" s="159"/>
      <c r="CB243" s="159"/>
      <c r="CC243" s="159"/>
      <c r="CD243" s="159"/>
      <c r="CE243" s="159"/>
      <c r="CF243" s="159"/>
      <c r="CG243" s="159"/>
      <c r="CH243" s="159"/>
      <c r="CI243" s="159"/>
      <c r="CJ243" s="159"/>
      <c r="CK243" s="159"/>
      <c r="CL243" s="159"/>
      <c r="CM243" s="159"/>
      <c r="CN243" s="159"/>
      <c r="CO243" s="159"/>
      <c r="CP243" s="159"/>
      <c r="CQ243" s="159"/>
      <c r="CR243" s="159"/>
      <c r="CS243" s="159"/>
      <c r="CT243" s="159"/>
      <c r="CU243" s="159"/>
      <c r="CV243" s="159"/>
      <c r="CW243" s="159"/>
      <c r="CX243" s="159"/>
      <c r="CY243" s="159"/>
      <c r="CZ243" s="159"/>
      <c r="DA243" s="159"/>
      <c r="DB243" s="159"/>
      <c r="DC243" s="159"/>
      <c r="DD243" s="159"/>
      <c r="DE243" s="159"/>
      <c r="DF243" s="159"/>
      <c r="DG243" s="159"/>
      <c r="DH243" s="159"/>
      <c r="DI243" s="159"/>
      <c r="DJ243" s="159"/>
      <c r="DK243" s="159"/>
      <c r="DL243" s="159"/>
      <c r="DM243" s="159"/>
      <c r="DN243" s="159"/>
      <c r="DO243" s="159"/>
      <c r="DP243" s="159"/>
      <c r="DQ243" s="159"/>
      <c r="DR243" s="159"/>
      <c r="DS243" s="159"/>
      <c r="DT243" s="159"/>
      <c r="DU243" s="159"/>
      <c r="DV243" s="159"/>
      <c r="DW243" s="159"/>
      <c r="DX243" s="159"/>
      <c r="DY243" s="159"/>
      <c r="DZ243" s="159"/>
      <c r="EA243" s="159"/>
      <c r="EB243" s="159"/>
      <c r="EC243" s="159"/>
      <c r="ED243" s="159"/>
      <c r="EE243" s="159"/>
      <c r="EF243" s="159"/>
      <c r="EG243" s="159"/>
      <c r="EH243" s="159"/>
      <c r="EI243" s="159"/>
      <c r="EJ243" s="159"/>
      <c r="EK243" s="159"/>
      <c r="EL243" s="159"/>
      <c r="EM243" s="159"/>
      <c r="EN243" s="159"/>
      <c r="EO243" s="159"/>
      <c r="EP243" s="159"/>
      <c r="EQ243" s="159"/>
      <c r="ER243" s="159"/>
      <c r="ES243" s="159"/>
      <c r="ET243" s="159"/>
      <c r="EU243" s="159"/>
      <c r="EV243" s="159"/>
      <c r="EW243" s="159"/>
      <c r="EX243" s="159"/>
      <c r="EY243" s="159"/>
      <c r="EZ243" s="159"/>
      <c r="FA243" s="159"/>
      <c r="FB243" s="159"/>
      <c r="FC243" s="159"/>
      <c r="FD243" s="159"/>
      <c r="FE243" s="159"/>
      <c r="FF243" s="159"/>
      <c r="FG243" s="159"/>
      <c r="FH243" s="159"/>
      <c r="FI243" s="159"/>
      <c r="FJ243" s="159"/>
      <c r="FK243" s="159"/>
      <c r="FL243" s="159"/>
      <c r="FM243" s="159"/>
      <c r="FN243" s="159"/>
      <c r="FO243" s="159"/>
      <c r="FP243" s="159"/>
      <c r="FQ243" s="159"/>
      <c r="FR243" s="159"/>
      <c r="FS243" s="159"/>
      <c r="FT243" s="159"/>
      <c r="FU243" s="159"/>
      <c r="FV243" s="159"/>
      <c r="FW243" s="159"/>
      <c r="FX243" s="159"/>
      <c r="FY243" s="159"/>
      <c r="FZ243" s="159"/>
      <c r="GA243" s="159"/>
      <c r="GB243" s="159"/>
      <c r="GC243" s="159"/>
      <c r="GD243" s="159"/>
      <c r="GE243" s="159"/>
      <c r="GF243" s="159"/>
      <c r="GG243" s="159"/>
      <c r="GH243" s="159"/>
      <c r="GI243" s="159"/>
      <c r="GJ243" s="159"/>
    </row>
    <row r="244" spans="1:192" s="156" customFormat="1" x14ac:dyDescent="0.25">
      <c r="A244" s="167" t="s">
        <v>422</v>
      </c>
      <c r="B244" s="168">
        <v>1</v>
      </c>
      <c r="C244" s="168">
        <v>322</v>
      </c>
      <c r="D244" s="168">
        <v>5203</v>
      </c>
      <c r="E244" s="170">
        <f t="shared" si="168"/>
        <v>3580</v>
      </c>
      <c r="F244" s="170">
        <f t="shared" si="168"/>
        <v>3580</v>
      </c>
      <c r="G244" s="170">
        <f t="shared" si="168"/>
        <v>0</v>
      </c>
      <c r="H244" s="170"/>
      <c r="I244" s="170"/>
      <c r="J244" s="170">
        <f t="shared" si="177"/>
        <v>0</v>
      </c>
      <c r="K244" s="170"/>
      <c r="L244" s="170"/>
      <c r="M244" s="170">
        <f t="shared" si="91"/>
        <v>0</v>
      </c>
      <c r="N244" s="170">
        <v>3580</v>
      </c>
      <c r="O244" s="170">
        <v>3580</v>
      </c>
      <c r="P244" s="170">
        <f t="shared" si="92"/>
        <v>0</v>
      </c>
      <c r="Q244" s="170"/>
      <c r="R244" s="170"/>
      <c r="S244" s="170">
        <f t="shared" si="93"/>
        <v>0</v>
      </c>
      <c r="T244" s="170"/>
      <c r="U244" s="170"/>
      <c r="V244" s="170">
        <f t="shared" si="94"/>
        <v>0</v>
      </c>
      <c r="W244" s="170"/>
      <c r="X244" s="170"/>
      <c r="Y244" s="170">
        <f t="shared" si="95"/>
        <v>0</v>
      </c>
      <c r="Z244" s="170"/>
      <c r="AA244" s="170"/>
      <c r="AB244" s="170">
        <f t="shared" si="96"/>
        <v>0</v>
      </c>
      <c r="AC244" s="170"/>
      <c r="AD244" s="170"/>
      <c r="AE244" s="170">
        <f t="shared" si="97"/>
        <v>0</v>
      </c>
      <c r="AF244" s="159"/>
      <c r="AG244" s="159"/>
      <c r="AH244" s="159"/>
      <c r="AI244" s="159"/>
      <c r="AJ244" s="159"/>
      <c r="AK244" s="159"/>
      <c r="AL244" s="159"/>
      <c r="AM244" s="159"/>
      <c r="AN244" s="159"/>
      <c r="AO244" s="159"/>
      <c r="AP244" s="159"/>
      <c r="AQ244" s="159"/>
      <c r="AR244" s="159"/>
      <c r="AS244" s="159"/>
      <c r="AT244" s="159"/>
      <c r="AU244" s="159"/>
      <c r="AV244" s="159"/>
      <c r="AW244" s="159"/>
      <c r="AX244" s="159"/>
      <c r="AY244" s="159"/>
      <c r="AZ244" s="159"/>
      <c r="BA244" s="159"/>
      <c r="BB244" s="159"/>
      <c r="BC244" s="159"/>
      <c r="BD244" s="159"/>
      <c r="BE244" s="159"/>
      <c r="BF244" s="159"/>
      <c r="BG244" s="159"/>
      <c r="BH244" s="159"/>
      <c r="BI244" s="159"/>
      <c r="BJ244" s="159"/>
      <c r="BK244" s="159"/>
      <c r="BL244" s="159"/>
      <c r="BM244" s="159"/>
      <c r="BN244" s="159"/>
      <c r="BO244" s="159"/>
      <c r="BP244" s="159"/>
      <c r="BQ244" s="159"/>
      <c r="BR244" s="159"/>
      <c r="BS244" s="159"/>
      <c r="BT244" s="159"/>
      <c r="BU244" s="159"/>
      <c r="BV244" s="159"/>
      <c r="BW244" s="159"/>
      <c r="BX244" s="159"/>
      <c r="BY244" s="159"/>
      <c r="BZ244" s="159"/>
      <c r="CA244" s="159"/>
      <c r="CB244" s="159"/>
      <c r="CC244" s="159"/>
      <c r="CD244" s="159"/>
      <c r="CE244" s="159"/>
      <c r="CF244" s="159"/>
      <c r="CG244" s="159"/>
      <c r="CH244" s="159"/>
      <c r="CI244" s="159"/>
      <c r="CJ244" s="159"/>
      <c r="CK244" s="159"/>
      <c r="CL244" s="159"/>
      <c r="CM244" s="159"/>
      <c r="CN244" s="159"/>
      <c r="CO244" s="159"/>
      <c r="CP244" s="159"/>
      <c r="CQ244" s="159"/>
      <c r="CR244" s="159"/>
      <c r="CS244" s="159"/>
      <c r="CT244" s="159"/>
      <c r="CU244" s="159"/>
      <c r="CV244" s="159"/>
      <c r="CW244" s="159"/>
      <c r="CX244" s="159"/>
      <c r="CY244" s="159"/>
      <c r="CZ244" s="159"/>
      <c r="DA244" s="159"/>
      <c r="DB244" s="159"/>
      <c r="DC244" s="159"/>
      <c r="DD244" s="159"/>
      <c r="DE244" s="159"/>
      <c r="DF244" s="159"/>
      <c r="DG244" s="159"/>
      <c r="DH244" s="159"/>
      <c r="DI244" s="159"/>
      <c r="DJ244" s="159"/>
      <c r="DK244" s="159"/>
      <c r="DL244" s="159"/>
      <c r="DM244" s="159"/>
      <c r="DN244" s="159"/>
      <c r="DO244" s="159"/>
      <c r="DP244" s="159"/>
      <c r="DQ244" s="159"/>
      <c r="DR244" s="159"/>
      <c r="DS244" s="159"/>
      <c r="DT244" s="159"/>
      <c r="DU244" s="159"/>
      <c r="DV244" s="159"/>
      <c r="DW244" s="159"/>
      <c r="DX244" s="159"/>
      <c r="DY244" s="159"/>
      <c r="DZ244" s="159"/>
      <c r="EA244" s="159"/>
      <c r="EB244" s="159"/>
      <c r="EC244" s="159"/>
      <c r="ED244" s="159"/>
      <c r="EE244" s="159"/>
      <c r="EF244" s="159"/>
      <c r="EG244" s="159"/>
      <c r="EH244" s="159"/>
      <c r="EI244" s="159"/>
      <c r="EJ244" s="159"/>
      <c r="EK244" s="159"/>
      <c r="EL244" s="159"/>
      <c r="EM244" s="159"/>
      <c r="EN244" s="159"/>
      <c r="EO244" s="159"/>
      <c r="EP244" s="159"/>
      <c r="EQ244" s="159"/>
      <c r="ER244" s="159"/>
      <c r="ES244" s="159"/>
      <c r="ET244" s="159"/>
      <c r="EU244" s="159"/>
      <c r="EV244" s="159"/>
      <c r="EW244" s="159"/>
      <c r="EX244" s="159"/>
      <c r="EY244" s="159"/>
      <c r="EZ244" s="159"/>
      <c r="FA244" s="159"/>
      <c r="FB244" s="159"/>
      <c r="FC244" s="159"/>
      <c r="FD244" s="159"/>
      <c r="FE244" s="159"/>
      <c r="FF244" s="159"/>
      <c r="FG244" s="159"/>
      <c r="FH244" s="159"/>
      <c r="FI244" s="159"/>
      <c r="FJ244" s="159"/>
      <c r="FK244" s="159"/>
      <c r="FL244" s="159"/>
      <c r="FM244" s="159"/>
      <c r="FN244" s="159"/>
      <c r="FO244" s="159"/>
      <c r="FP244" s="159"/>
      <c r="FQ244" s="159"/>
      <c r="FR244" s="159"/>
      <c r="FS244" s="159"/>
      <c r="FT244" s="159"/>
      <c r="FU244" s="159"/>
      <c r="FV244" s="159"/>
      <c r="FW244" s="159"/>
      <c r="FX244" s="159"/>
      <c r="FY244" s="159"/>
      <c r="FZ244" s="159"/>
      <c r="GA244" s="159"/>
      <c r="GB244" s="159"/>
      <c r="GC244" s="159"/>
      <c r="GD244" s="159"/>
      <c r="GE244" s="159"/>
      <c r="GF244" s="159"/>
      <c r="GG244" s="159"/>
      <c r="GH244" s="159"/>
      <c r="GI244" s="159"/>
      <c r="GJ244" s="159"/>
    </row>
    <row r="245" spans="1:192" s="159" customFormat="1" x14ac:dyDescent="0.25">
      <c r="A245" s="167" t="s">
        <v>423</v>
      </c>
      <c r="B245" s="168">
        <v>2</v>
      </c>
      <c r="C245" s="168">
        <v>311</v>
      </c>
      <c r="D245" s="168">
        <v>5203</v>
      </c>
      <c r="E245" s="170">
        <f t="shared" si="168"/>
        <v>4970</v>
      </c>
      <c r="F245" s="170">
        <f t="shared" si="168"/>
        <v>4790</v>
      </c>
      <c r="G245" s="170">
        <f t="shared" si="168"/>
        <v>-180</v>
      </c>
      <c r="H245" s="170"/>
      <c r="I245" s="170"/>
      <c r="J245" s="170">
        <f t="shared" si="177"/>
        <v>0</v>
      </c>
      <c r="K245" s="170"/>
      <c r="L245" s="170"/>
      <c r="M245" s="170">
        <f t="shared" si="91"/>
        <v>0</v>
      </c>
      <c r="N245" s="170">
        <f>4970-2500</f>
        <v>2470</v>
      </c>
      <c r="O245" s="170">
        <f>4970-2500-180</f>
        <v>2290</v>
      </c>
      <c r="P245" s="170">
        <f t="shared" si="92"/>
        <v>-180</v>
      </c>
      <c r="Q245" s="170"/>
      <c r="R245" s="170"/>
      <c r="S245" s="170">
        <f t="shared" si="93"/>
        <v>0</v>
      </c>
      <c r="T245" s="170"/>
      <c r="U245" s="170"/>
      <c r="V245" s="170">
        <f t="shared" si="94"/>
        <v>0</v>
      </c>
      <c r="W245" s="170"/>
      <c r="X245" s="170"/>
      <c r="Y245" s="170">
        <f t="shared" si="95"/>
        <v>0</v>
      </c>
      <c r="Z245" s="170">
        <v>2500</v>
      </c>
      <c r="AA245" s="170">
        <v>2500</v>
      </c>
      <c r="AB245" s="170">
        <f t="shared" si="96"/>
        <v>0</v>
      </c>
      <c r="AC245" s="170"/>
      <c r="AD245" s="170"/>
      <c r="AE245" s="170">
        <f t="shared" si="97"/>
        <v>0</v>
      </c>
    </row>
    <row r="246" spans="1:192" s="159" customFormat="1" x14ac:dyDescent="0.25">
      <c r="A246" s="167" t="s">
        <v>424</v>
      </c>
      <c r="B246" s="168">
        <v>2</v>
      </c>
      <c r="C246" s="168">
        <v>311</v>
      </c>
      <c r="D246" s="168">
        <v>5203</v>
      </c>
      <c r="E246" s="170">
        <f t="shared" si="168"/>
        <v>5790</v>
      </c>
      <c r="F246" s="170">
        <f t="shared" si="168"/>
        <v>5790</v>
      </c>
      <c r="G246" s="170">
        <f t="shared" si="168"/>
        <v>0</v>
      </c>
      <c r="H246" s="170"/>
      <c r="I246" s="170"/>
      <c r="J246" s="170">
        <f t="shared" si="177"/>
        <v>0</v>
      </c>
      <c r="K246" s="170"/>
      <c r="L246" s="170"/>
      <c r="M246" s="170">
        <f t="shared" si="91"/>
        <v>0</v>
      </c>
      <c r="N246" s="170">
        <v>3290</v>
      </c>
      <c r="O246" s="170">
        <v>3290</v>
      </c>
      <c r="P246" s="170">
        <f t="shared" si="92"/>
        <v>0</v>
      </c>
      <c r="Q246" s="170"/>
      <c r="R246" s="170"/>
      <c r="S246" s="170">
        <f t="shared" si="93"/>
        <v>0</v>
      </c>
      <c r="T246" s="170"/>
      <c r="U246" s="170"/>
      <c r="V246" s="170">
        <f t="shared" si="94"/>
        <v>0</v>
      </c>
      <c r="W246" s="170"/>
      <c r="X246" s="170"/>
      <c r="Y246" s="170">
        <f t="shared" si="95"/>
        <v>0</v>
      </c>
      <c r="Z246" s="170">
        <v>2500</v>
      </c>
      <c r="AA246" s="170">
        <v>2500</v>
      </c>
      <c r="AB246" s="170">
        <f t="shared" si="96"/>
        <v>0</v>
      </c>
      <c r="AC246" s="170"/>
      <c r="AD246" s="170"/>
      <c r="AE246" s="170">
        <f t="shared" si="97"/>
        <v>0</v>
      </c>
    </row>
    <row r="247" spans="1:192" s="159" customFormat="1" ht="31.5" x14ac:dyDescent="0.25">
      <c r="A247" s="167" t="s">
        <v>425</v>
      </c>
      <c r="B247" s="168">
        <v>1</v>
      </c>
      <c r="C247" s="168">
        <v>311</v>
      </c>
      <c r="D247" s="168">
        <v>5203</v>
      </c>
      <c r="E247" s="170">
        <f t="shared" si="168"/>
        <v>6894</v>
      </c>
      <c r="F247" s="170">
        <f t="shared" si="168"/>
        <v>6894</v>
      </c>
      <c r="G247" s="170">
        <f t="shared" si="168"/>
        <v>0</v>
      </c>
      <c r="H247" s="170"/>
      <c r="I247" s="170"/>
      <c r="J247" s="170">
        <f t="shared" si="177"/>
        <v>0</v>
      </c>
      <c r="K247" s="170"/>
      <c r="L247" s="170"/>
      <c r="M247" s="170">
        <f t="shared" si="91"/>
        <v>0</v>
      </c>
      <c r="N247" s="170">
        <f>5261+1633</f>
        <v>6894</v>
      </c>
      <c r="O247" s="170">
        <f>5261+1633</f>
        <v>6894</v>
      </c>
      <c r="P247" s="170">
        <f t="shared" si="92"/>
        <v>0</v>
      </c>
      <c r="Q247" s="170"/>
      <c r="R247" s="170"/>
      <c r="S247" s="170">
        <f t="shared" si="93"/>
        <v>0</v>
      </c>
      <c r="T247" s="170"/>
      <c r="U247" s="170"/>
      <c r="V247" s="170">
        <f t="shared" si="94"/>
        <v>0</v>
      </c>
      <c r="W247" s="170"/>
      <c r="X247" s="170"/>
      <c r="Y247" s="170">
        <f t="shared" si="95"/>
        <v>0</v>
      </c>
      <c r="Z247" s="170"/>
      <c r="AA247" s="170"/>
      <c r="AB247" s="170">
        <f t="shared" si="96"/>
        <v>0</v>
      </c>
      <c r="AC247" s="170"/>
      <c r="AD247" s="170"/>
      <c r="AE247" s="170">
        <f t="shared" si="97"/>
        <v>0</v>
      </c>
    </row>
    <row r="248" spans="1:192" s="159" customFormat="1" x14ac:dyDescent="0.25">
      <c r="A248" s="167" t="s">
        <v>426</v>
      </c>
      <c r="B248" s="168">
        <v>2</v>
      </c>
      <c r="C248" s="168">
        <v>311</v>
      </c>
      <c r="D248" s="168">
        <v>5203</v>
      </c>
      <c r="E248" s="170">
        <f t="shared" si="168"/>
        <v>4829</v>
      </c>
      <c r="F248" s="170">
        <f t="shared" si="168"/>
        <v>4829</v>
      </c>
      <c r="G248" s="170">
        <f t="shared" si="168"/>
        <v>0</v>
      </c>
      <c r="H248" s="170"/>
      <c r="I248" s="170"/>
      <c r="J248" s="170">
        <f t="shared" si="177"/>
        <v>0</v>
      </c>
      <c r="K248" s="170"/>
      <c r="L248" s="170"/>
      <c r="M248" s="170">
        <f t="shared" si="91"/>
        <v>0</v>
      </c>
      <c r="N248" s="170">
        <v>2349</v>
      </c>
      <c r="O248" s="170">
        <v>2349</v>
      </c>
      <c r="P248" s="170">
        <f t="shared" si="92"/>
        <v>0</v>
      </c>
      <c r="Q248" s="170"/>
      <c r="R248" s="170"/>
      <c r="S248" s="170">
        <f t="shared" si="93"/>
        <v>0</v>
      </c>
      <c r="T248" s="170"/>
      <c r="U248" s="170"/>
      <c r="V248" s="170">
        <f t="shared" si="94"/>
        <v>0</v>
      </c>
      <c r="W248" s="170"/>
      <c r="X248" s="170"/>
      <c r="Y248" s="170">
        <f t="shared" si="95"/>
        <v>0</v>
      </c>
      <c r="Z248" s="170">
        <f>4829-2349</f>
        <v>2480</v>
      </c>
      <c r="AA248" s="170">
        <f>4829-2349</f>
        <v>2480</v>
      </c>
      <c r="AB248" s="170">
        <f t="shared" si="96"/>
        <v>0</v>
      </c>
      <c r="AC248" s="170"/>
      <c r="AD248" s="170"/>
      <c r="AE248" s="170">
        <f t="shared" si="97"/>
        <v>0</v>
      </c>
    </row>
    <row r="249" spans="1:192" s="159" customFormat="1" ht="31.5" x14ac:dyDescent="0.25">
      <c r="A249" s="167" t="s">
        <v>427</v>
      </c>
      <c r="B249" s="168">
        <v>1</v>
      </c>
      <c r="C249" s="168">
        <v>322</v>
      </c>
      <c r="D249" s="168">
        <v>5203</v>
      </c>
      <c r="E249" s="170">
        <f t="shared" si="168"/>
        <v>2754</v>
      </c>
      <c r="F249" s="170">
        <f t="shared" si="168"/>
        <v>2754</v>
      </c>
      <c r="G249" s="170">
        <f t="shared" si="168"/>
        <v>0</v>
      </c>
      <c r="H249" s="170"/>
      <c r="I249" s="170"/>
      <c r="J249" s="170">
        <f t="shared" si="177"/>
        <v>0</v>
      </c>
      <c r="K249" s="170"/>
      <c r="L249" s="170"/>
      <c r="M249" s="170">
        <f t="shared" si="91"/>
        <v>0</v>
      </c>
      <c r="N249" s="170">
        <v>2754</v>
      </c>
      <c r="O249" s="170">
        <v>2754</v>
      </c>
      <c r="P249" s="170">
        <f t="shared" si="92"/>
        <v>0</v>
      </c>
      <c r="Q249" s="170"/>
      <c r="R249" s="170"/>
      <c r="S249" s="170">
        <f t="shared" si="93"/>
        <v>0</v>
      </c>
      <c r="T249" s="170"/>
      <c r="U249" s="170"/>
      <c r="V249" s="170">
        <f t="shared" si="94"/>
        <v>0</v>
      </c>
      <c r="W249" s="170"/>
      <c r="X249" s="170"/>
      <c r="Y249" s="170">
        <f t="shared" si="95"/>
        <v>0</v>
      </c>
      <c r="Z249" s="170"/>
      <c r="AA249" s="170"/>
      <c r="AB249" s="170">
        <f t="shared" si="96"/>
        <v>0</v>
      </c>
      <c r="AC249" s="170"/>
      <c r="AD249" s="170"/>
      <c r="AE249" s="170">
        <f t="shared" si="97"/>
        <v>0</v>
      </c>
    </row>
    <row r="250" spans="1:192" s="159" customFormat="1" ht="31.5" x14ac:dyDescent="0.25">
      <c r="A250" s="167" t="s">
        <v>428</v>
      </c>
      <c r="B250" s="168">
        <v>1</v>
      </c>
      <c r="C250" s="168">
        <v>322</v>
      </c>
      <c r="D250" s="168">
        <v>5203</v>
      </c>
      <c r="E250" s="170">
        <f t="shared" si="168"/>
        <v>1896</v>
      </c>
      <c r="F250" s="170">
        <f t="shared" si="168"/>
        <v>1896</v>
      </c>
      <c r="G250" s="170">
        <f t="shared" si="168"/>
        <v>0</v>
      </c>
      <c r="H250" s="170"/>
      <c r="I250" s="170"/>
      <c r="J250" s="170">
        <f t="shared" si="177"/>
        <v>0</v>
      </c>
      <c r="K250" s="170"/>
      <c r="L250" s="170"/>
      <c r="M250" s="170">
        <f t="shared" si="91"/>
        <v>0</v>
      </c>
      <c r="N250" s="170">
        <v>1896</v>
      </c>
      <c r="O250" s="170">
        <v>1896</v>
      </c>
      <c r="P250" s="170">
        <f t="shared" si="92"/>
        <v>0</v>
      </c>
      <c r="Q250" s="170"/>
      <c r="R250" s="170"/>
      <c r="S250" s="170">
        <f t="shared" si="93"/>
        <v>0</v>
      </c>
      <c r="T250" s="170"/>
      <c r="U250" s="170"/>
      <c r="V250" s="170">
        <f t="shared" si="94"/>
        <v>0</v>
      </c>
      <c r="W250" s="170"/>
      <c r="X250" s="170"/>
      <c r="Y250" s="170">
        <f t="shared" si="95"/>
        <v>0</v>
      </c>
      <c r="Z250" s="170"/>
      <c r="AA250" s="170"/>
      <c r="AB250" s="170">
        <f t="shared" si="96"/>
        <v>0</v>
      </c>
      <c r="AC250" s="170"/>
      <c r="AD250" s="170"/>
      <c r="AE250" s="170">
        <f t="shared" si="97"/>
        <v>0</v>
      </c>
    </row>
    <row r="251" spans="1:192" s="159" customFormat="1" ht="31.5" x14ac:dyDescent="0.25">
      <c r="A251" s="167" t="s">
        <v>429</v>
      </c>
      <c r="B251" s="168">
        <v>1</v>
      </c>
      <c r="C251" s="168">
        <v>322</v>
      </c>
      <c r="D251" s="168">
        <v>5203</v>
      </c>
      <c r="E251" s="170">
        <f t="shared" si="168"/>
        <v>5131</v>
      </c>
      <c r="F251" s="170">
        <f t="shared" si="168"/>
        <v>5131</v>
      </c>
      <c r="G251" s="170">
        <f t="shared" si="168"/>
        <v>0</v>
      </c>
      <c r="H251" s="170"/>
      <c r="I251" s="170"/>
      <c r="J251" s="170">
        <f t="shared" si="177"/>
        <v>0</v>
      </c>
      <c r="K251" s="170"/>
      <c r="L251" s="170"/>
      <c r="M251" s="170">
        <f t="shared" si="91"/>
        <v>0</v>
      </c>
      <c r="N251" s="170">
        <v>0</v>
      </c>
      <c r="O251" s="170">
        <v>0</v>
      </c>
      <c r="P251" s="170">
        <f t="shared" si="92"/>
        <v>0</v>
      </c>
      <c r="Q251" s="170"/>
      <c r="R251" s="170"/>
      <c r="S251" s="170">
        <f t="shared" si="93"/>
        <v>0</v>
      </c>
      <c r="T251" s="170"/>
      <c r="U251" s="170"/>
      <c r="V251" s="170">
        <f t="shared" si="94"/>
        <v>0</v>
      </c>
      <c r="W251" s="170"/>
      <c r="X251" s="170"/>
      <c r="Y251" s="170">
        <f t="shared" si="95"/>
        <v>0</v>
      </c>
      <c r="Z251" s="170">
        <v>5131</v>
      </c>
      <c r="AA251" s="170">
        <v>5131</v>
      </c>
      <c r="AB251" s="170">
        <f t="shared" si="96"/>
        <v>0</v>
      </c>
      <c r="AC251" s="170"/>
      <c r="AD251" s="170"/>
      <c r="AE251" s="170">
        <f t="shared" si="97"/>
        <v>0</v>
      </c>
    </row>
    <row r="252" spans="1:192" s="159" customFormat="1" ht="31.5" x14ac:dyDescent="0.25">
      <c r="A252" s="167" t="s">
        <v>430</v>
      </c>
      <c r="B252" s="168">
        <v>1</v>
      </c>
      <c r="C252" s="168">
        <v>332</v>
      </c>
      <c r="D252" s="168">
        <v>5203</v>
      </c>
      <c r="E252" s="170">
        <f t="shared" si="168"/>
        <v>5374</v>
      </c>
      <c r="F252" s="170">
        <f t="shared" si="168"/>
        <v>5374</v>
      </c>
      <c r="G252" s="170">
        <f t="shared" si="168"/>
        <v>0</v>
      </c>
      <c r="H252" s="170"/>
      <c r="I252" s="170"/>
      <c r="J252" s="170">
        <f t="shared" si="177"/>
        <v>0</v>
      </c>
      <c r="K252" s="170"/>
      <c r="L252" s="170"/>
      <c r="M252" s="170">
        <f t="shared" si="91"/>
        <v>0</v>
      </c>
      <c r="N252" s="170">
        <v>0</v>
      </c>
      <c r="O252" s="170">
        <v>0</v>
      </c>
      <c r="P252" s="170">
        <f t="shared" si="92"/>
        <v>0</v>
      </c>
      <c r="Q252" s="170"/>
      <c r="R252" s="170"/>
      <c r="S252" s="170">
        <f t="shared" si="93"/>
        <v>0</v>
      </c>
      <c r="T252" s="170">
        <v>5374</v>
      </c>
      <c r="U252" s="170">
        <v>5374</v>
      </c>
      <c r="V252" s="170">
        <f t="shared" si="94"/>
        <v>0</v>
      </c>
      <c r="W252" s="170"/>
      <c r="X252" s="170"/>
      <c r="Y252" s="170">
        <f t="shared" si="95"/>
        <v>0</v>
      </c>
      <c r="Z252" s="170">
        <v>0</v>
      </c>
      <c r="AA252" s="170">
        <v>0</v>
      </c>
      <c r="AB252" s="170">
        <f t="shared" si="96"/>
        <v>0</v>
      </c>
      <c r="AC252" s="170"/>
      <c r="AD252" s="170"/>
      <c r="AE252" s="170">
        <f t="shared" si="97"/>
        <v>0</v>
      </c>
    </row>
    <row r="253" spans="1:192" s="159" customFormat="1" x14ac:dyDescent="0.25">
      <c r="A253" s="167" t="s">
        <v>431</v>
      </c>
      <c r="B253" s="168">
        <v>1</v>
      </c>
      <c r="C253" s="168">
        <v>322</v>
      </c>
      <c r="D253" s="168">
        <v>5203</v>
      </c>
      <c r="E253" s="170">
        <f t="shared" si="168"/>
        <v>4550</v>
      </c>
      <c r="F253" s="170">
        <f t="shared" si="168"/>
        <v>4550</v>
      </c>
      <c r="G253" s="170">
        <f t="shared" si="168"/>
        <v>0</v>
      </c>
      <c r="H253" s="170"/>
      <c r="I253" s="170"/>
      <c r="J253" s="170">
        <f t="shared" si="177"/>
        <v>0</v>
      </c>
      <c r="K253" s="170"/>
      <c r="L253" s="170"/>
      <c r="M253" s="170">
        <f t="shared" si="91"/>
        <v>0</v>
      </c>
      <c r="N253" s="170"/>
      <c r="O253" s="170"/>
      <c r="P253" s="170">
        <f t="shared" si="92"/>
        <v>0</v>
      </c>
      <c r="Q253" s="170"/>
      <c r="R253" s="170"/>
      <c r="S253" s="170">
        <f t="shared" si="93"/>
        <v>0</v>
      </c>
      <c r="T253" s="170">
        <v>4550</v>
      </c>
      <c r="U253" s="170">
        <v>4550</v>
      </c>
      <c r="V253" s="170">
        <f t="shared" si="94"/>
        <v>0</v>
      </c>
      <c r="W253" s="170"/>
      <c r="X253" s="170"/>
      <c r="Y253" s="170">
        <f t="shared" si="95"/>
        <v>0</v>
      </c>
      <c r="Z253" s="170"/>
      <c r="AA253" s="170"/>
      <c r="AB253" s="170">
        <f t="shared" si="96"/>
        <v>0</v>
      </c>
      <c r="AC253" s="170"/>
      <c r="AD253" s="170"/>
      <c r="AE253" s="170">
        <f t="shared" si="97"/>
        <v>0</v>
      </c>
    </row>
    <row r="254" spans="1:192" s="159" customFormat="1" x14ac:dyDescent="0.25">
      <c r="A254" s="167" t="s">
        <v>432</v>
      </c>
      <c r="B254" s="168">
        <v>1</v>
      </c>
      <c r="C254" s="168">
        <v>322</v>
      </c>
      <c r="D254" s="168">
        <v>5203</v>
      </c>
      <c r="E254" s="170">
        <f t="shared" si="168"/>
        <v>2204</v>
      </c>
      <c r="F254" s="170">
        <f t="shared" si="168"/>
        <v>2204</v>
      </c>
      <c r="G254" s="170">
        <f t="shared" si="168"/>
        <v>0</v>
      </c>
      <c r="H254" s="170"/>
      <c r="I254" s="170"/>
      <c r="J254" s="170">
        <f t="shared" si="177"/>
        <v>0</v>
      </c>
      <c r="K254" s="170"/>
      <c r="L254" s="170"/>
      <c r="M254" s="170">
        <f t="shared" si="91"/>
        <v>0</v>
      </c>
      <c r="N254" s="170">
        <v>2204</v>
      </c>
      <c r="O254" s="170">
        <v>2204</v>
      </c>
      <c r="P254" s="170">
        <f t="shared" si="92"/>
        <v>0</v>
      </c>
      <c r="Q254" s="170"/>
      <c r="R254" s="170"/>
      <c r="S254" s="170">
        <f t="shared" si="93"/>
        <v>0</v>
      </c>
      <c r="T254" s="170"/>
      <c r="U254" s="170"/>
      <c r="V254" s="170">
        <f t="shared" si="94"/>
        <v>0</v>
      </c>
      <c r="W254" s="170"/>
      <c r="X254" s="170"/>
      <c r="Y254" s="170">
        <f t="shared" si="95"/>
        <v>0</v>
      </c>
      <c r="Z254" s="170"/>
      <c r="AA254" s="170"/>
      <c r="AB254" s="170">
        <f t="shared" si="96"/>
        <v>0</v>
      </c>
      <c r="AC254" s="170"/>
      <c r="AD254" s="170"/>
      <c r="AE254" s="170">
        <f t="shared" si="97"/>
        <v>0</v>
      </c>
    </row>
    <row r="255" spans="1:192" s="159" customFormat="1" ht="31.5" x14ac:dyDescent="0.25">
      <c r="A255" s="167" t="s">
        <v>433</v>
      </c>
      <c r="B255" s="168">
        <v>2</v>
      </c>
      <c r="C255" s="168">
        <v>311</v>
      </c>
      <c r="D255" s="168">
        <v>5203</v>
      </c>
      <c r="E255" s="170">
        <f t="shared" si="168"/>
        <v>0</v>
      </c>
      <c r="F255" s="170">
        <f t="shared" si="168"/>
        <v>1867</v>
      </c>
      <c r="G255" s="170">
        <f t="shared" si="168"/>
        <v>1867</v>
      </c>
      <c r="H255" s="170"/>
      <c r="I255" s="170"/>
      <c r="J255" s="170">
        <f t="shared" si="177"/>
        <v>0</v>
      </c>
      <c r="K255" s="170"/>
      <c r="L255" s="170"/>
      <c r="M255" s="170">
        <f t="shared" si="91"/>
        <v>0</v>
      </c>
      <c r="N255" s="170"/>
      <c r="O255" s="170">
        <v>1867</v>
      </c>
      <c r="P255" s="170">
        <f t="shared" si="92"/>
        <v>1867</v>
      </c>
      <c r="Q255" s="170"/>
      <c r="R255" s="170"/>
      <c r="S255" s="170">
        <f t="shared" si="93"/>
        <v>0</v>
      </c>
      <c r="T255" s="170"/>
      <c r="U255" s="170"/>
      <c r="V255" s="170">
        <f t="shared" si="94"/>
        <v>0</v>
      </c>
      <c r="W255" s="170"/>
      <c r="X255" s="170"/>
      <c r="Y255" s="170">
        <f t="shared" si="95"/>
        <v>0</v>
      </c>
      <c r="Z255" s="170"/>
      <c r="AA255" s="170"/>
      <c r="AB255" s="170">
        <f t="shared" si="96"/>
        <v>0</v>
      </c>
      <c r="AC255" s="170"/>
      <c r="AD255" s="170"/>
      <c r="AE255" s="170">
        <f t="shared" si="97"/>
        <v>0</v>
      </c>
    </row>
    <row r="256" spans="1:192" s="159" customFormat="1" ht="31.5" x14ac:dyDescent="0.25">
      <c r="A256" s="167" t="s">
        <v>434</v>
      </c>
      <c r="B256" s="168">
        <v>2</v>
      </c>
      <c r="C256" s="168">
        <v>311</v>
      </c>
      <c r="D256" s="168">
        <v>5203</v>
      </c>
      <c r="E256" s="170">
        <f t="shared" si="168"/>
        <v>15000</v>
      </c>
      <c r="F256" s="170">
        <f t="shared" si="168"/>
        <v>8004</v>
      </c>
      <c r="G256" s="170">
        <f t="shared" si="168"/>
        <v>-6996</v>
      </c>
      <c r="H256" s="170"/>
      <c r="I256" s="170"/>
      <c r="J256" s="170">
        <f t="shared" si="177"/>
        <v>0</v>
      </c>
      <c r="K256" s="170"/>
      <c r="L256" s="170"/>
      <c r="M256" s="170">
        <f t="shared" si="91"/>
        <v>0</v>
      </c>
      <c r="N256" s="170">
        <v>15000</v>
      </c>
      <c r="O256" s="170">
        <f>15000-6996</f>
        <v>8004</v>
      </c>
      <c r="P256" s="170">
        <f t="shared" si="92"/>
        <v>-6996</v>
      </c>
      <c r="Q256" s="170"/>
      <c r="R256" s="170"/>
      <c r="S256" s="170">
        <f t="shared" si="93"/>
        <v>0</v>
      </c>
      <c r="T256" s="170"/>
      <c r="U256" s="170"/>
      <c r="V256" s="170">
        <f t="shared" si="94"/>
        <v>0</v>
      </c>
      <c r="W256" s="170"/>
      <c r="X256" s="170"/>
      <c r="Y256" s="170">
        <f t="shared" si="95"/>
        <v>0</v>
      </c>
      <c r="Z256" s="170"/>
      <c r="AA256" s="170"/>
      <c r="AB256" s="170">
        <f t="shared" si="96"/>
        <v>0</v>
      </c>
      <c r="AC256" s="170"/>
      <c r="AD256" s="170"/>
      <c r="AE256" s="170">
        <f t="shared" si="97"/>
        <v>0</v>
      </c>
    </row>
    <row r="257" spans="1:192" s="159" customFormat="1" x14ac:dyDescent="0.25">
      <c r="A257" s="157" t="s">
        <v>379</v>
      </c>
      <c r="B257" s="166"/>
      <c r="C257" s="166"/>
      <c r="D257" s="166"/>
      <c r="E257" s="158">
        <f t="shared" si="168"/>
        <v>93497</v>
      </c>
      <c r="F257" s="158">
        <f t="shared" si="168"/>
        <v>110745</v>
      </c>
      <c r="G257" s="158">
        <f t="shared" si="168"/>
        <v>17248</v>
      </c>
      <c r="H257" s="158">
        <f>SUM(H258:H273)</f>
        <v>0</v>
      </c>
      <c r="I257" s="158">
        <f>SUM(I258:I273)</f>
        <v>0</v>
      </c>
      <c r="J257" s="158">
        <f t="shared" si="177"/>
        <v>0</v>
      </c>
      <c r="K257" s="158">
        <f t="shared" ref="K257:L257" si="185">SUM(K258:K273)</f>
        <v>0</v>
      </c>
      <c r="L257" s="158">
        <f t="shared" si="185"/>
        <v>0</v>
      </c>
      <c r="M257" s="158">
        <f t="shared" si="91"/>
        <v>0</v>
      </c>
      <c r="N257" s="158">
        <f t="shared" ref="N257:O257" si="186">SUM(N258:N273)</f>
        <v>67137</v>
      </c>
      <c r="O257" s="158">
        <f t="shared" si="186"/>
        <v>82485</v>
      </c>
      <c r="P257" s="158">
        <f t="shared" si="92"/>
        <v>15348</v>
      </c>
      <c r="Q257" s="158">
        <f t="shared" ref="Q257:R257" si="187">SUM(Q258:Q273)</f>
        <v>1663</v>
      </c>
      <c r="R257" s="158">
        <f t="shared" si="187"/>
        <v>3563</v>
      </c>
      <c r="S257" s="158">
        <f t="shared" si="93"/>
        <v>1900</v>
      </c>
      <c r="T257" s="158">
        <f t="shared" ref="T257:U257" si="188">SUM(T258:T273)</f>
        <v>24697</v>
      </c>
      <c r="U257" s="158">
        <f t="shared" si="188"/>
        <v>24697</v>
      </c>
      <c r="V257" s="158">
        <f t="shared" si="94"/>
        <v>0</v>
      </c>
      <c r="W257" s="158">
        <f t="shared" ref="W257:X257" si="189">SUM(W258:W273)</f>
        <v>0</v>
      </c>
      <c r="X257" s="158">
        <f t="shared" si="189"/>
        <v>0</v>
      </c>
      <c r="Y257" s="158">
        <f t="shared" si="95"/>
        <v>0</v>
      </c>
      <c r="Z257" s="158">
        <f t="shared" ref="Z257:AA257" si="190">SUM(Z258:Z273)</f>
        <v>0</v>
      </c>
      <c r="AA257" s="158">
        <f t="shared" si="190"/>
        <v>0</v>
      </c>
      <c r="AB257" s="158">
        <f t="shared" si="96"/>
        <v>0</v>
      </c>
      <c r="AC257" s="158">
        <f t="shared" ref="AC257:AD257" si="191">SUM(AC258:AC273)</f>
        <v>0</v>
      </c>
      <c r="AD257" s="158">
        <f t="shared" si="191"/>
        <v>0</v>
      </c>
      <c r="AE257" s="158">
        <f t="shared" si="97"/>
        <v>0</v>
      </c>
      <c r="AF257" s="156"/>
      <c r="AG257" s="156"/>
      <c r="AH257" s="156"/>
      <c r="AI257" s="156"/>
      <c r="AJ257" s="156"/>
      <c r="AK257" s="156"/>
      <c r="AL257" s="156"/>
      <c r="AM257" s="156"/>
      <c r="AN257" s="156"/>
      <c r="AO257" s="156"/>
      <c r="AP257" s="156"/>
      <c r="AQ257" s="156"/>
      <c r="AR257" s="156"/>
      <c r="AS257" s="156"/>
      <c r="AT257" s="156"/>
      <c r="AU257" s="156"/>
      <c r="AV257" s="156"/>
      <c r="AW257" s="156"/>
      <c r="AX257" s="156"/>
      <c r="AY257" s="156"/>
      <c r="AZ257" s="156"/>
      <c r="BA257" s="156"/>
      <c r="BB257" s="156"/>
      <c r="BC257" s="156"/>
      <c r="BD257" s="156"/>
      <c r="BE257" s="156"/>
      <c r="BF257" s="156"/>
      <c r="BG257" s="156"/>
      <c r="BH257" s="156"/>
      <c r="BI257" s="156"/>
      <c r="BJ257" s="156"/>
      <c r="BK257" s="156"/>
      <c r="BL257" s="156"/>
      <c r="BM257" s="156"/>
      <c r="BN257" s="156"/>
      <c r="BO257" s="156"/>
      <c r="BP257" s="156"/>
      <c r="BQ257" s="156"/>
      <c r="BR257" s="156"/>
      <c r="BS257" s="156"/>
      <c r="BT257" s="156"/>
      <c r="BU257" s="156"/>
      <c r="BV257" s="156"/>
      <c r="BW257" s="156"/>
      <c r="BX257" s="156"/>
      <c r="BY257" s="156"/>
      <c r="BZ257" s="156"/>
      <c r="CA257" s="156"/>
      <c r="CB257" s="156"/>
      <c r="CC257" s="156"/>
      <c r="CD257" s="156"/>
      <c r="CE257" s="156"/>
      <c r="CF257" s="156"/>
      <c r="CG257" s="156"/>
      <c r="CH257" s="156"/>
      <c r="CI257" s="156"/>
      <c r="CJ257" s="156"/>
      <c r="CK257" s="156"/>
      <c r="CL257" s="156"/>
      <c r="CM257" s="156"/>
      <c r="CN257" s="156"/>
      <c r="CO257" s="156"/>
      <c r="CP257" s="156"/>
      <c r="CQ257" s="156"/>
      <c r="CR257" s="156"/>
      <c r="CS257" s="156"/>
      <c r="CT257" s="156"/>
      <c r="CU257" s="156"/>
      <c r="CV257" s="156"/>
      <c r="CW257" s="156"/>
      <c r="CX257" s="156"/>
      <c r="CY257" s="156"/>
      <c r="CZ257" s="156"/>
      <c r="DA257" s="156"/>
      <c r="DB257" s="156"/>
      <c r="DC257" s="156"/>
      <c r="DD257" s="156"/>
      <c r="DE257" s="156"/>
      <c r="DF257" s="156"/>
      <c r="DG257" s="156"/>
      <c r="DH257" s="156"/>
      <c r="DI257" s="156"/>
      <c r="DJ257" s="156"/>
      <c r="DK257" s="156"/>
      <c r="DL257" s="156"/>
      <c r="DM257" s="156"/>
      <c r="DN257" s="156"/>
      <c r="DO257" s="156"/>
      <c r="DP257" s="156"/>
      <c r="DQ257" s="156"/>
      <c r="DR257" s="156"/>
      <c r="DS257" s="156"/>
      <c r="DT257" s="156"/>
      <c r="DU257" s="156"/>
      <c r="DV257" s="156"/>
      <c r="DW257" s="156"/>
      <c r="DX257" s="156"/>
      <c r="DY257" s="156"/>
      <c r="DZ257" s="156"/>
      <c r="EA257" s="156"/>
      <c r="EB257" s="156"/>
      <c r="EC257" s="156"/>
      <c r="ED257" s="156"/>
      <c r="EE257" s="156"/>
      <c r="EF257" s="156"/>
      <c r="EG257" s="156"/>
      <c r="EH257" s="156"/>
      <c r="EI257" s="156"/>
      <c r="EJ257" s="156"/>
      <c r="EK257" s="156"/>
      <c r="EL257" s="156"/>
      <c r="EM257" s="156"/>
      <c r="EN257" s="156"/>
      <c r="EO257" s="156"/>
      <c r="EP257" s="156"/>
      <c r="EQ257" s="156"/>
      <c r="ER257" s="156"/>
      <c r="ES257" s="156"/>
      <c r="ET257" s="156"/>
      <c r="EU257" s="156"/>
      <c r="EV257" s="156"/>
      <c r="EW257" s="156"/>
      <c r="EX257" s="156"/>
      <c r="EY257" s="156"/>
      <c r="EZ257" s="156"/>
      <c r="FA257" s="156"/>
      <c r="FB257" s="156"/>
      <c r="FC257" s="156"/>
      <c r="FD257" s="156"/>
      <c r="FE257" s="156"/>
      <c r="FF257" s="156"/>
      <c r="FG257" s="156"/>
      <c r="FH257" s="156"/>
      <c r="FI257" s="156"/>
      <c r="FJ257" s="156"/>
      <c r="FK257" s="156"/>
      <c r="FL257" s="156"/>
      <c r="FM257" s="156"/>
      <c r="FN257" s="156"/>
      <c r="FO257" s="156"/>
      <c r="FP257" s="156"/>
      <c r="FQ257" s="156"/>
      <c r="FR257" s="156"/>
      <c r="FS257" s="156"/>
      <c r="FT257" s="156"/>
      <c r="FU257" s="156"/>
      <c r="FV257" s="156"/>
      <c r="FW257" s="156"/>
      <c r="FX257" s="156"/>
      <c r="FY257" s="156"/>
      <c r="FZ257" s="156"/>
      <c r="GA257" s="156"/>
      <c r="GB257" s="156"/>
      <c r="GC257" s="156"/>
      <c r="GD257" s="156"/>
      <c r="GE257" s="156"/>
      <c r="GF257" s="156"/>
      <c r="GG257" s="156"/>
      <c r="GH257" s="156"/>
      <c r="GI257" s="156"/>
      <c r="GJ257" s="156"/>
    </row>
    <row r="258" spans="1:192" s="159" customFormat="1" ht="31.5" x14ac:dyDescent="0.25">
      <c r="A258" s="167" t="s">
        <v>435</v>
      </c>
      <c r="B258" s="172">
        <v>2</v>
      </c>
      <c r="C258" s="172">
        <v>311</v>
      </c>
      <c r="D258" s="172">
        <v>5205</v>
      </c>
      <c r="E258" s="170">
        <f t="shared" si="168"/>
        <v>7970</v>
      </c>
      <c r="F258" s="170">
        <f t="shared" si="168"/>
        <v>7080</v>
      </c>
      <c r="G258" s="170">
        <f t="shared" si="168"/>
        <v>-890</v>
      </c>
      <c r="H258" s="170"/>
      <c r="I258" s="170"/>
      <c r="J258" s="170">
        <f t="shared" si="177"/>
        <v>0</v>
      </c>
      <c r="K258" s="170"/>
      <c r="L258" s="170"/>
      <c r="M258" s="170">
        <f t="shared" si="91"/>
        <v>0</v>
      </c>
      <c r="N258" s="170">
        <v>7970</v>
      </c>
      <c r="O258" s="170">
        <f>7970-890</f>
        <v>7080</v>
      </c>
      <c r="P258" s="170">
        <f t="shared" si="92"/>
        <v>-890</v>
      </c>
      <c r="Q258" s="170"/>
      <c r="R258" s="170"/>
      <c r="S258" s="170">
        <f t="shared" si="93"/>
        <v>0</v>
      </c>
      <c r="T258" s="170"/>
      <c r="U258" s="170"/>
      <c r="V258" s="170">
        <f t="shared" si="94"/>
        <v>0</v>
      </c>
      <c r="W258" s="170"/>
      <c r="X258" s="170"/>
      <c r="Y258" s="170">
        <f t="shared" si="95"/>
        <v>0</v>
      </c>
      <c r="Z258" s="170"/>
      <c r="AA258" s="170"/>
      <c r="AB258" s="170">
        <f t="shared" si="96"/>
        <v>0</v>
      </c>
      <c r="AC258" s="170"/>
      <c r="AD258" s="170"/>
      <c r="AE258" s="170">
        <f t="shared" si="97"/>
        <v>0</v>
      </c>
    </row>
    <row r="259" spans="1:192" s="159" customFormat="1" x14ac:dyDescent="0.25">
      <c r="A259" s="173" t="s">
        <v>436</v>
      </c>
      <c r="B259" s="172">
        <v>2</v>
      </c>
      <c r="C259" s="172">
        <v>311</v>
      </c>
      <c r="D259" s="172">
        <v>5205</v>
      </c>
      <c r="E259" s="170">
        <f t="shared" si="168"/>
        <v>4920</v>
      </c>
      <c r="F259" s="170">
        <f t="shared" si="168"/>
        <v>3540</v>
      </c>
      <c r="G259" s="170">
        <f t="shared" si="168"/>
        <v>-1380</v>
      </c>
      <c r="H259" s="170"/>
      <c r="I259" s="170"/>
      <c r="J259" s="170">
        <f t="shared" si="177"/>
        <v>0</v>
      </c>
      <c r="K259" s="170"/>
      <c r="L259" s="170"/>
      <c r="M259" s="170">
        <f t="shared" si="91"/>
        <v>0</v>
      </c>
      <c r="N259" s="170">
        <v>4920</v>
      </c>
      <c r="O259" s="170">
        <f>4920-1380</f>
        <v>3540</v>
      </c>
      <c r="P259" s="170">
        <f t="shared" si="92"/>
        <v>-1380</v>
      </c>
      <c r="Q259" s="170"/>
      <c r="R259" s="170"/>
      <c r="S259" s="170">
        <f t="shared" si="93"/>
        <v>0</v>
      </c>
      <c r="T259" s="170"/>
      <c r="U259" s="170"/>
      <c r="V259" s="170">
        <f t="shared" si="94"/>
        <v>0</v>
      </c>
      <c r="W259" s="170"/>
      <c r="X259" s="170"/>
      <c r="Y259" s="170">
        <f t="shared" si="95"/>
        <v>0</v>
      </c>
      <c r="Z259" s="170"/>
      <c r="AA259" s="170"/>
      <c r="AB259" s="170">
        <f t="shared" si="96"/>
        <v>0</v>
      </c>
      <c r="AC259" s="170"/>
      <c r="AD259" s="170"/>
      <c r="AE259" s="170">
        <f t="shared" si="97"/>
        <v>0</v>
      </c>
    </row>
    <row r="260" spans="1:192" s="159" customFormat="1" x14ac:dyDescent="0.25">
      <c r="A260" s="173" t="s">
        <v>437</v>
      </c>
      <c r="B260" s="172">
        <v>2</v>
      </c>
      <c r="C260" s="172">
        <v>311</v>
      </c>
      <c r="D260" s="172">
        <v>5205</v>
      </c>
      <c r="E260" s="170">
        <f t="shared" si="168"/>
        <v>4920</v>
      </c>
      <c r="F260" s="170">
        <f t="shared" si="168"/>
        <v>3540</v>
      </c>
      <c r="G260" s="170">
        <f t="shared" si="168"/>
        <v>-1380</v>
      </c>
      <c r="H260" s="170"/>
      <c r="I260" s="170"/>
      <c r="J260" s="170">
        <f t="shared" si="177"/>
        <v>0</v>
      </c>
      <c r="K260" s="170"/>
      <c r="L260" s="170"/>
      <c r="M260" s="170">
        <f t="shared" si="91"/>
        <v>0</v>
      </c>
      <c r="N260" s="170">
        <v>4920</v>
      </c>
      <c r="O260" s="170">
        <f>4920-1380</f>
        <v>3540</v>
      </c>
      <c r="P260" s="170">
        <f t="shared" si="92"/>
        <v>-1380</v>
      </c>
      <c r="Q260" s="170"/>
      <c r="R260" s="170"/>
      <c r="S260" s="170">
        <f t="shared" si="93"/>
        <v>0</v>
      </c>
      <c r="T260" s="170"/>
      <c r="U260" s="170"/>
      <c r="V260" s="170">
        <f t="shared" si="94"/>
        <v>0</v>
      </c>
      <c r="W260" s="170"/>
      <c r="X260" s="170"/>
      <c r="Y260" s="170">
        <f t="shared" si="95"/>
        <v>0</v>
      </c>
      <c r="Z260" s="170"/>
      <c r="AA260" s="170"/>
      <c r="AB260" s="170">
        <f t="shared" si="96"/>
        <v>0</v>
      </c>
      <c r="AC260" s="170"/>
      <c r="AD260" s="170"/>
      <c r="AE260" s="170">
        <f t="shared" si="97"/>
        <v>0</v>
      </c>
    </row>
    <row r="261" spans="1:192" s="159" customFormat="1" x14ac:dyDescent="0.25">
      <c r="A261" s="173" t="s">
        <v>438</v>
      </c>
      <c r="B261" s="172">
        <v>2</v>
      </c>
      <c r="C261" s="172">
        <v>311</v>
      </c>
      <c r="D261" s="172">
        <v>5205</v>
      </c>
      <c r="E261" s="170">
        <f t="shared" si="168"/>
        <v>4920</v>
      </c>
      <c r="F261" s="170">
        <f t="shared" si="168"/>
        <v>3540</v>
      </c>
      <c r="G261" s="170">
        <f t="shared" si="168"/>
        <v>-1380</v>
      </c>
      <c r="H261" s="170"/>
      <c r="I261" s="170"/>
      <c r="J261" s="170">
        <f t="shared" si="177"/>
        <v>0</v>
      </c>
      <c r="K261" s="170"/>
      <c r="L261" s="170"/>
      <c r="M261" s="170">
        <f t="shared" si="91"/>
        <v>0</v>
      </c>
      <c r="N261" s="170">
        <v>4920</v>
      </c>
      <c r="O261" s="170">
        <f>4920-1380</f>
        <v>3540</v>
      </c>
      <c r="P261" s="170">
        <f t="shared" si="92"/>
        <v>-1380</v>
      </c>
      <c r="Q261" s="170"/>
      <c r="R261" s="170"/>
      <c r="S261" s="170">
        <f t="shared" si="93"/>
        <v>0</v>
      </c>
      <c r="T261" s="170"/>
      <c r="U261" s="170"/>
      <c r="V261" s="170">
        <f t="shared" si="94"/>
        <v>0</v>
      </c>
      <c r="W261" s="170"/>
      <c r="X261" s="170"/>
      <c r="Y261" s="170">
        <f t="shared" si="95"/>
        <v>0</v>
      </c>
      <c r="Z261" s="170"/>
      <c r="AA261" s="170"/>
      <c r="AB261" s="170">
        <f t="shared" si="96"/>
        <v>0</v>
      </c>
      <c r="AC261" s="170"/>
      <c r="AD261" s="170"/>
      <c r="AE261" s="170">
        <f t="shared" si="97"/>
        <v>0</v>
      </c>
    </row>
    <row r="262" spans="1:192" s="159" customFormat="1" ht="31.5" x14ac:dyDescent="0.25">
      <c r="A262" s="173" t="s">
        <v>439</v>
      </c>
      <c r="B262" s="172">
        <v>2</v>
      </c>
      <c r="C262" s="172">
        <v>311</v>
      </c>
      <c r="D262" s="172">
        <v>5205</v>
      </c>
      <c r="E262" s="170">
        <f t="shared" si="168"/>
        <v>7066</v>
      </c>
      <c r="F262" s="170">
        <f t="shared" si="168"/>
        <v>4494</v>
      </c>
      <c r="G262" s="170">
        <f t="shared" si="168"/>
        <v>-2572</v>
      </c>
      <c r="H262" s="170"/>
      <c r="I262" s="170"/>
      <c r="J262" s="170">
        <f t="shared" si="177"/>
        <v>0</v>
      </c>
      <c r="K262" s="170"/>
      <c r="L262" s="170"/>
      <c r="M262" s="170">
        <f t="shared" si="91"/>
        <v>0</v>
      </c>
      <c r="N262" s="170">
        <v>7066</v>
      </c>
      <c r="O262" s="170">
        <f>7066-2572</f>
        <v>4494</v>
      </c>
      <c r="P262" s="170">
        <f t="shared" si="92"/>
        <v>-2572</v>
      </c>
      <c r="Q262" s="170"/>
      <c r="R262" s="170"/>
      <c r="S262" s="170">
        <f t="shared" si="93"/>
        <v>0</v>
      </c>
      <c r="T262" s="170"/>
      <c r="U262" s="170"/>
      <c r="V262" s="170">
        <f t="shared" si="94"/>
        <v>0</v>
      </c>
      <c r="W262" s="170"/>
      <c r="X262" s="170"/>
      <c r="Y262" s="170">
        <f t="shared" si="95"/>
        <v>0</v>
      </c>
      <c r="Z262" s="170"/>
      <c r="AA262" s="170"/>
      <c r="AB262" s="170">
        <f t="shared" si="96"/>
        <v>0</v>
      </c>
      <c r="AC262" s="170"/>
      <c r="AD262" s="170"/>
      <c r="AE262" s="170">
        <f t="shared" si="97"/>
        <v>0</v>
      </c>
    </row>
    <row r="263" spans="1:192" s="159" customFormat="1" x14ac:dyDescent="0.25">
      <c r="A263" s="173" t="s">
        <v>440</v>
      </c>
      <c r="B263" s="172">
        <v>2</v>
      </c>
      <c r="C263" s="172">
        <v>311</v>
      </c>
      <c r="D263" s="172">
        <v>5205</v>
      </c>
      <c r="E263" s="170">
        <f t="shared" si="168"/>
        <v>0</v>
      </c>
      <c r="F263" s="170">
        <f t="shared" si="168"/>
        <v>1249</v>
      </c>
      <c r="G263" s="170">
        <f t="shared" si="168"/>
        <v>1249</v>
      </c>
      <c r="H263" s="170"/>
      <c r="I263" s="170"/>
      <c r="J263" s="170">
        <f t="shared" si="177"/>
        <v>0</v>
      </c>
      <c r="K263" s="170"/>
      <c r="L263" s="170"/>
      <c r="M263" s="170">
        <f t="shared" si="91"/>
        <v>0</v>
      </c>
      <c r="N263" s="170"/>
      <c r="O263" s="170">
        <v>1249</v>
      </c>
      <c r="P263" s="170">
        <f t="shared" si="92"/>
        <v>1249</v>
      </c>
      <c r="Q263" s="170"/>
      <c r="R263" s="170"/>
      <c r="S263" s="170">
        <f t="shared" si="93"/>
        <v>0</v>
      </c>
      <c r="T263" s="170"/>
      <c r="U263" s="170"/>
      <c r="V263" s="170">
        <f t="shared" si="94"/>
        <v>0</v>
      </c>
      <c r="W263" s="170"/>
      <c r="X263" s="170"/>
      <c r="Y263" s="170">
        <f t="shared" si="95"/>
        <v>0</v>
      </c>
      <c r="Z263" s="170"/>
      <c r="AA263" s="170"/>
      <c r="AB263" s="170">
        <f t="shared" si="96"/>
        <v>0</v>
      </c>
      <c r="AC263" s="170"/>
      <c r="AD263" s="170"/>
      <c r="AE263" s="170">
        <f t="shared" si="97"/>
        <v>0</v>
      </c>
    </row>
    <row r="264" spans="1:192" s="159" customFormat="1" x14ac:dyDescent="0.25">
      <c r="A264" s="167" t="s">
        <v>441</v>
      </c>
      <c r="B264" s="168">
        <v>2</v>
      </c>
      <c r="C264" s="168">
        <v>311</v>
      </c>
      <c r="D264" s="168">
        <v>5205</v>
      </c>
      <c r="E264" s="170">
        <f t="shared" si="168"/>
        <v>2115</v>
      </c>
      <c r="F264" s="170">
        <f t="shared" si="168"/>
        <v>2115</v>
      </c>
      <c r="G264" s="170">
        <f t="shared" si="168"/>
        <v>0</v>
      </c>
      <c r="H264" s="170"/>
      <c r="I264" s="170"/>
      <c r="J264" s="170">
        <f t="shared" si="177"/>
        <v>0</v>
      </c>
      <c r="K264" s="170"/>
      <c r="L264" s="170"/>
      <c r="M264" s="170">
        <f t="shared" si="91"/>
        <v>0</v>
      </c>
      <c r="N264" s="170">
        <v>2115</v>
      </c>
      <c r="O264" s="170">
        <v>2115</v>
      </c>
      <c r="P264" s="170">
        <f t="shared" si="92"/>
        <v>0</v>
      </c>
      <c r="Q264" s="170"/>
      <c r="R264" s="170"/>
      <c r="S264" s="170">
        <f t="shared" si="93"/>
        <v>0</v>
      </c>
      <c r="T264" s="170"/>
      <c r="U264" s="170"/>
      <c r="V264" s="170">
        <f t="shared" si="94"/>
        <v>0</v>
      </c>
      <c r="W264" s="170"/>
      <c r="X264" s="170"/>
      <c r="Y264" s="170">
        <f t="shared" si="95"/>
        <v>0</v>
      </c>
      <c r="Z264" s="170"/>
      <c r="AA264" s="170"/>
      <c r="AB264" s="170">
        <f t="shared" si="96"/>
        <v>0</v>
      </c>
      <c r="AC264" s="170"/>
      <c r="AD264" s="170"/>
      <c r="AE264" s="170">
        <f t="shared" si="97"/>
        <v>0</v>
      </c>
    </row>
    <row r="265" spans="1:192" s="159" customFormat="1" ht="31.5" x14ac:dyDescent="0.25">
      <c r="A265" s="167" t="s">
        <v>442</v>
      </c>
      <c r="B265" s="168"/>
      <c r="C265" s="168"/>
      <c r="D265" s="168"/>
      <c r="E265" s="170">
        <f t="shared" si="168"/>
        <v>1663</v>
      </c>
      <c r="F265" s="170">
        <f t="shared" si="168"/>
        <v>1663</v>
      </c>
      <c r="G265" s="170">
        <f t="shared" si="168"/>
        <v>0</v>
      </c>
      <c r="H265" s="170"/>
      <c r="I265" s="170"/>
      <c r="J265" s="170">
        <f t="shared" si="177"/>
        <v>0</v>
      </c>
      <c r="K265" s="170"/>
      <c r="L265" s="170"/>
      <c r="M265" s="170">
        <f t="shared" si="91"/>
        <v>0</v>
      </c>
      <c r="N265" s="170"/>
      <c r="O265" s="170"/>
      <c r="P265" s="170">
        <f t="shared" si="92"/>
        <v>0</v>
      </c>
      <c r="Q265" s="170">
        <v>1663</v>
      </c>
      <c r="R265" s="170">
        <v>1663</v>
      </c>
      <c r="S265" s="170">
        <f t="shared" si="93"/>
        <v>0</v>
      </c>
      <c r="T265" s="170"/>
      <c r="U265" s="170"/>
      <c r="V265" s="170">
        <f t="shared" si="94"/>
        <v>0</v>
      </c>
      <c r="W265" s="170"/>
      <c r="X265" s="170"/>
      <c r="Y265" s="170">
        <f t="shared" si="95"/>
        <v>0</v>
      </c>
      <c r="Z265" s="170"/>
      <c r="AA265" s="170"/>
      <c r="AB265" s="170">
        <f t="shared" si="96"/>
        <v>0</v>
      </c>
      <c r="AC265" s="170"/>
      <c r="AD265" s="170"/>
      <c r="AE265" s="170">
        <f t="shared" si="97"/>
        <v>0</v>
      </c>
    </row>
    <row r="266" spans="1:192" s="159" customFormat="1" ht="47.25" x14ac:dyDescent="0.25">
      <c r="A266" s="167" t="s">
        <v>443</v>
      </c>
      <c r="B266" s="168"/>
      <c r="C266" s="168"/>
      <c r="D266" s="168"/>
      <c r="E266" s="170">
        <f t="shared" si="168"/>
        <v>0</v>
      </c>
      <c r="F266" s="170">
        <f t="shared" si="168"/>
        <v>1900</v>
      </c>
      <c r="G266" s="170">
        <f t="shared" si="168"/>
        <v>1900</v>
      </c>
      <c r="H266" s="170"/>
      <c r="I266" s="170"/>
      <c r="J266" s="170">
        <f t="shared" si="177"/>
        <v>0</v>
      </c>
      <c r="K266" s="170"/>
      <c r="L266" s="170"/>
      <c r="M266" s="170">
        <f t="shared" si="91"/>
        <v>0</v>
      </c>
      <c r="N266" s="170"/>
      <c r="O266" s="170"/>
      <c r="P266" s="170">
        <f t="shared" si="92"/>
        <v>0</v>
      </c>
      <c r="Q266" s="170"/>
      <c r="R266" s="170">
        <v>1900</v>
      </c>
      <c r="S266" s="170">
        <f t="shared" si="93"/>
        <v>1900</v>
      </c>
      <c r="T266" s="170"/>
      <c r="U266" s="170"/>
      <c r="V266" s="170">
        <f t="shared" si="94"/>
        <v>0</v>
      </c>
      <c r="W266" s="170"/>
      <c r="X266" s="170"/>
      <c r="Y266" s="170">
        <f t="shared" si="95"/>
        <v>0</v>
      </c>
      <c r="Z266" s="170"/>
      <c r="AA266" s="170"/>
      <c r="AB266" s="170">
        <f t="shared" si="96"/>
        <v>0</v>
      </c>
      <c r="AC266" s="170"/>
      <c r="AD266" s="170"/>
      <c r="AE266" s="170">
        <f t="shared" si="97"/>
        <v>0</v>
      </c>
    </row>
    <row r="267" spans="1:192" s="159" customFormat="1" ht="31.5" x14ac:dyDescent="0.25">
      <c r="A267" s="167" t="s">
        <v>444</v>
      </c>
      <c r="B267" s="168">
        <v>1</v>
      </c>
      <c r="C267" s="168">
        <v>322</v>
      </c>
      <c r="D267" s="168">
        <v>5205</v>
      </c>
      <c r="E267" s="170">
        <f t="shared" si="168"/>
        <v>2562</v>
      </c>
      <c r="F267" s="170">
        <f t="shared" si="168"/>
        <v>2562</v>
      </c>
      <c r="G267" s="170">
        <f t="shared" si="168"/>
        <v>0</v>
      </c>
      <c r="H267" s="170"/>
      <c r="I267" s="170"/>
      <c r="J267" s="170">
        <f t="shared" si="177"/>
        <v>0</v>
      </c>
      <c r="K267" s="170"/>
      <c r="L267" s="170"/>
      <c r="M267" s="170">
        <f t="shared" si="91"/>
        <v>0</v>
      </c>
      <c r="N267" s="170">
        <v>2562</v>
      </c>
      <c r="O267" s="170">
        <v>2562</v>
      </c>
      <c r="P267" s="170">
        <f t="shared" si="92"/>
        <v>0</v>
      </c>
      <c r="Q267" s="170"/>
      <c r="R267" s="170"/>
      <c r="S267" s="170">
        <f t="shared" si="93"/>
        <v>0</v>
      </c>
      <c r="T267" s="170"/>
      <c r="U267" s="170"/>
      <c r="V267" s="170">
        <f t="shared" si="94"/>
        <v>0</v>
      </c>
      <c r="W267" s="170"/>
      <c r="X267" s="170"/>
      <c r="Y267" s="170">
        <f t="shared" si="95"/>
        <v>0</v>
      </c>
      <c r="Z267" s="170"/>
      <c r="AA267" s="170"/>
      <c r="AB267" s="170">
        <f t="shared" si="96"/>
        <v>0</v>
      </c>
      <c r="AC267" s="170"/>
      <c r="AD267" s="170"/>
      <c r="AE267" s="170">
        <f t="shared" si="97"/>
        <v>0</v>
      </c>
    </row>
    <row r="268" spans="1:192" s="159" customFormat="1" x14ac:dyDescent="0.25">
      <c r="A268" s="167" t="s">
        <v>445</v>
      </c>
      <c r="B268" s="168">
        <v>1</v>
      </c>
      <c r="C268" s="168">
        <v>322</v>
      </c>
      <c r="D268" s="168">
        <v>5205</v>
      </c>
      <c r="E268" s="170">
        <f t="shared" si="168"/>
        <v>0</v>
      </c>
      <c r="F268" s="170">
        <f t="shared" si="168"/>
        <v>10210</v>
      </c>
      <c r="G268" s="170">
        <f t="shared" si="168"/>
        <v>10210</v>
      </c>
      <c r="H268" s="170"/>
      <c r="I268" s="170"/>
      <c r="J268" s="170">
        <f t="shared" si="177"/>
        <v>0</v>
      </c>
      <c r="K268" s="170"/>
      <c r="L268" s="170"/>
      <c r="M268" s="170">
        <f t="shared" si="91"/>
        <v>0</v>
      </c>
      <c r="N268" s="170"/>
      <c r="O268" s="170">
        <v>10210</v>
      </c>
      <c r="P268" s="170">
        <f t="shared" si="92"/>
        <v>10210</v>
      </c>
      <c r="Q268" s="170"/>
      <c r="R268" s="170"/>
      <c r="S268" s="170">
        <f t="shared" si="93"/>
        <v>0</v>
      </c>
      <c r="T268" s="170"/>
      <c r="U268" s="170"/>
      <c r="V268" s="170">
        <f t="shared" si="94"/>
        <v>0</v>
      </c>
      <c r="W268" s="170"/>
      <c r="X268" s="170"/>
      <c r="Y268" s="170">
        <f t="shared" si="95"/>
        <v>0</v>
      </c>
      <c r="Z268" s="170"/>
      <c r="AA268" s="170"/>
      <c r="AB268" s="170">
        <f t="shared" si="96"/>
        <v>0</v>
      </c>
      <c r="AC268" s="170"/>
      <c r="AD268" s="170"/>
      <c r="AE268" s="170">
        <f t="shared" si="97"/>
        <v>0</v>
      </c>
    </row>
    <row r="269" spans="1:192" s="159" customFormat="1" x14ac:dyDescent="0.25">
      <c r="A269" s="167" t="s">
        <v>446</v>
      </c>
      <c r="B269" s="168">
        <v>1</v>
      </c>
      <c r="C269" s="168">
        <v>322</v>
      </c>
      <c r="D269" s="168">
        <v>5205</v>
      </c>
      <c r="E269" s="170">
        <f t="shared" si="168"/>
        <v>0</v>
      </c>
      <c r="F269" s="170">
        <f t="shared" si="168"/>
        <v>11491</v>
      </c>
      <c r="G269" s="170">
        <f t="shared" si="168"/>
        <v>11491</v>
      </c>
      <c r="H269" s="170"/>
      <c r="I269" s="170"/>
      <c r="J269" s="170">
        <f t="shared" si="177"/>
        <v>0</v>
      </c>
      <c r="K269" s="170"/>
      <c r="L269" s="170"/>
      <c r="M269" s="170">
        <f t="shared" si="91"/>
        <v>0</v>
      </c>
      <c r="N269" s="170"/>
      <c r="O269" s="170">
        <v>11491</v>
      </c>
      <c r="P269" s="170">
        <f t="shared" si="92"/>
        <v>11491</v>
      </c>
      <c r="Q269" s="170"/>
      <c r="R269" s="170"/>
      <c r="S269" s="170">
        <f t="shared" si="93"/>
        <v>0</v>
      </c>
      <c r="T269" s="170"/>
      <c r="U269" s="170"/>
      <c r="V269" s="170">
        <f t="shared" si="94"/>
        <v>0</v>
      </c>
      <c r="W269" s="170"/>
      <c r="X269" s="170"/>
      <c r="Y269" s="170">
        <f t="shared" si="95"/>
        <v>0</v>
      </c>
      <c r="Z269" s="170"/>
      <c r="AA269" s="170"/>
      <c r="AB269" s="170">
        <f t="shared" si="96"/>
        <v>0</v>
      </c>
      <c r="AC269" s="170"/>
      <c r="AD269" s="170"/>
      <c r="AE269" s="170">
        <f t="shared" si="97"/>
        <v>0</v>
      </c>
    </row>
    <row r="270" spans="1:192" s="159" customFormat="1" x14ac:dyDescent="0.25">
      <c r="A270" s="167" t="s">
        <v>447</v>
      </c>
      <c r="B270" s="168">
        <v>1</v>
      </c>
      <c r="C270" s="168">
        <v>322</v>
      </c>
      <c r="D270" s="168">
        <v>5205</v>
      </c>
      <c r="E270" s="170">
        <f t="shared" si="168"/>
        <v>3935</v>
      </c>
      <c r="F270" s="170">
        <f t="shared" si="168"/>
        <v>3935</v>
      </c>
      <c r="G270" s="170">
        <f t="shared" si="168"/>
        <v>0</v>
      </c>
      <c r="H270" s="170"/>
      <c r="I270" s="170"/>
      <c r="J270" s="170">
        <f t="shared" si="177"/>
        <v>0</v>
      </c>
      <c r="K270" s="170"/>
      <c r="L270" s="170"/>
      <c r="M270" s="170">
        <f t="shared" si="91"/>
        <v>0</v>
      </c>
      <c r="N270" s="170">
        <v>3935</v>
      </c>
      <c r="O270" s="170">
        <v>3935</v>
      </c>
      <c r="P270" s="170">
        <f t="shared" si="92"/>
        <v>0</v>
      </c>
      <c r="Q270" s="170"/>
      <c r="R270" s="170"/>
      <c r="S270" s="170">
        <f t="shared" si="93"/>
        <v>0</v>
      </c>
      <c r="T270" s="170"/>
      <c r="U270" s="170"/>
      <c r="V270" s="170">
        <f t="shared" si="94"/>
        <v>0</v>
      </c>
      <c r="W270" s="170"/>
      <c r="X270" s="170"/>
      <c r="Y270" s="170">
        <f t="shared" si="95"/>
        <v>0</v>
      </c>
      <c r="Z270" s="170"/>
      <c r="AA270" s="170"/>
      <c r="AB270" s="170">
        <f t="shared" si="96"/>
        <v>0</v>
      </c>
      <c r="AC270" s="170"/>
      <c r="AD270" s="170"/>
      <c r="AE270" s="170">
        <f t="shared" si="97"/>
        <v>0</v>
      </c>
    </row>
    <row r="271" spans="1:192" s="159" customFormat="1" ht="47.25" x14ac:dyDescent="0.25">
      <c r="A271" s="167" t="s">
        <v>448</v>
      </c>
      <c r="B271" s="168">
        <v>1</v>
      </c>
      <c r="C271" s="168">
        <v>322</v>
      </c>
      <c r="D271" s="168">
        <v>5205</v>
      </c>
      <c r="E271" s="170">
        <f t="shared" si="168"/>
        <v>13847</v>
      </c>
      <c r="F271" s="170">
        <f t="shared" si="168"/>
        <v>13847</v>
      </c>
      <c r="G271" s="170">
        <f t="shared" si="168"/>
        <v>0</v>
      </c>
      <c r="H271" s="170"/>
      <c r="I271" s="170"/>
      <c r="J271" s="170">
        <f t="shared" si="177"/>
        <v>0</v>
      </c>
      <c r="K271" s="170"/>
      <c r="L271" s="170"/>
      <c r="M271" s="170">
        <f t="shared" si="91"/>
        <v>0</v>
      </c>
      <c r="N271" s="170">
        <v>13847</v>
      </c>
      <c r="O271" s="170">
        <v>13847</v>
      </c>
      <c r="P271" s="170">
        <f t="shared" si="92"/>
        <v>0</v>
      </c>
      <c r="Q271" s="170"/>
      <c r="R271" s="170"/>
      <c r="S271" s="170">
        <f t="shared" si="93"/>
        <v>0</v>
      </c>
      <c r="T271" s="170"/>
      <c r="U271" s="170"/>
      <c r="V271" s="170">
        <f t="shared" si="94"/>
        <v>0</v>
      </c>
      <c r="W271" s="170"/>
      <c r="X271" s="170"/>
      <c r="Y271" s="170">
        <f t="shared" si="95"/>
        <v>0</v>
      </c>
      <c r="Z271" s="170"/>
      <c r="AA271" s="170"/>
      <c r="AB271" s="170">
        <f t="shared" si="96"/>
        <v>0</v>
      </c>
      <c r="AC271" s="170"/>
      <c r="AD271" s="170"/>
      <c r="AE271" s="170">
        <f t="shared" si="97"/>
        <v>0</v>
      </c>
    </row>
    <row r="272" spans="1:192" s="159" customFormat="1" ht="31.5" x14ac:dyDescent="0.25">
      <c r="A272" s="167" t="s">
        <v>449</v>
      </c>
      <c r="B272" s="168">
        <v>1</v>
      </c>
      <c r="C272" s="168">
        <v>322</v>
      </c>
      <c r="D272" s="168">
        <v>5205</v>
      </c>
      <c r="E272" s="170">
        <f t="shared" si="168"/>
        <v>14882</v>
      </c>
      <c r="F272" s="170">
        <f t="shared" si="168"/>
        <v>14882</v>
      </c>
      <c r="G272" s="170">
        <f t="shared" si="168"/>
        <v>0</v>
      </c>
      <c r="H272" s="170"/>
      <c r="I272" s="170"/>
      <c r="J272" s="170">
        <f t="shared" si="177"/>
        <v>0</v>
      </c>
      <c r="K272" s="170"/>
      <c r="L272" s="170"/>
      <c r="M272" s="170">
        <f t="shared" si="91"/>
        <v>0</v>
      </c>
      <c r="N272" s="170">
        <v>14882</v>
      </c>
      <c r="O272" s="170">
        <v>14882</v>
      </c>
      <c r="P272" s="170">
        <f t="shared" si="92"/>
        <v>0</v>
      </c>
      <c r="Q272" s="170"/>
      <c r="R272" s="170"/>
      <c r="S272" s="170">
        <f t="shared" si="93"/>
        <v>0</v>
      </c>
      <c r="T272" s="170"/>
      <c r="U272" s="170"/>
      <c r="V272" s="170">
        <f t="shared" si="94"/>
        <v>0</v>
      </c>
      <c r="W272" s="170"/>
      <c r="X272" s="170"/>
      <c r="Y272" s="170">
        <f t="shared" si="95"/>
        <v>0</v>
      </c>
      <c r="Z272" s="170"/>
      <c r="AA272" s="170"/>
      <c r="AB272" s="170">
        <f t="shared" si="96"/>
        <v>0</v>
      </c>
      <c r="AC272" s="170"/>
      <c r="AD272" s="170"/>
      <c r="AE272" s="170">
        <f t="shared" si="97"/>
        <v>0</v>
      </c>
    </row>
    <row r="273" spans="1:192" s="159" customFormat="1" ht="31.5" x14ac:dyDescent="0.25">
      <c r="A273" s="167" t="s">
        <v>450</v>
      </c>
      <c r="B273" s="168">
        <v>1</v>
      </c>
      <c r="C273" s="168">
        <v>322</v>
      </c>
      <c r="D273" s="168">
        <v>5205</v>
      </c>
      <c r="E273" s="170">
        <f t="shared" si="168"/>
        <v>24697</v>
      </c>
      <c r="F273" s="170">
        <f t="shared" si="168"/>
        <v>24697</v>
      </c>
      <c r="G273" s="170">
        <f t="shared" si="168"/>
        <v>0</v>
      </c>
      <c r="H273" s="170"/>
      <c r="I273" s="170"/>
      <c r="J273" s="170">
        <f t="shared" si="177"/>
        <v>0</v>
      </c>
      <c r="K273" s="170"/>
      <c r="L273" s="170"/>
      <c r="M273" s="170">
        <f t="shared" si="91"/>
        <v>0</v>
      </c>
      <c r="N273" s="170"/>
      <c r="O273" s="170"/>
      <c r="P273" s="170">
        <f t="shared" si="92"/>
        <v>0</v>
      </c>
      <c r="Q273" s="170"/>
      <c r="R273" s="170"/>
      <c r="S273" s="170">
        <f t="shared" si="93"/>
        <v>0</v>
      </c>
      <c r="T273" s="170">
        <f>25000-20000+19697</f>
        <v>24697</v>
      </c>
      <c r="U273" s="170">
        <f>25000-20000+19697</f>
        <v>24697</v>
      </c>
      <c r="V273" s="170">
        <f t="shared" si="94"/>
        <v>0</v>
      </c>
      <c r="W273" s="170"/>
      <c r="X273" s="170"/>
      <c r="Y273" s="170">
        <f t="shared" si="95"/>
        <v>0</v>
      </c>
      <c r="Z273" s="170"/>
      <c r="AA273" s="170"/>
      <c r="AB273" s="170">
        <f t="shared" si="96"/>
        <v>0</v>
      </c>
      <c r="AC273" s="170"/>
      <c r="AD273" s="170"/>
      <c r="AE273" s="170">
        <f t="shared" si="97"/>
        <v>0</v>
      </c>
    </row>
    <row r="274" spans="1:192" s="159" customFormat="1" x14ac:dyDescent="0.25">
      <c r="A274" s="157" t="s">
        <v>254</v>
      </c>
      <c r="B274" s="166"/>
      <c r="C274" s="166"/>
      <c r="D274" s="166"/>
      <c r="E274" s="158">
        <f t="shared" si="168"/>
        <v>140498</v>
      </c>
      <c r="F274" s="158">
        <f t="shared" si="168"/>
        <v>140498</v>
      </c>
      <c r="G274" s="158">
        <f t="shared" si="168"/>
        <v>0</v>
      </c>
      <c r="H274" s="158">
        <f>SUM(H275,H280,H286,H288)</f>
        <v>0</v>
      </c>
      <c r="I274" s="158">
        <f>SUM(I275,I280,I286,I288)</f>
        <v>0</v>
      </c>
      <c r="J274" s="158">
        <f t="shared" si="177"/>
        <v>0</v>
      </c>
      <c r="K274" s="158">
        <f t="shared" ref="K274:L274" si="192">SUM(K275,K280,K286,K288)</f>
        <v>0</v>
      </c>
      <c r="L274" s="158">
        <f t="shared" si="192"/>
        <v>0</v>
      </c>
      <c r="M274" s="158">
        <f t="shared" si="91"/>
        <v>0</v>
      </c>
      <c r="N274" s="158">
        <f t="shared" ref="N274:O274" si="193">SUM(N275,N280,N286,N288)</f>
        <v>0</v>
      </c>
      <c r="O274" s="158">
        <f t="shared" si="193"/>
        <v>0</v>
      </c>
      <c r="P274" s="158">
        <f t="shared" si="92"/>
        <v>0</v>
      </c>
      <c r="Q274" s="158">
        <f t="shared" ref="Q274:R274" si="194">SUM(Q275,Q280,Q286,Q288)</f>
        <v>0</v>
      </c>
      <c r="R274" s="158">
        <f t="shared" si="194"/>
        <v>0</v>
      </c>
      <c r="S274" s="158">
        <f t="shared" si="93"/>
        <v>0</v>
      </c>
      <c r="T274" s="158">
        <f t="shared" ref="T274:U274" si="195">SUM(T275,T280,T286,T288)</f>
        <v>140498</v>
      </c>
      <c r="U274" s="158">
        <f t="shared" si="195"/>
        <v>140498</v>
      </c>
      <c r="V274" s="158">
        <f t="shared" si="94"/>
        <v>0</v>
      </c>
      <c r="W274" s="158">
        <f t="shared" ref="W274:X274" si="196">SUM(W275,W280,W286,W288)</f>
        <v>0</v>
      </c>
      <c r="X274" s="158">
        <f t="shared" si="196"/>
        <v>0</v>
      </c>
      <c r="Y274" s="158">
        <f t="shared" si="95"/>
        <v>0</v>
      </c>
      <c r="Z274" s="158">
        <f t="shared" ref="Z274:AA274" si="197">SUM(Z275,Z280,Z286,Z288)</f>
        <v>0</v>
      </c>
      <c r="AA274" s="158">
        <f t="shared" si="197"/>
        <v>0</v>
      </c>
      <c r="AB274" s="158">
        <f t="shared" si="96"/>
        <v>0</v>
      </c>
      <c r="AC274" s="158">
        <f t="shared" ref="AC274:AD274" si="198">SUM(AC275,AC280,AC286,AC288)</f>
        <v>0</v>
      </c>
      <c r="AD274" s="158">
        <f t="shared" si="198"/>
        <v>0</v>
      </c>
      <c r="AE274" s="158">
        <f t="shared" si="97"/>
        <v>0</v>
      </c>
    </row>
    <row r="275" spans="1:192" s="159" customFormat="1" x14ac:dyDescent="0.25">
      <c r="A275" s="157" t="s">
        <v>364</v>
      </c>
      <c r="B275" s="166"/>
      <c r="C275" s="166"/>
      <c r="D275" s="166"/>
      <c r="E275" s="158">
        <f t="shared" si="168"/>
        <v>11798</v>
      </c>
      <c r="F275" s="158">
        <f t="shared" si="168"/>
        <v>11798</v>
      </c>
      <c r="G275" s="158">
        <f t="shared" si="168"/>
        <v>0</v>
      </c>
      <c r="H275" s="158">
        <f>SUM(H276:H279)</f>
        <v>0</v>
      </c>
      <c r="I275" s="158">
        <f>SUM(I276:I279)</f>
        <v>0</v>
      </c>
      <c r="J275" s="158">
        <f t="shared" si="177"/>
        <v>0</v>
      </c>
      <c r="K275" s="158">
        <f t="shared" ref="K275:L275" si="199">SUM(K276:K279)</f>
        <v>0</v>
      </c>
      <c r="L275" s="158">
        <f t="shared" si="199"/>
        <v>0</v>
      </c>
      <c r="M275" s="158">
        <f t="shared" si="91"/>
        <v>0</v>
      </c>
      <c r="N275" s="158">
        <f t="shared" ref="N275:O275" si="200">SUM(N276:N279)</f>
        <v>0</v>
      </c>
      <c r="O275" s="158">
        <f t="shared" si="200"/>
        <v>0</v>
      </c>
      <c r="P275" s="158">
        <f t="shared" si="92"/>
        <v>0</v>
      </c>
      <c r="Q275" s="158">
        <f t="shared" ref="Q275:R275" si="201">SUM(Q276:Q279)</f>
        <v>0</v>
      </c>
      <c r="R275" s="158">
        <f t="shared" si="201"/>
        <v>0</v>
      </c>
      <c r="S275" s="158">
        <f t="shared" si="93"/>
        <v>0</v>
      </c>
      <c r="T275" s="158">
        <f t="shared" ref="T275:U275" si="202">SUM(T276:T279)</f>
        <v>11798</v>
      </c>
      <c r="U275" s="158">
        <f t="shared" si="202"/>
        <v>11798</v>
      </c>
      <c r="V275" s="158">
        <f t="shared" si="94"/>
        <v>0</v>
      </c>
      <c r="W275" s="158">
        <f t="shared" ref="W275:X275" si="203">SUM(W276:W279)</f>
        <v>0</v>
      </c>
      <c r="X275" s="158">
        <f t="shared" si="203"/>
        <v>0</v>
      </c>
      <c r="Y275" s="158">
        <f t="shared" si="95"/>
        <v>0</v>
      </c>
      <c r="Z275" s="158">
        <f t="shared" ref="Z275:AA275" si="204">SUM(Z276:Z279)</f>
        <v>0</v>
      </c>
      <c r="AA275" s="158">
        <f t="shared" si="204"/>
        <v>0</v>
      </c>
      <c r="AB275" s="158">
        <f t="shared" si="96"/>
        <v>0</v>
      </c>
      <c r="AC275" s="158">
        <f t="shared" ref="AC275:AD275" si="205">SUM(AC276:AC279)</f>
        <v>0</v>
      </c>
      <c r="AD275" s="158">
        <f t="shared" si="205"/>
        <v>0</v>
      </c>
      <c r="AE275" s="158">
        <f t="shared" si="97"/>
        <v>0</v>
      </c>
    </row>
    <row r="276" spans="1:192" s="159" customFormat="1" x14ac:dyDescent="0.25">
      <c r="A276" s="167" t="s">
        <v>451</v>
      </c>
      <c r="B276" s="168">
        <v>1</v>
      </c>
      <c r="C276" s="168">
        <v>431</v>
      </c>
      <c r="D276" s="168">
        <v>5201</v>
      </c>
      <c r="E276" s="170">
        <f t="shared" si="168"/>
        <v>1944</v>
      </c>
      <c r="F276" s="170">
        <f t="shared" si="168"/>
        <v>1944</v>
      </c>
      <c r="G276" s="170">
        <f t="shared" si="168"/>
        <v>0</v>
      </c>
      <c r="H276" s="170"/>
      <c r="I276" s="170"/>
      <c r="J276" s="170">
        <f t="shared" si="177"/>
        <v>0</v>
      </c>
      <c r="K276" s="170"/>
      <c r="L276" s="170"/>
      <c r="M276" s="170">
        <f t="shared" si="91"/>
        <v>0</v>
      </c>
      <c r="N276" s="170"/>
      <c r="O276" s="170"/>
      <c r="P276" s="170">
        <f t="shared" si="92"/>
        <v>0</v>
      </c>
      <c r="Q276" s="170"/>
      <c r="R276" s="170"/>
      <c r="S276" s="170">
        <f t="shared" si="93"/>
        <v>0</v>
      </c>
      <c r="T276" s="170">
        <v>1944</v>
      </c>
      <c r="U276" s="170">
        <v>1944</v>
      </c>
      <c r="V276" s="170">
        <f t="shared" si="94"/>
        <v>0</v>
      </c>
      <c r="W276" s="170"/>
      <c r="X276" s="170"/>
      <c r="Y276" s="170">
        <f t="shared" si="95"/>
        <v>0</v>
      </c>
      <c r="Z276" s="170"/>
      <c r="AA276" s="170"/>
      <c r="AB276" s="170">
        <f t="shared" si="96"/>
        <v>0</v>
      </c>
      <c r="AC276" s="170"/>
      <c r="AD276" s="170"/>
      <c r="AE276" s="170">
        <f t="shared" si="97"/>
        <v>0</v>
      </c>
    </row>
    <row r="277" spans="1:192" s="159" customFormat="1" x14ac:dyDescent="0.25">
      <c r="A277" s="167" t="s">
        <v>452</v>
      </c>
      <c r="B277" s="168">
        <v>1</v>
      </c>
      <c r="C277" s="168">
        <v>469</v>
      </c>
      <c r="D277" s="168">
        <v>5201</v>
      </c>
      <c r="E277" s="170">
        <f t="shared" si="168"/>
        <v>1660</v>
      </c>
      <c r="F277" s="170">
        <f t="shared" si="168"/>
        <v>1660</v>
      </c>
      <c r="G277" s="170">
        <f t="shared" si="168"/>
        <v>0</v>
      </c>
      <c r="H277" s="170"/>
      <c r="I277" s="170"/>
      <c r="J277" s="170">
        <f t="shared" si="177"/>
        <v>0</v>
      </c>
      <c r="K277" s="170"/>
      <c r="L277" s="170"/>
      <c r="M277" s="170">
        <f t="shared" si="91"/>
        <v>0</v>
      </c>
      <c r="N277" s="170"/>
      <c r="O277" s="170"/>
      <c r="P277" s="170">
        <f t="shared" si="92"/>
        <v>0</v>
      </c>
      <c r="Q277" s="170"/>
      <c r="R277" s="170"/>
      <c r="S277" s="170">
        <f t="shared" si="93"/>
        <v>0</v>
      </c>
      <c r="T277" s="170">
        <f>1198+462</f>
        <v>1660</v>
      </c>
      <c r="U277" s="170">
        <f>1198+462</f>
        <v>1660</v>
      </c>
      <c r="V277" s="170">
        <f t="shared" si="94"/>
        <v>0</v>
      </c>
      <c r="W277" s="170"/>
      <c r="X277" s="170"/>
      <c r="Y277" s="170">
        <f t="shared" si="95"/>
        <v>0</v>
      </c>
      <c r="Z277" s="170"/>
      <c r="AA277" s="170"/>
      <c r="AB277" s="170">
        <f t="shared" si="96"/>
        <v>0</v>
      </c>
      <c r="AC277" s="170"/>
      <c r="AD277" s="170"/>
      <c r="AE277" s="170">
        <f t="shared" si="97"/>
        <v>0</v>
      </c>
    </row>
    <row r="278" spans="1:192" s="159" customFormat="1" x14ac:dyDescent="0.25">
      <c r="A278" s="167" t="s">
        <v>453</v>
      </c>
      <c r="B278" s="168">
        <v>1</v>
      </c>
      <c r="C278" s="168">
        <v>431</v>
      </c>
      <c r="D278" s="168">
        <v>5201</v>
      </c>
      <c r="E278" s="170">
        <f t="shared" si="168"/>
        <v>1500</v>
      </c>
      <c r="F278" s="170">
        <f t="shared" si="168"/>
        <v>1500</v>
      </c>
      <c r="G278" s="170">
        <f t="shared" si="168"/>
        <v>0</v>
      </c>
      <c r="H278" s="170"/>
      <c r="I278" s="170"/>
      <c r="J278" s="170">
        <f t="shared" si="177"/>
        <v>0</v>
      </c>
      <c r="K278" s="170"/>
      <c r="L278" s="170"/>
      <c r="M278" s="170">
        <f t="shared" si="91"/>
        <v>0</v>
      </c>
      <c r="N278" s="170"/>
      <c r="O278" s="170"/>
      <c r="P278" s="170">
        <f t="shared" si="92"/>
        <v>0</v>
      </c>
      <c r="Q278" s="170"/>
      <c r="R278" s="170"/>
      <c r="S278" s="170">
        <f t="shared" si="93"/>
        <v>0</v>
      </c>
      <c r="T278" s="170">
        <v>1500</v>
      </c>
      <c r="U278" s="170">
        <v>1500</v>
      </c>
      <c r="V278" s="170">
        <f t="shared" si="94"/>
        <v>0</v>
      </c>
      <c r="W278" s="170"/>
      <c r="X278" s="170"/>
      <c r="Y278" s="170">
        <f t="shared" si="95"/>
        <v>0</v>
      </c>
      <c r="Z278" s="170"/>
      <c r="AA278" s="170"/>
      <c r="AB278" s="170">
        <f t="shared" si="96"/>
        <v>0</v>
      </c>
      <c r="AC278" s="170"/>
      <c r="AD278" s="170"/>
      <c r="AE278" s="170">
        <f t="shared" si="97"/>
        <v>0</v>
      </c>
    </row>
    <row r="279" spans="1:192" s="159" customFormat="1" x14ac:dyDescent="0.25">
      <c r="A279" s="167" t="s">
        <v>454</v>
      </c>
      <c r="B279" s="168">
        <v>1</v>
      </c>
      <c r="C279" s="168">
        <v>437</v>
      </c>
      <c r="D279" s="168">
        <v>5201</v>
      </c>
      <c r="E279" s="170">
        <f t="shared" si="168"/>
        <v>6694</v>
      </c>
      <c r="F279" s="170">
        <f t="shared" si="168"/>
        <v>6694</v>
      </c>
      <c r="G279" s="170">
        <f t="shared" si="168"/>
        <v>0</v>
      </c>
      <c r="H279" s="170"/>
      <c r="I279" s="170"/>
      <c r="J279" s="170">
        <f t="shared" si="177"/>
        <v>0</v>
      </c>
      <c r="K279" s="170"/>
      <c r="L279" s="170"/>
      <c r="M279" s="170">
        <f t="shared" si="91"/>
        <v>0</v>
      </c>
      <c r="N279" s="170"/>
      <c r="O279" s="170"/>
      <c r="P279" s="170">
        <f t="shared" si="92"/>
        <v>0</v>
      </c>
      <c r="Q279" s="170"/>
      <c r="R279" s="170"/>
      <c r="S279" s="170">
        <f t="shared" si="93"/>
        <v>0</v>
      </c>
      <c r="T279" s="170">
        <f>6642+52</f>
        <v>6694</v>
      </c>
      <c r="U279" s="170">
        <f>6642+52</f>
        <v>6694</v>
      </c>
      <c r="V279" s="170">
        <f t="shared" si="94"/>
        <v>0</v>
      </c>
      <c r="W279" s="170"/>
      <c r="X279" s="170"/>
      <c r="Y279" s="170">
        <f t="shared" si="95"/>
        <v>0</v>
      </c>
      <c r="Z279" s="170"/>
      <c r="AA279" s="170"/>
      <c r="AB279" s="170">
        <f t="shared" si="96"/>
        <v>0</v>
      </c>
      <c r="AC279" s="170"/>
      <c r="AD279" s="170"/>
      <c r="AE279" s="170">
        <f t="shared" si="97"/>
        <v>0</v>
      </c>
    </row>
    <row r="280" spans="1:192" s="159" customFormat="1" ht="31.5" x14ac:dyDescent="0.25">
      <c r="A280" s="157" t="s">
        <v>373</v>
      </c>
      <c r="B280" s="166"/>
      <c r="C280" s="166"/>
      <c r="D280" s="166"/>
      <c r="E280" s="158">
        <f t="shared" si="168"/>
        <v>55524</v>
      </c>
      <c r="F280" s="158">
        <f t="shared" si="168"/>
        <v>55524</v>
      </c>
      <c r="G280" s="158">
        <f t="shared" si="168"/>
        <v>0</v>
      </c>
      <c r="H280" s="158">
        <f>SUM(H281:H285)</f>
        <v>0</v>
      </c>
      <c r="I280" s="158">
        <f>SUM(I281:I285)</f>
        <v>0</v>
      </c>
      <c r="J280" s="158">
        <f t="shared" si="177"/>
        <v>0</v>
      </c>
      <c r="K280" s="158">
        <f t="shared" ref="K280:L280" si="206">SUM(K281:K285)</f>
        <v>0</v>
      </c>
      <c r="L280" s="158">
        <f t="shared" si="206"/>
        <v>0</v>
      </c>
      <c r="M280" s="158">
        <f t="shared" si="91"/>
        <v>0</v>
      </c>
      <c r="N280" s="158">
        <f t="shared" ref="N280:O280" si="207">SUM(N281:N285)</f>
        <v>0</v>
      </c>
      <c r="O280" s="158">
        <f t="shared" si="207"/>
        <v>0</v>
      </c>
      <c r="P280" s="158">
        <f t="shared" si="92"/>
        <v>0</v>
      </c>
      <c r="Q280" s="158">
        <f t="shared" ref="Q280:R280" si="208">SUM(Q281:Q285)</f>
        <v>0</v>
      </c>
      <c r="R280" s="158">
        <f t="shared" si="208"/>
        <v>0</v>
      </c>
      <c r="S280" s="158">
        <f t="shared" si="93"/>
        <v>0</v>
      </c>
      <c r="T280" s="158">
        <f t="shared" ref="T280:U280" si="209">SUM(T281:T285)</f>
        <v>55524</v>
      </c>
      <c r="U280" s="158">
        <f t="shared" si="209"/>
        <v>55524</v>
      </c>
      <c r="V280" s="158">
        <f t="shared" si="94"/>
        <v>0</v>
      </c>
      <c r="W280" s="158">
        <f t="shared" ref="W280:X280" si="210">SUM(W281:W285)</f>
        <v>0</v>
      </c>
      <c r="X280" s="158">
        <f t="shared" si="210"/>
        <v>0</v>
      </c>
      <c r="Y280" s="158">
        <f t="shared" si="95"/>
        <v>0</v>
      </c>
      <c r="Z280" s="158">
        <f t="shared" ref="Z280:AA280" si="211">SUM(Z281:Z285)</f>
        <v>0</v>
      </c>
      <c r="AA280" s="158">
        <f t="shared" si="211"/>
        <v>0</v>
      </c>
      <c r="AB280" s="158">
        <f t="shared" si="96"/>
        <v>0</v>
      </c>
      <c r="AC280" s="158">
        <f t="shared" ref="AC280:AD280" si="212">SUM(AC281:AC285)</f>
        <v>0</v>
      </c>
      <c r="AD280" s="158">
        <f t="shared" si="212"/>
        <v>0</v>
      </c>
      <c r="AE280" s="158">
        <f t="shared" si="97"/>
        <v>0</v>
      </c>
    </row>
    <row r="281" spans="1:192" s="159" customFormat="1" ht="31.5" x14ac:dyDescent="0.25">
      <c r="A281" s="167" t="s">
        <v>455</v>
      </c>
      <c r="B281" s="168">
        <v>1</v>
      </c>
      <c r="C281" s="168">
        <v>431</v>
      </c>
      <c r="D281" s="168">
        <v>5203</v>
      </c>
      <c r="E281" s="170">
        <f t="shared" si="168"/>
        <v>4434</v>
      </c>
      <c r="F281" s="170">
        <f t="shared" si="168"/>
        <v>4434</v>
      </c>
      <c r="G281" s="170">
        <f t="shared" si="168"/>
        <v>0</v>
      </c>
      <c r="H281" s="170"/>
      <c r="I281" s="170"/>
      <c r="J281" s="170">
        <f t="shared" si="177"/>
        <v>0</v>
      </c>
      <c r="K281" s="170"/>
      <c r="L281" s="170"/>
      <c r="M281" s="170">
        <f t="shared" si="91"/>
        <v>0</v>
      </c>
      <c r="N281" s="170"/>
      <c r="O281" s="170"/>
      <c r="P281" s="170">
        <f t="shared" si="92"/>
        <v>0</v>
      </c>
      <c r="Q281" s="170"/>
      <c r="R281" s="170"/>
      <c r="S281" s="170">
        <f t="shared" si="93"/>
        <v>0</v>
      </c>
      <c r="T281" s="170">
        <f>1065+3369</f>
        <v>4434</v>
      </c>
      <c r="U281" s="170">
        <f>1065+3369</f>
        <v>4434</v>
      </c>
      <c r="V281" s="170">
        <f t="shared" si="94"/>
        <v>0</v>
      </c>
      <c r="W281" s="170"/>
      <c r="X281" s="170"/>
      <c r="Y281" s="170">
        <f t="shared" si="95"/>
        <v>0</v>
      </c>
      <c r="Z281" s="170"/>
      <c r="AA281" s="170"/>
      <c r="AB281" s="170">
        <f t="shared" si="96"/>
        <v>0</v>
      </c>
      <c r="AC281" s="170"/>
      <c r="AD281" s="170"/>
      <c r="AE281" s="170">
        <f t="shared" si="97"/>
        <v>0</v>
      </c>
    </row>
    <row r="282" spans="1:192" s="159" customFormat="1" ht="31.5" x14ac:dyDescent="0.25">
      <c r="A282" s="167" t="s">
        <v>456</v>
      </c>
      <c r="B282" s="168">
        <v>1</v>
      </c>
      <c r="C282" s="168">
        <v>431</v>
      </c>
      <c r="D282" s="168">
        <v>5203</v>
      </c>
      <c r="E282" s="170">
        <f t="shared" si="168"/>
        <v>23310</v>
      </c>
      <c r="F282" s="170">
        <f t="shared" si="168"/>
        <v>23310</v>
      </c>
      <c r="G282" s="170">
        <f t="shared" si="168"/>
        <v>0</v>
      </c>
      <c r="H282" s="170"/>
      <c r="I282" s="170"/>
      <c r="J282" s="170">
        <f t="shared" si="177"/>
        <v>0</v>
      </c>
      <c r="K282" s="170"/>
      <c r="L282" s="170"/>
      <c r="M282" s="170">
        <f t="shared" si="91"/>
        <v>0</v>
      </c>
      <c r="N282" s="170"/>
      <c r="O282" s="170"/>
      <c r="P282" s="170">
        <f t="shared" si="92"/>
        <v>0</v>
      </c>
      <c r="Q282" s="170"/>
      <c r="R282" s="170"/>
      <c r="S282" s="170">
        <f t="shared" si="93"/>
        <v>0</v>
      </c>
      <c r="T282" s="170">
        <v>23310</v>
      </c>
      <c r="U282" s="170">
        <v>23310</v>
      </c>
      <c r="V282" s="170">
        <f t="shared" si="94"/>
        <v>0</v>
      </c>
      <c r="W282" s="170"/>
      <c r="X282" s="170"/>
      <c r="Y282" s="170">
        <f t="shared" si="95"/>
        <v>0</v>
      </c>
      <c r="Z282" s="170"/>
      <c r="AA282" s="170"/>
      <c r="AB282" s="170">
        <f t="shared" si="96"/>
        <v>0</v>
      </c>
      <c r="AC282" s="170"/>
      <c r="AD282" s="170"/>
      <c r="AE282" s="170">
        <f t="shared" si="97"/>
        <v>0</v>
      </c>
    </row>
    <row r="283" spans="1:192" s="159" customFormat="1" ht="31.5" x14ac:dyDescent="0.25">
      <c r="A283" s="167" t="s">
        <v>457</v>
      </c>
      <c r="B283" s="168">
        <v>1</v>
      </c>
      <c r="C283" s="168">
        <v>431</v>
      </c>
      <c r="D283" s="168">
        <v>5203</v>
      </c>
      <c r="E283" s="170">
        <f t="shared" si="168"/>
        <v>6600</v>
      </c>
      <c r="F283" s="170">
        <f t="shared" si="168"/>
        <v>6600</v>
      </c>
      <c r="G283" s="170">
        <f t="shared" si="168"/>
        <v>0</v>
      </c>
      <c r="H283" s="170"/>
      <c r="I283" s="170"/>
      <c r="J283" s="170">
        <f t="shared" si="177"/>
        <v>0</v>
      </c>
      <c r="K283" s="170"/>
      <c r="L283" s="170"/>
      <c r="M283" s="170">
        <f t="shared" si="91"/>
        <v>0</v>
      </c>
      <c r="N283" s="170"/>
      <c r="O283" s="170"/>
      <c r="P283" s="170">
        <f t="shared" si="92"/>
        <v>0</v>
      </c>
      <c r="Q283" s="170"/>
      <c r="R283" s="170"/>
      <c r="S283" s="170">
        <f t="shared" si="93"/>
        <v>0</v>
      </c>
      <c r="T283" s="170">
        <v>6600</v>
      </c>
      <c r="U283" s="170">
        <v>6600</v>
      </c>
      <c r="V283" s="170">
        <f t="shared" si="94"/>
        <v>0</v>
      </c>
      <c r="W283" s="170"/>
      <c r="X283" s="170"/>
      <c r="Y283" s="170">
        <f t="shared" si="95"/>
        <v>0</v>
      </c>
      <c r="Z283" s="170"/>
      <c r="AA283" s="170"/>
      <c r="AB283" s="170">
        <f t="shared" si="96"/>
        <v>0</v>
      </c>
      <c r="AC283" s="170"/>
      <c r="AD283" s="170"/>
      <c r="AE283" s="170">
        <f t="shared" si="97"/>
        <v>0</v>
      </c>
    </row>
    <row r="284" spans="1:192" s="159" customFormat="1" x14ac:dyDescent="0.25">
      <c r="A284" s="167" t="s">
        <v>458</v>
      </c>
      <c r="B284" s="172">
        <v>1</v>
      </c>
      <c r="C284" s="172">
        <v>431</v>
      </c>
      <c r="D284" s="172">
        <v>5203</v>
      </c>
      <c r="E284" s="170">
        <f t="shared" si="168"/>
        <v>6499</v>
      </c>
      <c r="F284" s="170">
        <f t="shared" si="168"/>
        <v>6499</v>
      </c>
      <c r="G284" s="170">
        <f t="shared" si="168"/>
        <v>0</v>
      </c>
      <c r="H284" s="170"/>
      <c r="I284" s="170"/>
      <c r="J284" s="170">
        <f t="shared" si="177"/>
        <v>0</v>
      </c>
      <c r="K284" s="170"/>
      <c r="L284" s="170"/>
      <c r="M284" s="170">
        <f t="shared" si="91"/>
        <v>0</v>
      </c>
      <c r="N284" s="170"/>
      <c r="O284" s="170"/>
      <c r="P284" s="170">
        <f t="shared" si="92"/>
        <v>0</v>
      </c>
      <c r="Q284" s="170"/>
      <c r="R284" s="170"/>
      <c r="S284" s="170">
        <f t="shared" si="93"/>
        <v>0</v>
      </c>
      <c r="T284" s="170">
        <v>6499</v>
      </c>
      <c r="U284" s="170">
        <v>6499</v>
      </c>
      <c r="V284" s="170">
        <f t="shared" si="94"/>
        <v>0</v>
      </c>
      <c r="W284" s="170"/>
      <c r="X284" s="170"/>
      <c r="Y284" s="170">
        <f t="shared" si="95"/>
        <v>0</v>
      </c>
      <c r="Z284" s="170"/>
      <c r="AA284" s="170"/>
      <c r="AB284" s="170">
        <f t="shared" si="96"/>
        <v>0</v>
      </c>
      <c r="AC284" s="170"/>
      <c r="AD284" s="170"/>
      <c r="AE284" s="170">
        <f t="shared" si="97"/>
        <v>0</v>
      </c>
    </row>
    <row r="285" spans="1:192" s="159" customFormat="1" x14ac:dyDescent="0.25">
      <c r="A285" s="167" t="s">
        <v>459</v>
      </c>
      <c r="B285" s="172">
        <v>1</v>
      </c>
      <c r="C285" s="172">
        <v>431</v>
      </c>
      <c r="D285" s="172">
        <v>5203</v>
      </c>
      <c r="E285" s="170">
        <f t="shared" si="168"/>
        <v>14681</v>
      </c>
      <c r="F285" s="170">
        <f t="shared" si="168"/>
        <v>14681</v>
      </c>
      <c r="G285" s="170">
        <f t="shared" si="168"/>
        <v>0</v>
      </c>
      <c r="H285" s="170"/>
      <c r="I285" s="170"/>
      <c r="J285" s="170">
        <f t="shared" si="177"/>
        <v>0</v>
      </c>
      <c r="K285" s="170"/>
      <c r="L285" s="170"/>
      <c r="M285" s="170">
        <f t="shared" si="91"/>
        <v>0</v>
      </c>
      <c r="N285" s="170"/>
      <c r="O285" s="170"/>
      <c r="P285" s="170">
        <f t="shared" si="92"/>
        <v>0</v>
      </c>
      <c r="Q285" s="170"/>
      <c r="R285" s="170"/>
      <c r="S285" s="170">
        <f t="shared" si="93"/>
        <v>0</v>
      </c>
      <c r="T285" s="170">
        <v>14681</v>
      </c>
      <c r="U285" s="170">
        <v>14681</v>
      </c>
      <c r="V285" s="170">
        <f t="shared" si="94"/>
        <v>0</v>
      </c>
      <c r="W285" s="170"/>
      <c r="X285" s="170"/>
      <c r="Y285" s="170">
        <f t="shared" si="95"/>
        <v>0</v>
      </c>
      <c r="Z285" s="170"/>
      <c r="AA285" s="170"/>
      <c r="AB285" s="170">
        <f t="shared" si="96"/>
        <v>0</v>
      </c>
      <c r="AC285" s="170"/>
      <c r="AD285" s="170"/>
      <c r="AE285" s="170">
        <f t="shared" si="97"/>
        <v>0</v>
      </c>
    </row>
    <row r="286" spans="1:192" s="159" customFormat="1" x14ac:dyDescent="0.25">
      <c r="A286" s="157" t="s">
        <v>377</v>
      </c>
      <c r="B286" s="166"/>
      <c r="C286" s="166"/>
      <c r="D286" s="166"/>
      <c r="E286" s="158">
        <f t="shared" si="168"/>
        <v>40000</v>
      </c>
      <c r="F286" s="158">
        <f t="shared" si="168"/>
        <v>40000</v>
      </c>
      <c r="G286" s="158">
        <f t="shared" si="168"/>
        <v>0</v>
      </c>
      <c r="H286" s="158">
        <f t="shared" ref="H286:AD286" si="213">SUM(H287)</f>
        <v>0</v>
      </c>
      <c r="I286" s="158">
        <f t="shared" si="213"/>
        <v>0</v>
      </c>
      <c r="J286" s="158">
        <f t="shared" si="177"/>
        <v>0</v>
      </c>
      <c r="K286" s="158">
        <f t="shared" si="213"/>
        <v>0</v>
      </c>
      <c r="L286" s="158">
        <f t="shared" si="213"/>
        <v>0</v>
      </c>
      <c r="M286" s="158">
        <f t="shared" si="91"/>
        <v>0</v>
      </c>
      <c r="N286" s="158">
        <f t="shared" si="213"/>
        <v>0</v>
      </c>
      <c r="O286" s="158">
        <f t="shared" si="213"/>
        <v>0</v>
      </c>
      <c r="P286" s="158">
        <f t="shared" si="92"/>
        <v>0</v>
      </c>
      <c r="Q286" s="158">
        <f t="shared" si="213"/>
        <v>0</v>
      </c>
      <c r="R286" s="158">
        <f t="shared" si="213"/>
        <v>0</v>
      </c>
      <c r="S286" s="158">
        <f t="shared" si="93"/>
        <v>0</v>
      </c>
      <c r="T286" s="158">
        <f t="shared" si="213"/>
        <v>40000</v>
      </c>
      <c r="U286" s="158">
        <f t="shared" si="213"/>
        <v>40000</v>
      </c>
      <c r="V286" s="158">
        <f t="shared" si="94"/>
        <v>0</v>
      </c>
      <c r="W286" s="158">
        <f t="shared" si="213"/>
        <v>0</v>
      </c>
      <c r="X286" s="158">
        <f t="shared" si="213"/>
        <v>0</v>
      </c>
      <c r="Y286" s="158">
        <f t="shared" si="95"/>
        <v>0</v>
      </c>
      <c r="Z286" s="158">
        <f t="shared" si="213"/>
        <v>0</v>
      </c>
      <c r="AA286" s="158">
        <f t="shared" si="213"/>
        <v>0</v>
      </c>
      <c r="AB286" s="158">
        <f t="shared" si="96"/>
        <v>0</v>
      </c>
      <c r="AC286" s="158">
        <f t="shared" si="213"/>
        <v>0</v>
      </c>
      <c r="AD286" s="158">
        <f t="shared" si="213"/>
        <v>0</v>
      </c>
      <c r="AE286" s="158">
        <f t="shared" si="97"/>
        <v>0</v>
      </c>
    </row>
    <row r="287" spans="1:192" s="156" customFormat="1" x14ac:dyDescent="0.25">
      <c r="A287" s="175" t="s">
        <v>460</v>
      </c>
      <c r="B287" s="169">
        <v>1</v>
      </c>
      <c r="C287" s="169">
        <v>431</v>
      </c>
      <c r="D287" s="169">
        <v>5204</v>
      </c>
      <c r="E287" s="170">
        <f t="shared" si="168"/>
        <v>40000</v>
      </c>
      <c r="F287" s="170">
        <f t="shared" si="168"/>
        <v>40000</v>
      </c>
      <c r="G287" s="170">
        <f t="shared" si="168"/>
        <v>0</v>
      </c>
      <c r="H287" s="170"/>
      <c r="I287" s="170"/>
      <c r="J287" s="170">
        <f t="shared" si="177"/>
        <v>0</v>
      </c>
      <c r="K287" s="170"/>
      <c r="L287" s="170"/>
      <c r="M287" s="170">
        <f t="shared" si="91"/>
        <v>0</v>
      </c>
      <c r="N287" s="170"/>
      <c r="O287" s="170"/>
      <c r="P287" s="170">
        <f t="shared" si="92"/>
        <v>0</v>
      </c>
      <c r="Q287" s="170"/>
      <c r="R287" s="170"/>
      <c r="S287" s="170">
        <f t="shared" si="93"/>
        <v>0</v>
      </c>
      <c r="T287" s="170">
        <v>40000</v>
      </c>
      <c r="U287" s="170">
        <v>40000</v>
      </c>
      <c r="V287" s="170">
        <f t="shared" si="94"/>
        <v>0</v>
      </c>
      <c r="W287" s="170"/>
      <c r="X287" s="170"/>
      <c r="Y287" s="170">
        <f t="shared" si="95"/>
        <v>0</v>
      </c>
      <c r="Z287" s="170"/>
      <c r="AA287" s="170"/>
      <c r="AB287" s="170">
        <f t="shared" si="96"/>
        <v>0</v>
      </c>
      <c r="AC287" s="170"/>
      <c r="AD287" s="170"/>
      <c r="AE287" s="170">
        <f t="shared" si="97"/>
        <v>0</v>
      </c>
      <c r="AF287" s="159"/>
      <c r="AG287" s="159"/>
      <c r="AH287" s="159"/>
      <c r="AI287" s="159"/>
      <c r="AJ287" s="159"/>
      <c r="AK287" s="159"/>
      <c r="AL287" s="159"/>
      <c r="AM287" s="159"/>
      <c r="AN287" s="159"/>
      <c r="AO287" s="159"/>
      <c r="AP287" s="159"/>
      <c r="AQ287" s="159"/>
      <c r="AR287" s="159"/>
      <c r="AS287" s="159"/>
      <c r="AT287" s="159"/>
      <c r="AU287" s="159"/>
      <c r="AV287" s="159"/>
      <c r="AW287" s="159"/>
      <c r="AX287" s="159"/>
      <c r="AY287" s="159"/>
      <c r="AZ287" s="159"/>
      <c r="BA287" s="159"/>
      <c r="BB287" s="159"/>
      <c r="BC287" s="159"/>
      <c r="BD287" s="159"/>
      <c r="BE287" s="159"/>
      <c r="BF287" s="159"/>
      <c r="BG287" s="159"/>
      <c r="BH287" s="159"/>
      <c r="BI287" s="159"/>
      <c r="BJ287" s="159"/>
      <c r="BK287" s="159"/>
      <c r="BL287" s="159"/>
      <c r="BM287" s="159"/>
      <c r="BN287" s="159"/>
      <c r="BO287" s="159"/>
      <c r="BP287" s="159"/>
      <c r="BQ287" s="159"/>
      <c r="BR287" s="159"/>
      <c r="BS287" s="159"/>
      <c r="BT287" s="159"/>
      <c r="BU287" s="159"/>
      <c r="BV287" s="159"/>
      <c r="BW287" s="159"/>
      <c r="BX287" s="159"/>
      <c r="BY287" s="159"/>
      <c r="BZ287" s="159"/>
      <c r="CA287" s="159"/>
      <c r="CB287" s="159"/>
      <c r="CC287" s="159"/>
      <c r="CD287" s="159"/>
      <c r="CE287" s="159"/>
      <c r="CF287" s="159"/>
      <c r="CG287" s="159"/>
      <c r="CH287" s="159"/>
      <c r="CI287" s="159"/>
      <c r="CJ287" s="159"/>
      <c r="CK287" s="159"/>
      <c r="CL287" s="159"/>
      <c r="CM287" s="159"/>
      <c r="CN287" s="159"/>
      <c r="CO287" s="159"/>
      <c r="CP287" s="159"/>
      <c r="CQ287" s="159"/>
      <c r="CR287" s="159"/>
      <c r="CS287" s="159"/>
      <c r="CT287" s="159"/>
      <c r="CU287" s="159"/>
      <c r="CV287" s="159"/>
      <c r="CW287" s="159"/>
      <c r="CX287" s="159"/>
      <c r="CY287" s="159"/>
      <c r="CZ287" s="159"/>
      <c r="DA287" s="159"/>
      <c r="DB287" s="159"/>
      <c r="DC287" s="159"/>
      <c r="DD287" s="159"/>
      <c r="DE287" s="159"/>
      <c r="DF287" s="159"/>
      <c r="DG287" s="159"/>
      <c r="DH287" s="159"/>
      <c r="DI287" s="159"/>
      <c r="DJ287" s="159"/>
      <c r="DK287" s="159"/>
      <c r="DL287" s="159"/>
      <c r="DM287" s="159"/>
      <c r="DN287" s="159"/>
      <c r="DO287" s="159"/>
      <c r="DP287" s="159"/>
      <c r="DQ287" s="159"/>
      <c r="DR287" s="159"/>
      <c r="DS287" s="159"/>
      <c r="DT287" s="159"/>
      <c r="DU287" s="159"/>
      <c r="DV287" s="159"/>
      <c r="DW287" s="159"/>
      <c r="DX287" s="159"/>
      <c r="DY287" s="159"/>
      <c r="DZ287" s="159"/>
      <c r="EA287" s="159"/>
      <c r="EB287" s="159"/>
      <c r="EC287" s="159"/>
      <c r="ED287" s="159"/>
      <c r="EE287" s="159"/>
      <c r="EF287" s="159"/>
      <c r="EG287" s="159"/>
      <c r="EH287" s="159"/>
      <c r="EI287" s="159"/>
      <c r="EJ287" s="159"/>
      <c r="EK287" s="159"/>
      <c r="EL287" s="159"/>
      <c r="EM287" s="159"/>
      <c r="EN287" s="159"/>
      <c r="EO287" s="159"/>
      <c r="EP287" s="159"/>
      <c r="EQ287" s="159"/>
      <c r="ER287" s="159"/>
      <c r="ES287" s="159"/>
      <c r="ET287" s="159"/>
      <c r="EU287" s="159"/>
      <c r="EV287" s="159"/>
      <c r="EW287" s="159"/>
      <c r="EX287" s="159"/>
      <c r="EY287" s="159"/>
      <c r="EZ287" s="159"/>
      <c r="FA287" s="159"/>
      <c r="FB287" s="159"/>
      <c r="FC287" s="159"/>
      <c r="FD287" s="159"/>
      <c r="FE287" s="159"/>
      <c r="FF287" s="159"/>
      <c r="FG287" s="159"/>
      <c r="FH287" s="159"/>
      <c r="FI287" s="159"/>
      <c r="FJ287" s="159"/>
      <c r="FK287" s="159"/>
      <c r="FL287" s="159"/>
      <c r="FM287" s="159"/>
      <c r="FN287" s="159"/>
      <c r="FO287" s="159"/>
      <c r="FP287" s="159"/>
      <c r="FQ287" s="159"/>
      <c r="FR287" s="159"/>
      <c r="FS287" s="159"/>
      <c r="FT287" s="159"/>
      <c r="FU287" s="159"/>
      <c r="FV287" s="159"/>
      <c r="FW287" s="159"/>
      <c r="FX287" s="159"/>
      <c r="FY287" s="159"/>
      <c r="FZ287" s="159"/>
      <c r="GA287" s="159"/>
      <c r="GB287" s="159"/>
      <c r="GC287" s="159"/>
      <c r="GD287" s="159"/>
      <c r="GE287" s="159"/>
      <c r="GF287" s="159"/>
      <c r="GG287" s="159"/>
      <c r="GH287" s="159"/>
      <c r="GI287" s="159"/>
      <c r="GJ287" s="159"/>
    </row>
    <row r="288" spans="1:192" s="159" customFormat="1" x14ac:dyDescent="0.25">
      <c r="A288" s="157" t="s">
        <v>379</v>
      </c>
      <c r="B288" s="166"/>
      <c r="C288" s="166"/>
      <c r="D288" s="166"/>
      <c r="E288" s="158">
        <f t="shared" si="168"/>
        <v>33176</v>
      </c>
      <c r="F288" s="158">
        <f t="shared" si="168"/>
        <v>33176</v>
      </c>
      <c r="G288" s="158">
        <f>J288+M288+P288+S288+V288+Y288+AE288+AB288</f>
        <v>0</v>
      </c>
      <c r="H288" s="158">
        <f>SUM(H289:H292)</f>
        <v>0</v>
      </c>
      <c r="I288" s="158">
        <f>SUM(I289:I292)</f>
        <v>0</v>
      </c>
      <c r="J288" s="158">
        <f t="shared" si="177"/>
        <v>0</v>
      </c>
      <c r="K288" s="158">
        <f>SUM(K289:K292)</f>
        <v>0</v>
      </c>
      <c r="L288" s="158">
        <f>SUM(L289:L292)</f>
        <v>0</v>
      </c>
      <c r="M288" s="158">
        <f t="shared" si="91"/>
        <v>0</v>
      </c>
      <c r="N288" s="158">
        <f>SUM(N289:N292)</f>
        <v>0</v>
      </c>
      <c r="O288" s="158">
        <f>SUM(O289:O292)</f>
        <v>0</v>
      </c>
      <c r="P288" s="158">
        <f t="shared" si="92"/>
        <v>0</v>
      </c>
      <c r="Q288" s="158">
        <f>SUM(Q289:Q292)</f>
        <v>0</v>
      </c>
      <c r="R288" s="158">
        <f>SUM(R289:R292)</f>
        <v>0</v>
      </c>
      <c r="S288" s="158">
        <f t="shared" si="93"/>
        <v>0</v>
      </c>
      <c r="T288" s="158">
        <f>SUM(T289:T292)</f>
        <v>33176</v>
      </c>
      <c r="U288" s="158">
        <f>SUM(U289:U292)</f>
        <v>33176</v>
      </c>
      <c r="V288" s="158">
        <f t="shared" si="94"/>
        <v>0</v>
      </c>
      <c r="W288" s="158">
        <f>SUM(W289:W292)</f>
        <v>0</v>
      </c>
      <c r="X288" s="158">
        <f>SUM(X289:X292)</f>
        <v>0</v>
      </c>
      <c r="Y288" s="158">
        <f t="shared" si="95"/>
        <v>0</v>
      </c>
      <c r="Z288" s="158">
        <f>SUM(Z289:Z292)</f>
        <v>0</v>
      </c>
      <c r="AA288" s="158">
        <f>SUM(AA289:AA292)</f>
        <v>0</v>
      </c>
      <c r="AB288" s="158">
        <f t="shared" si="96"/>
        <v>0</v>
      </c>
      <c r="AC288" s="158">
        <f>SUM(AC289:AC292)</f>
        <v>0</v>
      </c>
      <c r="AD288" s="158">
        <f>SUM(AD289:AD292)</f>
        <v>0</v>
      </c>
      <c r="AE288" s="158">
        <f t="shared" si="97"/>
        <v>0</v>
      </c>
      <c r="AF288" s="156"/>
      <c r="AG288" s="156"/>
      <c r="AH288" s="156"/>
      <c r="AI288" s="156"/>
      <c r="AJ288" s="156"/>
      <c r="AK288" s="156"/>
      <c r="AL288" s="156"/>
      <c r="AM288" s="156"/>
      <c r="AN288" s="156"/>
      <c r="AO288" s="156"/>
      <c r="AP288" s="156"/>
      <c r="AQ288" s="156"/>
      <c r="AR288" s="156"/>
      <c r="AS288" s="156"/>
      <c r="AT288" s="156"/>
      <c r="AU288" s="156"/>
      <c r="AV288" s="156"/>
      <c r="AW288" s="156"/>
      <c r="AX288" s="156"/>
      <c r="AY288" s="156"/>
      <c r="AZ288" s="156"/>
      <c r="BA288" s="156"/>
      <c r="BB288" s="156"/>
      <c r="BC288" s="156"/>
      <c r="BD288" s="156"/>
      <c r="BE288" s="156"/>
      <c r="BF288" s="156"/>
      <c r="BG288" s="156"/>
      <c r="BH288" s="156"/>
      <c r="BI288" s="156"/>
      <c r="BJ288" s="156"/>
      <c r="BK288" s="156"/>
      <c r="BL288" s="156"/>
      <c r="BM288" s="156"/>
      <c r="BN288" s="156"/>
      <c r="BO288" s="156"/>
      <c r="BP288" s="156"/>
      <c r="BQ288" s="156"/>
      <c r="BR288" s="156"/>
      <c r="BS288" s="156"/>
      <c r="BT288" s="156"/>
      <c r="BU288" s="156"/>
      <c r="BV288" s="156"/>
      <c r="BW288" s="156"/>
      <c r="BX288" s="156"/>
      <c r="BY288" s="156"/>
      <c r="BZ288" s="156"/>
      <c r="CA288" s="156"/>
      <c r="CB288" s="156"/>
      <c r="CC288" s="156"/>
      <c r="CD288" s="156"/>
      <c r="CE288" s="156"/>
      <c r="CF288" s="156"/>
      <c r="CG288" s="156"/>
      <c r="CH288" s="156"/>
      <c r="CI288" s="156"/>
      <c r="CJ288" s="156"/>
      <c r="CK288" s="156"/>
      <c r="CL288" s="156"/>
      <c r="CM288" s="156"/>
      <c r="CN288" s="156"/>
      <c r="CO288" s="156"/>
      <c r="CP288" s="156"/>
      <c r="CQ288" s="156"/>
      <c r="CR288" s="156"/>
      <c r="CS288" s="156"/>
      <c r="CT288" s="156"/>
      <c r="CU288" s="156"/>
      <c r="CV288" s="156"/>
      <c r="CW288" s="156"/>
      <c r="CX288" s="156"/>
      <c r="CY288" s="156"/>
      <c r="CZ288" s="156"/>
      <c r="DA288" s="156"/>
      <c r="DB288" s="156"/>
      <c r="DC288" s="156"/>
      <c r="DD288" s="156"/>
      <c r="DE288" s="156"/>
      <c r="DF288" s="156"/>
      <c r="DG288" s="156"/>
      <c r="DH288" s="156"/>
      <c r="DI288" s="156"/>
      <c r="DJ288" s="156"/>
      <c r="DK288" s="156"/>
      <c r="DL288" s="156"/>
      <c r="DM288" s="156"/>
      <c r="DN288" s="156"/>
      <c r="DO288" s="156"/>
      <c r="DP288" s="156"/>
      <c r="DQ288" s="156"/>
      <c r="DR288" s="156"/>
      <c r="DS288" s="156"/>
      <c r="DT288" s="156"/>
      <c r="DU288" s="156"/>
      <c r="DV288" s="156"/>
      <c r="DW288" s="156"/>
      <c r="DX288" s="156"/>
      <c r="DY288" s="156"/>
      <c r="DZ288" s="156"/>
      <c r="EA288" s="156"/>
      <c r="EB288" s="156"/>
      <c r="EC288" s="156"/>
      <c r="ED288" s="156"/>
      <c r="EE288" s="156"/>
      <c r="EF288" s="156"/>
      <c r="EG288" s="156"/>
      <c r="EH288" s="156"/>
      <c r="EI288" s="156"/>
      <c r="EJ288" s="156"/>
      <c r="EK288" s="156"/>
      <c r="EL288" s="156"/>
      <c r="EM288" s="156"/>
      <c r="EN288" s="156"/>
      <c r="EO288" s="156"/>
      <c r="EP288" s="156"/>
      <c r="EQ288" s="156"/>
      <c r="ER288" s="156"/>
      <c r="ES288" s="156"/>
      <c r="ET288" s="156"/>
      <c r="EU288" s="156"/>
      <c r="EV288" s="156"/>
      <c r="EW288" s="156"/>
      <c r="EX288" s="156"/>
      <c r="EY288" s="156"/>
      <c r="EZ288" s="156"/>
      <c r="FA288" s="156"/>
      <c r="FB288" s="156"/>
      <c r="FC288" s="156"/>
      <c r="FD288" s="156"/>
      <c r="FE288" s="156"/>
      <c r="FF288" s="156"/>
      <c r="FG288" s="156"/>
      <c r="FH288" s="156"/>
      <c r="FI288" s="156"/>
      <c r="FJ288" s="156"/>
      <c r="FK288" s="156"/>
      <c r="FL288" s="156"/>
      <c r="FM288" s="156"/>
      <c r="FN288" s="156"/>
      <c r="FO288" s="156"/>
      <c r="FP288" s="156"/>
      <c r="FQ288" s="156"/>
      <c r="FR288" s="156"/>
      <c r="FS288" s="156"/>
      <c r="FT288" s="156"/>
      <c r="FU288" s="156"/>
      <c r="FV288" s="156"/>
      <c r="FW288" s="156"/>
      <c r="FX288" s="156"/>
      <c r="FY288" s="156"/>
      <c r="FZ288" s="156"/>
      <c r="GA288" s="156"/>
      <c r="GB288" s="156"/>
      <c r="GC288" s="156"/>
      <c r="GD288" s="156"/>
      <c r="GE288" s="156"/>
      <c r="GF288" s="156"/>
      <c r="GG288" s="156"/>
      <c r="GH288" s="156"/>
      <c r="GI288" s="156"/>
      <c r="GJ288" s="156"/>
    </row>
    <row r="289" spans="1:192" s="159" customFormat="1" x14ac:dyDescent="0.25">
      <c r="A289" s="167" t="s">
        <v>461</v>
      </c>
      <c r="B289" s="168">
        <v>1</v>
      </c>
      <c r="C289" s="168">
        <v>431</v>
      </c>
      <c r="D289" s="168">
        <v>5205</v>
      </c>
      <c r="E289" s="170">
        <f t="shared" si="168"/>
        <v>1700</v>
      </c>
      <c r="F289" s="170">
        <f t="shared" si="168"/>
        <v>1700</v>
      </c>
      <c r="G289" s="170">
        <f>J289+M289+P289+S289+V289+Y289+AE289+AB289</f>
        <v>0</v>
      </c>
      <c r="H289" s="170"/>
      <c r="I289" s="170"/>
      <c r="J289" s="170">
        <f t="shared" si="177"/>
        <v>0</v>
      </c>
      <c r="K289" s="170"/>
      <c r="L289" s="170"/>
      <c r="M289" s="170">
        <f t="shared" si="91"/>
        <v>0</v>
      </c>
      <c r="N289" s="170"/>
      <c r="O289" s="170"/>
      <c r="P289" s="170">
        <f t="shared" si="92"/>
        <v>0</v>
      </c>
      <c r="Q289" s="170"/>
      <c r="R289" s="170"/>
      <c r="S289" s="170">
        <f t="shared" si="93"/>
        <v>0</v>
      </c>
      <c r="T289" s="170">
        <v>1700</v>
      </c>
      <c r="U289" s="170">
        <v>1700</v>
      </c>
      <c r="V289" s="170">
        <f t="shared" si="94"/>
        <v>0</v>
      </c>
      <c r="W289" s="170"/>
      <c r="X289" s="170"/>
      <c r="Y289" s="170">
        <f t="shared" si="95"/>
        <v>0</v>
      </c>
      <c r="Z289" s="170"/>
      <c r="AA289" s="170"/>
      <c r="AB289" s="170">
        <f t="shared" si="96"/>
        <v>0</v>
      </c>
      <c r="AC289" s="170"/>
      <c r="AD289" s="170"/>
      <c r="AE289" s="170">
        <f t="shared" si="97"/>
        <v>0</v>
      </c>
    </row>
    <row r="290" spans="1:192" s="159" customFormat="1" ht="31.5" x14ac:dyDescent="0.25">
      <c r="A290" s="167" t="s">
        <v>462</v>
      </c>
      <c r="B290" s="168">
        <v>1</v>
      </c>
      <c r="C290" s="168">
        <v>431</v>
      </c>
      <c r="D290" s="168">
        <v>5205</v>
      </c>
      <c r="E290" s="170">
        <f t="shared" si="168"/>
        <v>28316</v>
      </c>
      <c r="F290" s="170">
        <f t="shared" si="168"/>
        <v>28316</v>
      </c>
      <c r="G290" s="170">
        <f>J290+M290+P290+S290+V290+Y290+AE290+AB290</f>
        <v>0</v>
      </c>
      <c r="H290" s="170"/>
      <c r="I290" s="170"/>
      <c r="J290" s="170">
        <f t="shared" si="177"/>
        <v>0</v>
      </c>
      <c r="K290" s="170"/>
      <c r="L290" s="170"/>
      <c r="M290" s="170">
        <f t="shared" si="91"/>
        <v>0</v>
      </c>
      <c r="N290" s="170"/>
      <c r="O290" s="170"/>
      <c r="P290" s="170">
        <f t="shared" si="92"/>
        <v>0</v>
      </c>
      <c r="Q290" s="170"/>
      <c r="R290" s="170"/>
      <c r="S290" s="170">
        <f t="shared" si="93"/>
        <v>0</v>
      </c>
      <c r="T290" s="170">
        <f>7079+21237</f>
        <v>28316</v>
      </c>
      <c r="U290" s="170">
        <f>7079+21237</f>
        <v>28316</v>
      </c>
      <c r="V290" s="170">
        <f t="shared" si="94"/>
        <v>0</v>
      </c>
      <c r="W290" s="170"/>
      <c r="X290" s="170"/>
      <c r="Y290" s="170">
        <f t="shared" si="95"/>
        <v>0</v>
      </c>
      <c r="Z290" s="170"/>
      <c r="AA290" s="170"/>
      <c r="AB290" s="170">
        <f t="shared" si="96"/>
        <v>0</v>
      </c>
      <c r="AC290" s="170"/>
      <c r="AD290" s="170"/>
      <c r="AE290" s="170">
        <f t="shared" si="97"/>
        <v>0</v>
      </c>
    </row>
    <row r="291" spans="1:192" s="159" customFormat="1" x14ac:dyDescent="0.25">
      <c r="A291" s="167" t="s">
        <v>463</v>
      </c>
      <c r="B291" s="168">
        <v>1</v>
      </c>
      <c r="C291" s="168">
        <v>431</v>
      </c>
      <c r="D291" s="168">
        <v>5205</v>
      </c>
      <c r="E291" s="170">
        <f t="shared" si="168"/>
        <v>1854</v>
      </c>
      <c r="F291" s="170">
        <f t="shared" si="168"/>
        <v>1854</v>
      </c>
      <c r="G291" s="170">
        <f>J291+M291+P291+S291+V291+Y291+AE291+AB291</f>
        <v>0</v>
      </c>
      <c r="H291" s="170"/>
      <c r="I291" s="170"/>
      <c r="J291" s="170">
        <f t="shared" si="177"/>
        <v>0</v>
      </c>
      <c r="K291" s="170"/>
      <c r="L291" s="170"/>
      <c r="M291" s="170">
        <f t="shared" si="91"/>
        <v>0</v>
      </c>
      <c r="N291" s="170"/>
      <c r="O291" s="170"/>
      <c r="P291" s="170">
        <f t="shared" si="92"/>
        <v>0</v>
      </c>
      <c r="Q291" s="170"/>
      <c r="R291" s="170"/>
      <c r="S291" s="170">
        <f t="shared" si="93"/>
        <v>0</v>
      </c>
      <c r="T291" s="170">
        <v>1854</v>
      </c>
      <c r="U291" s="170">
        <v>1854</v>
      </c>
      <c r="V291" s="170">
        <f t="shared" si="94"/>
        <v>0</v>
      </c>
      <c r="W291" s="170"/>
      <c r="X291" s="170"/>
      <c r="Y291" s="170">
        <f t="shared" si="95"/>
        <v>0</v>
      </c>
      <c r="Z291" s="170"/>
      <c r="AA291" s="170"/>
      <c r="AB291" s="170">
        <f t="shared" si="96"/>
        <v>0</v>
      </c>
      <c r="AC291" s="170"/>
      <c r="AD291" s="170"/>
      <c r="AE291" s="170">
        <f t="shared" si="97"/>
        <v>0</v>
      </c>
    </row>
    <row r="292" spans="1:192" s="159" customFormat="1" x14ac:dyDescent="0.25">
      <c r="A292" s="167" t="s">
        <v>464</v>
      </c>
      <c r="B292" s="168">
        <v>1</v>
      </c>
      <c r="C292" s="168">
        <v>431</v>
      </c>
      <c r="D292" s="168">
        <v>5205</v>
      </c>
      <c r="E292" s="170">
        <f t="shared" si="168"/>
        <v>1306</v>
      </c>
      <c r="F292" s="170">
        <f t="shared" si="168"/>
        <v>1306</v>
      </c>
      <c r="G292" s="170">
        <f>J292+M292+P292+S292+V292+Y292+AE292+AB292</f>
        <v>0</v>
      </c>
      <c r="H292" s="170"/>
      <c r="I292" s="170"/>
      <c r="J292" s="170">
        <f t="shared" si="177"/>
        <v>0</v>
      </c>
      <c r="K292" s="170"/>
      <c r="L292" s="170"/>
      <c r="M292" s="170">
        <f t="shared" si="91"/>
        <v>0</v>
      </c>
      <c r="N292" s="170"/>
      <c r="O292" s="170"/>
      <c r="P292" s="170">
        <f t="shared" si="92"/>
        <v>0</v>
      </c>
      <c r="Q292" s="170"/>
      <c r="R292" s="170"/>
      <c r="S292" s="170">
        <f t="shared" si="93"/>
        <v>0</v>
      </c>
      <c r="T292" s="170">
        <v>1306</v>
      </c>
      <c r="U292" s="170">
        <v>1306</v>
      </c>
      <c r="V292" s="170">
        <f t="shared" si="94"/>
        <v>0</v>
      </c>
      <c r="W292" s="170"/>
      <c r="X292" s="170"/>
      <c r="Y292" s="170">
        <f t="shared" si="95"/>
        <v>0</v>
      </c>
      <c r="Z292" s="170"/>
      <c r="AA292" s="170"/>
      <c r="AB292" s="170">
        <f t="shared" si="96"/>
        <v>0</v>
      </c>
      <c r="AC292" s="170"/>
      <c r="AD292" s="170"/>
      <c r="AE292" s="170">
        <f t="shared" si="97"/>
        <v>0</v>
      </c>
    </row>
    <row r="293" spans="1:192" s="159" customFormat="1" x14ac:dyDescent="0.25">
      <c r="A293" s="157" t="s">
        <v>258</v>
      </c>
      <c r="B293" s="166"/>
      <c r="C293" s="166"/>
      <c r="D293" s="166"/>
      <c r="E293" s="158">
        <f t="shared" si="168"/>
        <v>735798</v>
      </c>
      <c r="F293" s="158">
        <f t="shared" si="168"/>
        <v>579544</v>
      </c>
      <c r="G293" s="158">
        <f t="shared" si="168"/>
        <v>-156254</v>
      </c>
      <c r="H293" s="158">
        <f>SUM(H294,H304,H311,H316,H320,H302)</f>
        <v>0</v>
      </c>
      <c r="I293" s="158">
        <f>SUM(I294,I304,I311,I316,I320,I302)</f>
        <v>0</v>
      </c>
      <c r="J293" s="158">
        <f t="shared" si="177"/>
        <v>0</v>
      </c>
      <c r="K293" s="158">
        <f t="shared" ref="K293:L293" si="214">SUM(K294,K304,K311,K316,K320,K302)</f>
        <v>27000</v>
      </c>
      <c r="L293" s="158">
        <f t="shared" si="214"/>
        <v>15165</v>
      </c>
      <c r="M293" s="158">
        <f t="shared" si="91"/>
        <v>-11835</v>
      </c>
      <c r="N293" s="158">
        <f t="shared" ref="N293:O293" si="215">SUM(N294,N304,N311,N316,N320,N302)</f>
        <v>33972</v>
      </c>
      <c r="O293" s="158">
        <f t="shared" si="215"/>
        <v>33852</v>
      </c>
      <c r="P293" s="158">
        <f t="shared" si="92"/>
        <v>-120</v>
      </c>
      <c r="Q293" s="158">
        <f t="shared" ref="Q293:R293" si="216">SUM(Q294,Q304,Q311,Q316,Q320,Q302)</f>
        <v>647608</v>
      </c>
      <c r="R293" s="158">
        <f t="shared" si="216"/>
        <v>503309</v>
      </c>
      <c r="S293" s="158">
        <f t="shared" si="93"/>
        <v>-144299</v>
      </c>
      <c r="T293" s="158">
        <f t="shared" ref="T293:U293" si="217">SUM(T294,T304,T311,T316,T320,T302)</f>
        <v>27218</v>
      </c>
      <c r="U293" s="158">
        <f t="shared" si="217"/>
        <v>27218</v>
      </c>
      <c r="V293" s="158">
        <f t="shared" si="94"/>
        <v>0</v>
      </c>
      <c r="W293" s="158">
        <f t="shared" ref="W293:X293" si="218">SUM(W294,W304,W311,W316,W320,W302)</f>
        <v>0</v>
      </c>
      <c r="X293" s="158">
        <f t="shared" si="218"/>
        <v>0</v>
      </c>
      <c r="Y293" s="158">
        <f t="shared" si="95"/>
        <v>0</v>
      </c>
      <c r="Z293" s="158">
        <f t="shared" ref="Z293:AA293" si="219">SUM(Z294,Z304,Z311,Z316,Z320,Z302)</f>
        <v>0</v>
      </c>
      <c r="AA293" s="158">
        <f t="shared" si="219"/>
        <v>0</v>
      </c>
      <c r="AB293" s="158">
        <f t="shared" si="96"/>
        <v>0</v>
      </c>
      <c r="AC293" s="158">
        <f t="shared" ref="AC293:AD293" si="220">SUM(AC294,AC304,AC311,AC316,AC320,AC302)</f>
        <v>0</v>
      </c>
      <c r="AD293" s="158">
        <f t="shared" si="220"/>
        <v>0</v>
      </c>
      <c r="AE293" s="158">
        <f t="shared" si="97"/>
        <v>0</v>
      </c>
    </row>
    <row r="294" spans="1:192" s="159" customFormat="1" x14ac:dyDescent="0.25">
      <c r="A294" s="157" t="s">
        <v>364</v>
      </c>
      <c r="B294" s="166"/>
      <c r="C294" s="166"/>
      <c r="D294" s="166"/>
      <c r="E294" s="158">
        <f t="shared" si="168"/>
        <v>48988</v>
      </c>
      <c r="F294" s="158">
        <f t="shared" si="168"/>
        <v>18742</v>
      </c>
      <c r="G294" s="158">
        <f t="shared" si="168"/>
        <v>-30246</v>
      </c>
      <c r="H294" s="158">
        <f t="shared" ref="H294:I294" si="221">SUM(H295:H301)</f>
        <v>0</v>
      </c>
      <c r="I294" s="158">
        <f t="shared" si="221"/>
        <v>0</v>
      </c>
      <c r="J294" s="158">
        <f t="shared" si="177"/>
        <v>0</v>
      </c>
      <c r="K294" s="158">
        <f t="shared" ref="K294:AD294" si="222">SUM(K295:K301)</f>
        <v>0</v>
      </c>
      <c r="L294" s="158">
        <f t="shared" si="222"/>
        <v>0</v>
      </c>
      <c r="M294" s="158">
        <f t="shared" si="91"/>
        <v>0</v>
      </c>
      <c r="N294" s="158">
        <f t="shared" ref="N294" si="223">SUM(N295:N301)</f>
        <v>3216</v>
      </c>
      <c r="O294" s="158">
        <f t="shared" si="222"/>
        <v>3216</v>
      </c>
      <c r="P294" s="158">
        <f t="shared" si="92"/>
        <v>0</v>
      </c>
      <c r="Q294" s="158">
        <f t="shared" ref="Q294" si="224">SUM(Q295:Q301)</f>
        <v>40152</v>
      </c>
      <c r="R294" s="158">
        <f t="shared" si="222"/>
        <v>9906</v>
      </c>
      <c r="S294" s="158">
        <f t="shared" si="93"/>
        <v>-30246</v>
      </c>
      <c r="T294" s="158">
        <f t="shared" ref="T294" si="225">SUM(T295:T301)</f>
        <v>5620</v>
      </c>
      <c r="U294" s="158">
        <f t="shared" si="222"/>
        <v>5620</v>
      </c>
      <c r="V294" s="158">
        <f t="shared" si="94"/>
        <v>0</v>
      </c>
      <c r="W294" s="158">
        <f t="shared" ref="W294" si="226">SUM(W295:W301)</f>
        <v>0</v>
      </c>
      <c r="X294" s="158">
        <f t="shared" si="222"/>
        <v>0</v>
      </c>
      <c r="Y294" s="158">
        <f t="shared" si="95"/>
        <v>0</v>
      </c>
      <c r="Z294" s="158">
        <f t="shared" ref="Z294" si="227">SUM(Z295:Z301)</f>
        <v>0</v>
      </c>
      <c r="AA294" s="158">
        <f t="shared" si="222"/>
        <v>0</v>
      </c>
      <c r="AB294" s="158">
        <f t="shared" si="96"/>
        <v>0</v>
      </c>
      <c r="AC294" s="158">
        <f t="shared" ref="AC294" si="228">SUM(AC295:AC301)</f>
        <v>0</v>
      </c>
      <c r="AD294" s="158">
        <f t="shared" si="222"/>
        <v>0</v>
      </c>
      <c r="AE294" s="158">
        <f t="shared" si="97"/>
        <v>0</v>
      </c>
      <c r="AF294" s="156"/>
      <c r="AG294" s="156"/>
      <c r="AH294" s="156"/>
      <c r="AI294" s="156"/>
      <c r="AJ294" s="156"/>
      <c r="AK294" s="156"/>
      <c r="AL294" s="156"/>
      <c r="AM294" s="156"/>
      <c r="AN294" s="156"/>
      <c r="AO294" s="156"/>
      <c r="AP294" s="156"/>
      <c r="AQ294" s="156"/>
      <c r="AR294" s="156"/>
      <c r="AS294" s="156"/>
      <c r="AT294" s="156"/>
      <c r="AU294" s="156"/>
      <c r="AV294" s="156"/>
      <c r="AW294" s="156"/>
      <c r="AX294" s="156"/>
      <c r="AY294" s="156"/>
      <c r="AZ294" s="156"/>
      <c r="BA294" s="156"/>
      <c r="BB294" s="156"/>
      <c r="BC294" s="156"/>
      <c r="BD294" s="156"/>
      <c r="BE294" s="156"/>
      <c r="BF294" s="156"/>
      <c r="BG294" s="156"/>
      <c r="BH294" s="156"/>
      <c r="BI294" s="156"/>
      <c r="BJ294" s="156"/>
      <c r="BK294" s="156"/>
      <c r="BL294" s="156"/>
      <c r="BM294" s="156"/>
      <c r="BN294" s="156"/>
      <c r="BO294" s="156"/>
      <c r="BP294" s="156"/>
      <c r="BQ294" s="156"/>
      <c r="BR294" s="156"/>
      <c r="BS294" s="156"/>
      <c r="BT294" s="156"/>
      <c r="BU294" s="156"/>
      <c r="BV294" s="156"/>
      <c r="BW294" s="156"/>
      <c r="BX294" s="156"/>
      <c r="BY294" s="156"/>
      <c r="BZ294" s="156"/>
      <c r="CA294" s="156"/>
      <c r="CB294" s="156"/>
      <c r="CC294" s="156"/>
      <c r="CD294" s="156"/>
      <c r="CE294" s="156"/>
      <c r="CF294" s="156"/>
      <c r="CG294" s="156"/>
      <c r="CH294" s="156"/>
      <c r="CI294" s="156"/>
      <c r="CJ294" s="156"/>
      <c r="CK294" s="156"/>
      <c r="CL294" s="156"/>
      <c r="CM294" s="156"/>
      <c r="CN294" s="156"/>
      <c r="CO294" s="156"/>
      <c r="CP294" s="156"/>
      <c r="CQ294" s="156"/>
      <c r="CR294" s="156"/>
      <c r="CS294" s="156"/>
      <c r="CT294" s="156"/>
      <c r="CU294" s="156"/>
      <c r="CV294" s="156"/>
      <c r="CW294" s="156"/>
      <c r="CX294" s="156"/>
      <c r="CY294" s="156"/>
      <c r="CZ294" s="156"/>
      <c r="DA294" s="156"/>
      <c r="DB294" s="156"/>
      <c r="DC294" s="156"/>
      <c r="DD294" s="156"/>
      <c r="DE294" s="156"/>
      <c r="DF294" s="156"/>
      <c r="DG294" s="156"/>
      <c r="DH294" s="156"/>
      <c r="DI294" s="156"/>
      <c r="DJ294" s="156"/>
      <c r="DK294" s="156"/>
      <c r="DL294" s="156"/>
      <c r="DM294" s="156"/>
      <c r="DN294" s="156"/>
      <c r="DO294" s="156"/>
      <c r="DP294" s="156"/>
      <c r="DQ294" s="156"/>
      <c r="DR294" s="156"/>
      <c r="DS294" s="156"/>
      <c r="DT294" s="156"/>
      <c r="DU294" s="156"/>
      <c r="DV294" s="156"/>
      <c r="DW294" s="156"/>
      <c r="DX294" s="156"/>
      <c r="DY294" s="156"/>
      <c r="DZ294" s="156"/>
      <c r="EA294" s="156"/>
      <c r="EB294" s="156"/>
      <c r="EC294" s="156"/>
      <c r="ED294" s="156"/>
      <c r="EE294" s="156"/>
      <c r="EF294" s="156"/>
      <c r="EG294" s="156"/>
      <c r="EH294" s="156"/>
      <c r="EI294" s="156"/>
      <c r="EJ294" s="156"/>
      <c r="EK294" s="156"/>
      <c r="EL294" s="156"/>
      <c r="EM294" s="156"/>
      <c r="EN294" s="156"/>
      <c r="EO294" s="156"/>
      <c r="EP294" s="156"/>
      <c r="EQ294" s="156"/>
      <c r="ER294" s="156"/>
      <c r="ES294" s="156"/>
      <c r="ET294" s="156"/>
      <c r="EU294" s="156"/>
      <c r="EV294" s="156"/>
      <c r="EW294" s="156"/>
      <c r="EX294" s="156"/>
      <c r="EY294" s="156"/>
      <c r="EZ294" s="156"/>
      <c r="FA294" s="156"/>
      <c r="FB294" s="156"/>
      <c r="FC294" s="156"/>
      <c r="FD294" s="156"/>
      <c r="FE294" s="156"/>
      <c r="FF294" s="156"/>
      <c r="FG294" s="156"/>
      <c r="FH294" s="156"/>
      <c r="FI294" s="156"/>
      <c r="FJ294" s="156"/>
      <c r="FK294" s="156"/>
      <c r="FL294" s="156"/>
      <c r="FM294" s="156"/>
      <c r="FN294" s="156"/>
      <c r="FO294" s="156"/>
      <c r="FP294" s="156"/>
      <c r="FQ294" s="156"/>
      <c r="FR294" s="156"/>
      <c r="FS294" s="156"/>
      <c r="FT294" s="156"/>
      <c r="FU294" s="156"/>
      <c r="FV294" s="156"/>
      <c r="FW294" s="156"/>
      <c r="FX294" s="156"/>
      <c r="FY294" s="156"/>
      <c r="FZ294" s="156"/>
      <c r="GA294" s="156"/>
      <c r="GB294" s="156"/>
      <c r="GC294" s="156"/>
      <c r="GD294" s="156"/>
      <c r="GE294" s="156"/>
      <c r="GF294" s="156"/>
      <c r="GG294" s="156"/>
      <c r="GH294" s="156"/>
      <c r="GI294" s="156"/>
      <c r="GJ294" s="156"/>
    </row>
    <row r="295" spans="1:192" s="159" customFormat="1" x14ac:dyDescent="0.25">
      <c r="A295" s="167" t="s">
        <v>465</v>
      </c>
      <c r="B295" s="168">
        <v>2</v>
      </c>
      <c r="C295" s="168">
        <v>589</v>
      </c>
      <c r="D295" s="168">
        <v>5201</v>
      </c>
      <c r="E295" s="170">
        <f t="shared" si="168"/>
        <v>3216</v>
      </c>
      <c r="F295" s="170">
        <f t="shared" si="168"/>
        <v>3216</v>
      </c>
      <c r="G295" s="170">
        <f t="shared" si="168"/>
        <v>0</v>
      </c>
      <c r="H295" s="170"/>
      <c r="I295" s="170"/>
      <c r="J295" s="170">
        <f t="shared" si="177"/>
        <v>0</v>
      </c>
      <c r="K295" s="170"/>
      <c r="L295" s="170"/>
      <c r="M295" s="170">
        <f t="shared" si="91"/>
        <v>0</v>
      </c>
      <c r="N295" s="170">
        <f>1330+1424+462</f>
        <v>3216</v>
      </c>
      <c r="O295" s="170">
        <f>1330+1424+462</f>
        <v>3216</v>
      </c>
      <c r="P295" s="170">
        <f t="shared" si="92"/>
        <v>0</v>
      </c>
      <c r="Q295" s="170"/>
      <c r="R295" s="170"/>
      <c r="S295" s="170">
        <f t="shared" si="93"/>
        <v>0</v>
      </c>
      <c r="T295" s="170"/>
      <c r="U295" s="170"/>
      <c r="V295" s="170">
        <f t="shared" si="94"/>
        <v>0</v>
      </c>
      <c r="W295" s="170"/>
      <c r="X295" s="170"/>
      <c r="Y295" s="170">
        <f t="shared" si="95"/>
        <v>0</v>
      </c>
      <c r="Z295" s="170"/>
      <c r="AA295" s="170"/>
      <c r="AB295" s="170">
        <f t="shared" si="96"/>
        <v>0</v>
      </c>
      <c r="AC295" s="170"/>
      <c r="AD295" s="170"/>
      <c r="AE295" s="170">
        <f t="shared" si="97"/>
        <v>0</v>
      </c>
    </row>
    <row r="296" spans="1:192" s="156" customFormat="1" x14ac:dyDescent="0.25">
      <c r="A296" s="171" t="s">
        <v>466</v>
      </c>
      <c r="B296" s="172">
        <v>1</v>
      </c>
      <c r="C296" s="172">
        <v>530</v>
      </c>
      <c r="D296" s="172">
        <v>5201</v>
      </c>
      <c r="E296" s="174">
        <f t="shared" si="168"/>
        <v>726</v>
      </c>
      <c r="F296" s="174">
        <f t="shared" si="168"/>
        <v>726</v>
      </c>
      <c r="G296" s="174">
        <f t="shared" si="168"/>
        <v>0</v>
      </c>
      <c r="H296" s="174"/>
      <c r="I296" s="174"/>
      <c r="J296" s="174">
        <f t="shared" si="177"/>
        <v>0</v>
      </c>
      <c r="K296" s="174"/>
      <c r="L296" s="174"/>
      <c r="M296" s="174">
        <f t="shared" si="91"/>
        <v>0</v>
      </c>
      <c r="N296" s="174"/>
      <c r="O296" s="174"/>
      <c r="P296" s="174">
        <f t="shared" si="92"/>
        <v>0</v>
      </c>
      <c r="Q296" s="174"/>
      <c r="R296" s="174"/>
      <c r="S296" s="174">
        <f t="shared" si="93"/>
        <v>0</v>
      </c>
      <c r="T296" s="174">
        <v>726</v>
      </c>
      <c r="U296" s="174">
        <v>726</v>
      </c>
      <c r="V296" s="174">
        <f t="shared" si="94"/>
        <v>0</v>
      </c>
      <c r="W296" s="174"/>
      <c r="X296" s="174"/>
      <c r="Y296" s="174">
        <f t="shared" si="95"/>
        <v>0</v>
      </c>
      <c r="Z296" s="174"/>
      <c r="AA296" s="174"/>
      <c r="AB296" s="174">
        <f t="shared" si="96"/>
        <v>0</v>
      </c>
      <c r="AC296" s="174"/>
      <c r="AD296" s="174"/>
      <c r="AE296" s="174">
        <f t="shared" si="97"/>
        <v>0</v>
      </c>
      <c r="AF296" s="159"/>
      <c r="AG296" s="159"/>
      <c r="AH296" s="159"/>
      <c r="AI296" s="159"/>
      <c r="AJ296" s="159"/>
      <c r="AK296" s="159"/>
      <c r="AL296" s="159"/>
      <c r="AM296" s="159"/>
      <c r="AN296" s="159"/>
      <c r="AO296" s="159"/>
      <c r="AP296" s="159"/>
      <c r="AQ296" s="159"/>
      <c r="AR296" s="159"/>
      <c r="AS296" s="159"/>
      <c r="AT296" s="159"/>
      <c r="AU296" s="159"/>
      <c r="AV296" s="159"/>
      <c r="AW296" s="159"/>
      <c r="AX296" s="159"/>
      <c r="AY296" s="159"/>
      <c r="AZ296" s="159"/>
      <c r="BA296" s="159"/>
      <c r="BB296" s="159"/>
      <c r="BC296" s="159"/>
      <c r="BD296" s="159"/>
      <c r="BE296" s="159"/>
      <c r="BF296" s="159"/>
      <c r="BG296" s="159"/>
      <c r="BH296" s="159"/>
      <c r="BI296" s="159"/>
      <c r="BJ296" s="159"/>
      <c r="BK296" s="159"/>
      <c r="BL296" s="159"/>
      <c r="BM296" s="159"/>
      <c r="BN296" s="159"/>
      <c r="BO296" s="159"/>
      <c r="BP296" s="159"/>
      <c r="BQ296" s="159"/>
      <c r="BR296" s="159"/>
      <c r="BS296" s="159"/>
      <c r="BT296" s="159"/>
      <c r="BU296" s="159"/>
      <c r="BV296" s="159"/>
      <c r="BW296" s="159"/>
      <c r="BX296" s="159"/>
      <c r="BY296" s="159"/>
      <c r="BZ296" s="159"/>
      <c r="CA296" s="159"/>
      <c r="CB296" s="159"/>
      <c r="CC296" s="159"/>
      <c r="CD296" s="159"/>
      <c r="CE296" s="159"/>
      <c r="CF296" s="159"/>
      <c r="CG296" s="159"/>
      <c r="CH296" s="159"/>
      <c r="CI296" s="159"/>
      <c r="CJ296" s="159"/>
      <c r="CK296" s="159"/>
      <c r="CL296" s="159"/>
      <c r="CM296" s="159"/>
      <c r="CN296" s="159"/>
      <c r="CO296" s="159"/>
      <c r="CP296" s="159"/>
      <c r="CQ296" s="159"/>
      <c r="CR296" s="159"/>
      <c r="CS296" s="159"/>
      <c r="CT296" s="159"/>
      <c r="CU296" s="159"/>
      <c r="CV296" s="159"/>
      <c r="CW296" s="159"/>
      <c r="CX296" s="159"/>
      <c r="CY296" s="159"/>
      <c r="CZ296" s="159"/>
      <c r="DA296" s="159"/>
      <c r="DB296" s="159"/>
      <c r="DC296" s="159"/>
      <c r="DD296" s="159"/>
      <c r="DE296" s="159"/>
      <c r="DF296" s="159"/>
      <c r="DG296" s="159"/>
      <c r="DH296" s="159"/>
      <c r="DI296" s="159"/>
      <c r="DJ296" s="159"/>
      <c r="DK296" s="159"/>
      <c r="DL296" s="159"/>
      <c r="DM296" s="159"/>
      <c r="DN296" s="159"/>
      <c r="DO296" s="159"/>
      <c r="DP296" s="159"/>
      <c r="DQ296" s="159"/>
      <c r="DR296" s="159"/>
      <c r="DS296" s="159"/>
      <c r="DT296" s="159"/>
      <c r="DU296" s="159"/>
      <c r="DV296" s="159"/>
      <c r="DW296" s="159"/>
      <c r="DX296" s="159"/>
      <c r="DY296" s="159"/>
      <c r="DZ296" s="159"/>
      <c r="EA296" s="159"/>
      <c r="EB296" s="159"/>
      <c r="EC296" s="159"/>
      <c r="ED296" s="159"/>
      <c r="EE296" s="159"/>
      <c r="EF296" s="159"/>
      <c r="EG296" s="159"/>
      <c r="EH296" s="159"/>
      <c r="EI296" s="159"/>
      <c r="EJ296" s="159"/>
      <c r="EK296" s="159"/>
      <c r="EL296" s="159"/>
      <c r="EM296" s="159"/>
      <c r="EN296" s="159"/>
      <c r="EO296" s="159"/>
      <c r="EP296" s="159"/>
      <c r="EQ296" s="159"/>
      <c r="ER296" s="159"/>
      <c r="ES296" s="159"/>
      <c r="ET296" s="159"/>
      <c r="EU296" s="159"/>
      <c r="EV296" s="159"/>
      <c r="EW296" s="159"/>
      <c r="EX296" s="159"/>
      <c r="EY296" s="159"/>
      <c r="EZ296" s="159"/>
      <c r="FA296" s="159"/>
      <c r="FB296" s="159"/>
      <c r="FC296" s="159"/>
      <c r="FD296" s="159"/>
      <c r="FE296" s="159"/>
      <c r="FF296" s="159"/>
      <c r="FG296" s="159"/>
      <c r="FH296" s="159"/>
      <c r="FI296" s="159"/>
      <c r="FJ296" s="159"/>
      <c r="FK296" s="159"/>
      <c r="FL296" s="159"/>
      <c r="FM296" s="159"/>
      <c r="FN296" s="159"/>
      <c r="FO296" s="159"/>
      <c r="FP296" s="159"/>
      <c r="FQ296" s="159"/>
      <c r="FR296" s="159"/>
      <c r="FS296" s="159"/>
      <c r="FT296" s="159"/>
      <c r="FU296" s="159"/>
      <c r="FV296" s="159"/>
      <c r="FW296" s="159"/>
      <c r="FX296" s="159"/>
      <c r="FY296" s="159"/>
      <c r="FZ296" s="159"/>
      <c r="GA296" s="159"/>
      <c r="GB296" s="159"/>
      <c r="GC296" s="159"/>
      <c r="GD296" s="159"/>
      <c r="GE296" s="159"/>
      <c r="GF296" s="159"/>
      <c r="GG296" s="159"/>
      <c r="GH296" s="159"/>
      <c r="GI296" s="159"/>
      <c r="GJ296" s="159"/>
    </row>
    <row r="297" spans="1:192" s="156" customFormat="1" x14ac:dyDescent="0.25">
      <c r="A297" s="171" t="s">
        <v>467</v>
      </c>
      <c r="B297" s="172">
        <v>1</v>
      </c>
      <c r="C297" s="172">
        <v>550</v>
      </c>
      <c r="D297" s="172">
        <v>5201</v>
      </c>
      <c r="E297" s="174">
        <f t="shared" si="168"/>
        <v>4894</v>
      </c>
      <c r="F297" s="174">
        <f t="shared" si="168"/>
        <v>4894</v>
      </c>
      <c r="G297" s="174">
        <f t="shared" si="168"/>
        <v>0</v>
      </c>
      <c r="H297" s="174"/>
      <c r="I297" s="174"/>
      <c r="J297" s="174">
        <f t="shared" si="177"/>
        <v>0</v>
      </c>
      <c r="K297" s="174"/>
      <c r="L297" s="174"/>
      <c r="M297" s="174">
        <f t="shared" si="91"/>
        <v>0</v>
      </c>
      <c r="N297" s="174"/>
      <c r="O297" s="174"/>
      <c r="P297" s="174">
        <f t="shared" si="92"/>
        <v>0</v>
      </c>
      <c r="Q297" s="174"/>
      <c r="R297" s="174"/>
      <c r="S297" s="174">
        <f t="shared" si="93"/>
        <v>0</v>
      </c>
      <c r="T297" s="174">
        <v>4894</v>
      </c>
      <c r="U297" s="174">
        <v>4894</v>
      </c>
      <c r="V297" s="174">
        <f t="shared" si="94"/>
        <v>0</v>
      </c>
      <c r="W297" s="174"/>
      <c r="X297" s="174"/>
      <c r="Y297" s="174">
        <f t="shared" si="95"/>
        <v>0</v>
      </c>
      <c r="Z297" s="174"/>
      <c r="AA297" s="174"/>
      <c r="AB297" s="174">
        <f t="shared" si="96"/>
        <v>0</v>
      </c>
      <c r="AC297" s="174"/>
      <c r="AD297" s="174"/>
      <c r="AE297" s="174">
        <f t="shared" si="97"/>
        <v>0</v>
      </c>
      <c r="AF297" s="159"/>
      <c r="AG297" s="159"/>
      <c r="AH297" s="159"/>
      <c r="AI297" s="159"/>
      <c r="AJ297" s="159"/>
      <c r="AK297" s="159"/>
      <c r="AL297" s="159"/>
      <c r="AM297" s="159"/>
      <c r="AN297" s="159"/>
      <c r="AO297" s="159"/>
      <c r="AP297" s="159"/>
      <c r="AQ297" s="159"/>
      <c r="AR297" s="159"/>
      <c r="AS297" s="159"/>
      <c r="AT297" s="159"/>
      <c r="AU297" s="159"/>
      <c r="AV297" s="159"/>
      <c r="AW297" s="159"/>
      <c r="AX297" s="159"/>
      <c r="AY297" s="159"/>
      <c r="AZ297" s="159"/>
      <c r="BA297" s="159"/>
      <c r="BB297" s="159"/>
      <c r="BC297" s="159"/>
      <c r="BD297" s="159"/>
      <c r="BE297" s="159"/>
      <c r="BF297" s="159"/>
      <c r="BG297" s="159"/>
      <c r="BH297" s="159"/>
      <c r="BI297" s="159"/>
      <c r="BJ297" s="159"/>
      <c r="BK297" s="159"/>
      <c r="BL297" s="159"/>
      <c r="BM297" s="159"/>
      <c r="BN297" s="159"/>
      <c r="BO297" s="159"/>
      <c r="BP297" s="159"/>
      <c r="BQ297" s="159"/>
      <c r="BR297" s="159"/>
      <c r="BS297" s="159"/>
      <c r="BT297" s="159"/>
      <c r="BU297" s="159"/>
      <c r="BV297" s="159"/>
      <c r="BW297" s="159"/>
      <c r="BX297" s="159"/>
      <c r="BY297" s="159"/>
      <c r="BZ297" s="159"/>
      <c r="CA297" s="159"/>
      <c r="CB297" s="159"/>
      <c r="CC297" s="159"/>
      <c r="CD297" s="159"/>
      <c r="CE297" s="159"/>
      <c r="CF297" s="159"/>
      <c r="CG297" s="159"/>
      <c r="CH297" s="159"/>
      <c r="CI297" s="159"/>
      <c r="CJ297" s="159"/>
      <c r="CK297" s="159"/>
      <c r="CL297" s="159"/>
      <c r="CM297" s="159"/>
      <c r="CN297" s="159"/>
      <c r="CO297" s="159"/>
      <c r="CP297" s="159"/>
      <c r="CQ297" s="159"/>
      <c r="CR297" s="159"/>
      <c r="CS297" s="159"/>
      <c r="CT297" s="159"/>
      <c r="CU297" s="159"/>
      <c r="CV297" s="159"/>
      <c r="CW297" s="159"/>
      <c r="CX297" s="159"/>
      <c r="CY297" s="159"/>
      <c r="CZ297" s="159"/>
      <c r="DA297" s="159"/>
      <c r="DB297" s="159"/>
      <c r="DC297" s="159"/>
      <c r="DD297" s="159"/>
      <c r="DE297" s="159"/>
      <c r="DF297" s="159"/>
      <c r="DG297" s="159"/>
      <c r="DH297" s="159"/>
      <c r="DI297" s="159"/>
      <c r="DJ297" s="159"/>
      <c r="DK297" s="159"/>
      <c r="DL297" s="159"/>
      <c r="DM297" s="159"/>
      <c r="DN297" s="159"/>
      <c r="DO297" s="159"/>
      <c r="DP297" s="159"/>
      <c r="DQ297" s="159"/>
      <c r="DR297" s="159"/>
      <c r="DS297" s="159"/>
      <c r="DT297" s="159"/>
      <c r="DU297" s="159"/>
      <c r="DV297" s="159"/>
      <c r="DW297" s="159"/>
      <c r="DX297" s="159"/>
      <c r="DY297" s="159"/>
      <c r="DZ297" s="159"/>
      <c r="EA297" s="159"/>
      <c r="EB297" s="159"/>
      <c r="EC297" s="159"/>
      <c r="ED297" s="159"/>
      <c r="EE297" s="159"/>
      <c r="EF297" s="159"/>
      <c r="EG297" s="159"/>
      <c r="EH297" s="159"/>
      <c r="EI297" s="159"/>
      <c r="EJ297" s="159"/>
      <c r="EK297" s="159"/>
      <c r="EL297" s="159"/>
      <c r="EM297" s="159"/>
      <c r="EN297" s="159"/>
      <c r="EO297" s="159"/>
      <c r="EP297" s="159"/>
      <c r="EQ297" s="159"/>
      <c r="ER297" s="159"/>
      <c r="ES297" s="159"/>
      <c r="ET297" s="159"/>
      <c r="EU297" s="159"/>
      <c r="EV297" s="159"/>
      <c r="EW297" s="159"/>
      <c r="EX297" s="159"/>
      <c r="EY297" s="159"/>
      <c r="EZ297" s="159"/>
      <c r="FA297" s="159"/>
      <c r="FB297" s="159"/>
      <c r="FC297" s="159"/>
      <c r="FD297" s="159"/>
      <c r="FE297" s="159"/>
      <c r="FF297" s="159"/>
      <c r="FG297" s="159"/>
      <c r="FH297" s="159"/>
      <c r="FI297" s="159"/>
      <c r="FJ297" s="159"/>
      <c r="FK297" s="159"/>
      <c r="FL297" s="159"/>
      <c r="FM297" s="159"/>
      <c r="FN297" s="159"/>
      <c r="FO297" s="159"/>
      <c r="FP297" s="159"/>
      <c r="FQ297" s="159"/>
      <c r="FR297" s="159"/>
      <c r="FS297" s="159"/>
      <c r="FT297" s="159"/>
      <c r="FU297" s="159"/>
      <c r="FV297" s="159"/>
      <c r="FW297" s="159"/>
      <c r="FX297" s="159"/>
      <c r="FY297" s="159"/>
      <c r="FZ297" s="159"/>
      <c r="GA297" s="159"/>
      <c r="GB297" s="159"/>
      <c r="GC297" s="159"/>
      <c r="GD297" s="159"/>
      <c r="GE297" s="159"/>
      <c r="GF297" s="159"/>
      <c r="GG297" s="159"/>
      <c r="GH297" s="159"/>
      <c r="GI297" s="159"/>
      <c r="GJ297" s="159"/>
    </row>
    <row r="298" spans="1:192" s="159" customFormat="1" ht="78.75" x14ac:dyDescent="0.25">
      <c r="A298" s="175" t="s">
        <v>468</v>
      </c>
      <c r="B298" s="169"/>
      <c r="C298" s="169"/>
      <c r="D298" s="169"/>
      <c r="E298" s="170">
        <f t="shared" si="168"/>
        <v>3480</v>
      </c>
      <c r="F298" s="170">
        <f t="shared" si="168"/>
        <v>3480</v>
      </c>
      <c r="G298" s="170">
        <f t="shared" si="168"/>
        <v>0</v>
      </c>
      <c r="H298" s="170"/>
      <c r="I298" s="170"/>
      <c r="J298" s="170">
        <f t="shared" si="177"/>
        <v>0</v>
      </c>
      <c r="K298" s="170"/>
      <c r="L298" s="170"/>
      <c r="M298" s="170">
        <f t="shared" si="91"/>
        <v>0</v>
      </c>
      <c r="N298" s="170"/>
      <c r="O298" s="170"/>
      <c r="P298" s="170">
        <f t="shared" si="92"/>
        <v>0</v>
      </c>
      <c r="Q298" s="174">
        <v>3480</v>
      </c>
      <c r="R298" s="174">
        <v>3480</v>
      </c>
      <c r="S298" s="170">
        <f t="shared" si="93"/>
        <v>0</v>
      </c>
      <c r="T298" s="170"/>
      <c r="U298" s="170"/>
      <c r="V298" s="170">
        <f t="shared" si="94"/>
        <v>0</v>
      </c>
      <c r="W298" s="170"/>
      <c r="X298" s="170"/>
      <c r="Y298" s="170">
        <f t="shared" si="95"/>
        <v>0</v>
      </c>
      <c r="Z298" s="170"/>
      <c r="AA298" s="170"/>
      <c r="AB298" s="170">
        <f t="shared" si="96"/>
        <v>0</v>
      </c>
      <c r="AC298" s="170"/>
      <c r="AD298" s="170"/>
      <c r="AE298" s="170">
        <f t="shared" si="97"/>
        <v>0</v>
      </c>
    </row>
    <row r="299" spans="1:192" s="159" customFormat="1" ht="47.25" x14ac:dyDescent="0.25">
      <c r="A299" s="171" t="s">
        <v>469</v>
      </c>
      <c r="B299" s="168"/>
      <c r="C299" s="168"/>
      <c r="D299" s="168"/>
      <c r="E299" s="163">
        <f t="shared" si="168"/>
        <v>27500</v>
      </c>
      <c r="F299" s="163">
        <f t="shared" si="168"/>
        <v>2754</v>
      </c>
      <c r="G299" s="163">
        <f t="shared" si="168"/>
        <v>-24746</v>
      </c>
      <c r="H299" s="163"/>
      <c r="I299" s="163"/>
      <c r="J299" s="163">
        <f t="shared" si="177"/>
        <v>0</v>
      </c>
      <c r="K299" s="163"/>
      <c r="L299" s="163"/>
      <c r="M299" s="163">
        <f t="shared" si="91"/>
        <v>0</v>
      </c>
      <c r="N299" s="163"/>
      <c r="O299" s="163"/>
      <c r="P299" s="163">
        <f t="shared" si="92"/>
        <v>0</v>
      </c>
      <c r="Q299" s="163">
        <v>27500</v>
      </c>
      <c r="R299" s="163">
        <f>27500-24746</f>
        <v>2754</v>
      </c>
      <c r="S299" s="163">
        <f t="shared" si="93"/>
        <v>-24746</v>
      </c>
      <c r="T299" s="163"/>
      <c r="U299" s="163"/>
      <c r="V299" s="163">
        <f t="shared" si="94"/>
        <v>0</v>
      </c>
      <c r="W299" s="163"/>
      <c r="X299" s="163"/>
      <c r="Y299" s="163">
        <f t="shared" si="95"/>
        <v>0</v>
      </c>
      <c r="Z299" s="163"/>
      <c r="AA299" s="163"/>
      <c r="AB299" s="163">
        <f t="shared" si="96"/>
        <v>0</v>
      </c>
      <c r="AC299" s="163"/>
      <c r="AD299" s="163"/>
      <c r="AE299" s="163">
        <f t="shared" si="97"/>
        <v>0</v>
      </c>
    </row>
    <row r="300" spans="1:192" s="159" customFormat="1" ht="94.5" x14ac:dyDescent="0.25">
      <c r="A300" s="171" t="s">
        <v>470</v>
      </c>
      <c r="B300" s="168"/>
      <c r="C300" s="168"/>
      <c r="D300" s="168"/>
      <c r="E300" s="163">
        <f t="shared" si="168"/>
        <v>5500</v>
      </c>
      <c r="F300" s="163">
        <f t="shared" si="168"/>
        <v>0</v>
      </c>
      <c r="G300" s="163">
        <f t="shared" si="168"/>
        <v>-5500</v>
      </c>
      <c r="H300" s="163"/>
      <c r="I300" s="163"/>
      <c r="J300" s="163">
        <f t="shared" si="177"/>
        <v>0</v>
      </c>
      <c r="K300" s="163"/>
      <c r="L300" s="163"/>
      <c r="M300" s="163">
        <f t="shared" si="91"/>
        <v>0</v>
      </c>
      <c r="N300" s="163"/>
      <c r="O300" s="163"/>
      <c r="P300" s="163">
        <f t="shared" si="92"/>
        <v>0</v>
      </c>
      <c r="Q300" s="163">
        <v>5500</v>
      </c>
      <c r="R300" s="163">
        <v>0</v>
      </c>
      <c r="S300" s="163">
        <f t="shared" si="93"/>
        <v>-5500</v>
      </c>
      <c r="T300" s="163"/>
      <c r="U300" s="163"/>
      <c r="V300" s="163">
        <f t="shared" si="94"/>
        <v>0</v>
      </c>
      <c r="W300" s="163"/>
      <c r="X300" s="163"/>
      <c r="Y300" s="163">
        <f t="shared" si="95"/>
        <v>0</v>
      </c>
      <c r="Z300" s="163"/>
      <c r="AA300" s="163"/>
      <c r="AB300" s="163">
        <f t="shared" si="96"/>
        <v>0</v>
      </c>
      <c r="AC300" s="163"/>
      <c r="AD300" s="163"/>
      <c r="AE300" s="163">
        <f t="shared" si="97"/>
        <v>0</v>
      </c>
    </row>
    <row r="301" spans="1:192" s="159" customFormat="1" ht="47.25" x14ac:dyDescent="0.25">
      <c r="A301" s="167" t="s">
        <v>471</v>
      </c>
      <c r="B301" s="168"/>
      <c r="C301" s="168"/>
      <c r="D301" s="168"/>
      <c r="E301" s="170">
        <f t="shared" si="168"/>
        <v>3672</v>
      </c>
      <c r="F301" s="170">
        <f t="shared" si="168"/>
        <v>3672</v>
      </c>
      <c r="G301" s="170">
        <f t="shared" si="168"/>
        <v>0</v>
      </c>
      <c r="H301" s="170"/>
      <c r="I301" s="170"/>
      <c r="J301" s="170">
        <f t="shared" si="177"/>
        <v>0</v>
      </c>
      <c r="K301" s="170"/>
      <c r="L301" s="170"/>
      <c r="M301" s="170">
        <f t="shared" si="91"/>
        <v>0</v>
      </c>
      <c r="N301" s="170"/>
      <c r="O301" s="170"/>
      <c r="P301" s="170">
        <f t="shared" si="92"/>
        <v>0</v>
      </c>
      <c r="Q301" s="170">
        <f>3000+672</f>
        <v>3672</v>
      </c>
      <c r="R301" s="170">
        <f>3000+672</f>
        <v>3672</v>
      </c>
      <c r="S301" s="170">
        <f t="shared" si="93"/>
        <v>0</v>
      </c>
      <c r="T301" s="170"/>
      <c r="U301" s="170"/>
      <c r="V301" s="170">
        <f t="shared" si="94"/>
        <v>0</v>
      </c>
      <c r="W301" s="170"/>
      <c r="X301" s="170"/>
      <c r="Y301" s="170">
        <f t="shared" si="95"/>
        <v>0</v>
      </c>
      <c r="Z301" s="170"/>
      <c r="AA301" s="170"/>
      <c r="AB301" s="170">
        <f t="shared" si="96"/>
        <v>0</v>
      </c>
      <c r="AC301" s="170"/>
      <c r="AD301" s="170"/>
      <c r="AE301" s="170">
        <f t="shared" si="97"/>
        <v>0</v>
      </c>
    </row>
    <row r="302" spans="1:192" s="156" customFormat="1" x14ac:dyDescent="0.25">
      <c r="A302" s="157" t="s">
        <v>371</v>
      </c>
      <c r="B302" s="166"/>
      <c r="C302" s="166"/>
      <c r="D302" s="166"/>
      <c r="E302" s="158">
        <f t="shared" si="168"/>
        <v>386882</v>
      </c>
      <c r="F302" s="158">
        <f t="shared" si="168"/>
        <v>386882</v>
      </c>
      <c r="G302" s="158">
        <f t="shared" si="168"/>
        <v>0</v>
      </c>
      <c r="H302" s="158">
        <f t="shared" ref="H302:AD302" si="229">SUM(H303:H303)</f>
        <v>0</v>
      </c>
      <c r="I302" s="158">
        <f t="shared" si="229"/>
        <v>0</v>
      </c>
      <c r="J302" s="158">
        <f t="shared" si="177"/>
        <v>0</v>
      </c>
      <c r="K302" s="158">
        <f t="shared" si="229"/>
        <v>0</v>
      </c>
      <c r="L302" s="158">
        <f t="shared" si="229"/>
        <v>0</v>
      </c>
      <c r="M302" s="158">
        <f t="shared" si="91"/>
        <v>0</v>
      </c>
      <c r="N302" s="158">
        <f t="shared" si="229"/>
        <v>0</v>
      </c>
      <c r="O302" s="158">
        <f t="shared" si="229"/>
        <v>0</v>
      </c>
      <c r="P302" s="158">
        <f t="shared" si="92"/>
        <v>0</v>
      </c>
      <c r="Q302" s="158">
        <f t="shared" si="229"/>
        <v>386882</v>
      </c>
      <c r="R302" s="158">
        <f t="shared" si="229"/>
        <v>386882</v>
      </c>
      <c r="S302" s="158">
        <f t="shared" si="93"/>
        <v>0</v>
      </c>
      <c r="T302" s="158">
        <f t="shared" si="229"/>
        <v>0</v>
      </c>
      <c r="U302" s="158">
        <f t="shared" si="229"/>
        <v>0</v>
      </c>
      <c r="V302" s="158">
        <f t="shared" si="94"/>
        <v>0</v>
      </c>
      <c r="W302" s="158">
        <f t="shared" si="229"/>
        <v>0</v>
      </c>
      <c r="X302" s="158">
        <f t="shared" si="229"/>
        <v>0</v>
      </c>
      <c r="Y302" s="158">
        <f t="shared" si="95"/>
        <v>0</v>
      </c>
      <c r="Z302" s="158">
        <f t="shared" si="229"/>
        <v>0</v>
      </c>
      <c r="AA302" s="158">
        <f t="shared" si="229"/>
        <v>0</v>
      </c>
      <c r="AB302" s="158">
        <f t="shared" si="96"/>
        <v>0</v>
      </c>
      <c r="AC302" s="158">
        <f t="shared" si="229"/>
        <v>0</v>
      </c>
      <c r="AD302" s="158">
        <f t="shared" si="229"/>
        <v>0</v>
      </c>
      <c r="AE302" s="158">
        <f t="shared" si="97"/>
        <v>0</v>
      </c>
      <c r="AF302" s="159"/>
      <c r="AG302" s="159"/>
      <c r="AH302" s="159"/>
      <c r="AI302" s="159"/>
      <c r="AJ302" s="159"/>
      <c r="AK302" s="159"/>
      <c r="AL302" s="159"/>
      <c r="AM302" s="159"/>
      <c r="AN302" s="159"/>
      <c r="AO302" s="159"/>
      <c r="AP302" s="159"/>
      <c r="AQ302" s="159"/>
      <c r="AR302" s="159"/>
      <c r="AS302" s="159"/>
      <c r="AT302" s="159"/>
      <c r="AU302" s="159"/>
      <c r="AV302" s="159"/>
      <c r="AW302" s="159"/>
      <c r="AX302" s="159"/>
      <c r="AY302" s="159"/>
      <c r="AZ302" s="159"/>
      <c r="BA302" s="159"/>
      <c r="BB302" s="159"/>
      <c r="BC302" s="159"/>
      <c r="BD302" s="159"/>
      <c r="BE302" s="159"/>
      <c r="BF302" s="159"/>
      <c r="BG302" s="159"/>
      <c r="BH302" s="159"/>
      <c r="BI302" s="159"/>
      <c r="BJ302" s="159"/>
      <c r="BK302" s="159"/>
      <c r="BL302" s="159"/>
      <c r="BM302" s="159"/>
      <c r="BN302" s="159"/>
      <c r="BO302" s="159"/>
      <c r="BP302" s="159"/>
      <c r="BQ302" s="159"/>
      <c r="BR302" s="159"/>
      <c r="BS302" s="159"/>
      <c r="BT302" s="159"/>
      <c r="BU302" s="159"/>
      <c r="BV302" s="159"/>
      <c r="BW302" s="159"/>
      <c r="BX302" s="159"/>
      <c r="BY302" s="159"/>
      <c r="BZ302" s="159"/>
      <c r="CA302" s="159"/>
      <c r="CB302" s="159"/>
      <c r="CC302" s="159"/>
      <c r="CD302" s="159"/>
      <c r="CE302" s="159"/>
      <c r="CF302" s="159"/>
      <c r="CG302" s="159"/>
      <c r="CH302" s="159"/>
      <c r="CI302" s="159"/>
      <c r="CJ302" s="159"/>
      <c r="CK302" s="159"/>
      <c r="CL302" s="159"/>
      <c r="CM302" s="159"/>
      <c r="CN302" s="159"/>
      <c r="CO302" s="159"/>
      <c r="CP302" s="159"/>
      <c r="CQ302" s="159"/>
      <c r="CR302" s="159"/>
      <c r="CS302" s="159"/>
      <c r="CT302" s="159"/>
      <c r="CU302" s="159"/>
      <c r="CV302" s="159"/>
      <c r="CW302" s="159"/>
      <c r="CX302" s="159"/>
      <c r="CY302" s="159"/>
      <c r="CZ302" s="159"/>
      <c r="DA302" s="159"/>
      <c r="DB302" s="159"/>
      <c r="DC302" s="159"/>
      <c r="DD302" s="159"/>
      <c r="DE302" s="159"/>
      <c r="DF302" s="159"/>
      <c r="DG302" s="159"/>
      <c r="DH302" s="159"/>
      <c r="DI302" s="159"/>
      <c r="DJ302" s="159"/>
      <c r="DK302" s="159"/>
      <c r="DL302" s="159"/>
      <c r="DM302" s="159"/>
      <c r="DN302" s="159"/>
      <c r="DO302" s="159"/>
      <c r="DP302" s="159"/>
      <c r="DQ302" s="159"/>
      <c r="DR302" s="159"/>
      <c r="DS302" s="159"/>
      <c r="DT302" s="159"/>
      <c r="DU302" s="159"/>
      <c r="DV302" s="159"/>
      <c r="DW302" s="159"/>
      <c r="DX302" s="159"/>
      <c r="DY302" s="159"/>
      <c r="DZ302" s="159"/>
      <c r="EA302" s="159"/>
      <c r="EB302" s="159"/>
      <c r="EC302" s="159"/>
      <c r="ED302" s="159"/>
      <c r="EE302" s="159"/>
      <c r="EF302" s="159"/>
      <c r="EG302" s="159"/>
      <c r="EH302" s="159"/>
      <c r="EI302" s="159"/>
      <c r="EJ302" s="159"/>
      <c r="EK302" s="159"/>
      <c r="EL302" s="159"/>
      <c r="EM302" s="159"/>
      <c r="EN302" s="159"/>
      <c r="EO302" s="159"/>
      <c r="EP302" s="159"/>
      <c r="EQ302" s="159"/>
      <c r="ER302" s="159"/>
      <c r="ES302" s="159"/>
      <c r="ET302" s="159"/>
      <c r="EU302" s="159"/>
      <c r="EV302" s="159"/>
      <c r="EW302" s="159"/>
      <c r="EX302" s="159"/>
      <c r="EY302" s="159"/>
      <c r="EZ302" s="159"/>
      <c r="FA302" s="159"/>
      <c r="FB302" s="159"/>
      <c r="FC302" s="159"/>
      <c r="FD302" s="159"/>
      <c r="FE302" s="159"/>
      <c r="FF302" s="159"/>
      <c r="FG302" s="159"/>
      <c r="FH302" s="159"/>
      <c r="FI302" s="159"/>
      <c r="FJ302" s="159"/>
      <c r="FK302" s="159"/>
      <c r="FL302" s="159"/>
      <c r="FM302" s="159"/>
      <c r="FN302" s="159"/>
      <c r="FO302" s="159"/>
      <c r="FP302" s="159"/>
      <c r="FQ302" s="159"/>
      <c r="FR302" s="159"/>
      <c r="FS302" s="159"/>
      <c r="FT302" s="159"/>
      <c r="FU302" s="159"/>
      <c r="FV302" s="159"/>
      <c r="FW302" s="159"/>
      <c r="FX302" s="159"/>
      <c r="FY302" s="159"/>
      <c r="FZ302" s="159"/>
      <c r="GA302" s="159"/>
      <c r="GB302" s="159"/>
      <c r="GC302" s="159"/>
      <c r="GD302" s="159"/>
      <c r="GE302" s="159"/>
      <c r="GF302" s="159"/>
      <c r="GG302" s="159"/>
      <c r="GH302" s="159"/>
      <c r="GI302" s="159"/>
      <c r="GJ302" s="159"/>
    </row>
    <row r="303" spans="1:192" s="159" customFormat="1" ht="78.75" x14ac:dyDescent="0.25">
      <c r="A303" s="175" t="s">
        <v>472</v>
      </c>
      <c r="B303" s="168"/>
      <c r="C303" s="168"/>
      <c r="D303" s="168"/>
      <c r="E303" s="170">
        <f t="shared" si="168"/>
        <v>386882</v>
      </c>
      <c r="F303" s="170">
        <f t="shared" si="168"/>
        <v>386882</v>
      </c>
      <c r="G303" s="170">
        <f t="shared" si="168"/>
        <v>0</v>
      </c>
      <c r="H303" s="170"/>
      <c r="I303" s="170"/>
      <c r="J303" s="170">
        <f t="shared" si="177"/>
        <v>0</v>
      </c>
      <c r="K303" s="170"/>
      <c r="L303" s="170"/>
      <c r="M303" s="170">
        <f t="shared" si="91"/>
        <v>0</v>
      </c>
      <c r="N303" s="170">
        <v>0</v>
      </c>
      <c r="O303" s="170">
        <v>0</v>
      </c>
      <c r="P303" s="170">
        <f t="shared" si="92"/>
        <v>0</v>
      </c>
      <c r="Q303" s="170">
        <v>386882</v>
      </c>
      <c r="R303" s="170">
        <v>386882</v>
      </c>
      <c r="S303" s="170">
        <f t="shared" si="93"/>
        <v>0</v>
      </c>
      <c r="T303" s="170"/>
      <c r="U303" s="170"/>
      <c r="V303" s="170">
        <f t="shared" si="94"/>
        <v>0</v>
      </c>
      <c r="W303" s="170"/>
      <c r="X303" s="170"/>
      <c r="Y303" s="170">
        <f t="shared" si="95"/>
        <v>0</v>
      </c>
      <c r="Z303" s="170"/>
      <c r="AA303" s="170"/>
      <c r="AB303" s="170">
        <f t="shared" si="96"/>
        <v>0</v>
      </c>
      <c r="AC303" s="170"/>
      <c r="AD303" s="170"/>
      <c r="AE303" s="170">
        <f t="shared" si="97"/>
        <v>0</v>
      </c>
      <c r="FQ303" s="156"/>
      <c r="FR303" s="156"/>
      <c r="FS303" s="156"/>
      <c r="FT303" s="156"/>
      <c r="FU303" s="156"/>
      <c r="FV303" s="156"/>
      <c r="FW303" s="156"/>
      <c r="FX303" s="156"/>
      <c r="FY303" s="156"/>
      <c r="FZ303" s="156"/>
      <c r="GA303" s="156"/>
      <c r="GB303" s="156"/>
      <c r="GC303" s="156"/>
      <c r="GD303" s="156"/>
      <c r="GE303" s="156"/>
      <c r="GF303" s="156"/>
      <c r="GG303" s="156"/>
      <c r="GH303" s="156"/>
      <c r="GI303" s="156"/>
      <c r="GJ303" s="156"/>
    </row>
    <row r="304" spans="1:192" s="159" customFormat="1" ht="31.5" x14ac:dyDescent="0.25">
      <c r="A304" s="157" t="s">
        <v>373</v>
      </c>
      <c r="B304" s="166"/>
      <c r="C304" s="166"/>
      <c r="D304" s="166"/>
      <c r="E304" s="158">
        <f t="shared" si="168"/>
        <v>26490</v>
      </c>
      <c r="F304" s="158">
        <f t="shared" si="168"/>
        <v>21022</v>
      </c>
      <c r="G304" s="158">
        <f t="shared" si="168"/>
        <v>-5468</v>
      </c>
      <c r="H304" s="158">
        <f>SUM(H305:H310)</f>
        <v>0</v>
      </c>
      <c r="I304" s="158">
        <f>SUM(I305:I310)</f>
        <v>0</v>
      </c>
      <c r="J304" s="158">
        <f t="shared" si="177"/>
        <v>0</v>
      </c>
      <c r="K304" s="158">
        <f t="shared" ref="K304:L304" si="230">SUM(K305:K310)</f>
        <v>0</v>
      </c>
      <c r="L304" s="158">
        <f t="shared" si="230"/>
        <v>0</v>
      </c>
      <c r="M304" s="158">
        <f t="shared" si="91"/>
        <v>0</v>
      </c>
      <c r="N304" s="158">
        <f t="shared" ref="N304:O304" si="231">SUM(N305:N310)</f>
        <v>1461</v>
      </c>
      <c r="O304" s="158">
        <f t="shared" si="231"/>
        <v>1341</v>
      </c>
      <c r="P304" s="158">
        <f t="shared" si="92"/>
        <v>-120</v>
      </c>
      <c r="Q304" s="158">
        <f t="shared" ref="Q304:R304" si="232">SUM(Q305:Q310)</f>
        <v>5348</v>
      </c>
      <c r="R304" s="158">
        <f t="shared" si="232"/>
        <v>0</v>
      </c>
      <c r="S304" s="158">
        <f t="shared" si="93"/>
        <v>-5348</v>
      </c>
      <c r="T304" s="158">
        <f t="shared" ref="T304:U304" si="233">SUM(T305:T310)</f>
        <v>19681</v>
      </c>
      <c r="U304" s="158">
        <f t="shared" si="233"/>
        <v>19681</v>
      </c>
      <c r="V304" s="158">
        <f t="shared" si="94"/>
        <v>0</v>
      </c>
      <c r="W304" s="158">
        <f t="shared" ref="W304:X304" si="234">SUM(W305:W310)</f>
        <v>0</v>
      </c>
      <c r="X304" s="158">
        <f t="shared" si="234"/>
        <v>0</v>
      </c>
      <c r="Y304" s="158">
        <f t="shared" si="95"/>
        <v>0</v>
      </c>
      <c r="Z304" s="158">
        <f t="shared" ref="Z304:AA304" si="235">SUM(Z305:Z310)</f>
        <v>0</v>
      </c>
      <c r="AA304" s="158">
        <f t="shared" si="235"/>
        <v>0</v>
      </c>
      <c r="AB304" s="158">
        <f t="shared" si="96"/>
        <v>0</v>
      </c>
      <c r="AC304" s="158">
        <f t="shared" ref="AC304:AD304" si="236">SUM(AC305:AC310)</f>
        <v>0</v>
      </c>
      <c r="AD304" s="158">
        <f t="shared" si="236"/>
        <v>0</v>
      </c>
      <c r="AE304" s="158">
        <f t="shared" si="97"/>
        <v>0</v>
      </c>
    </row>
    <row r="305" spans="1:192" s="159" customFormat="1" ht="78.75" x14ac:dyDescent="0.25">
      <c r="A305" s="171" t="s">
        <v>473</v>
      </c>
      <c r="B305" s="168"/>
      <c r="C305" s="168"/>
      <c r="D305" s="168"/>
      <c r="E305" s="163">
        <f t="shared" si="168"/>
        <v>1600</v>
      </c>
      <c r="F305" s="163">
        <f t="shared" si="168"/>
        <v>0</v>
      </c>
      <c r="G305" s="163">
        <f t="shared" si="168"/>
        <v>-1600</v>
      </c>
      <c r="H305" s="163"/>
      <c r="I305" s="163"/>
      <c r="J305" s="163">
        <f t="shared" si="177"/>
        <v>0</v>
      </c>
      <c r="K305" s="163"/>
      <c r="L305" s="163"/>
      <c r="M305" s="163">
        <f t="shared" si="91"/>
        <v>0</v>
      </c>
      <c r="N305" s="163"/>
      <c r="O305" s="163"/>
      <c r="P305" s="163">
        <f t="shared" si="92"/>
        <v>0</v>
      </c>
      <c r="Q305" s="163">
        <v>1600</v>
      </c>
      <c r="R305" s="163">
        <v>0</v>
      </c>
      <c r="S305" s="163">
        <f t="shared" si="93"/>
        <v>-1600</v>
      </c>
      <c r="T305" s="163"/>
      <c r="U305" s="163"/>
      <c r="V305" s="163">
        <f t="shared" si="94"/>
        <v>0</v>
      </c>
      <c r="W305" s="163"/>
      <c r="X305" s="163"/>
      <c r="Y305" s="163">
        <f t="shared" si="95"/>
        <v>0</v>
      </c>
      <c r="Z305" s="163"/>
      <c r="AA305" s="163"/>
      <c r="AB305" s="163">
        <f t="shared" si="96"/>
        <v>0</v>
      </c>
      <c r="AC305" s="163"/>
      <c r="AD305" s="163"/>
      <c r="AE305" s="163">
        <f t="shared" si="97"/>
        <v>0</v>
      </c>
    </row>
    <row r="306" spans="1:192" s="156" customFormat="1" ht="63" x14ac:dyDescent="0.25">
      <c r="A306" s="171" t="s">
        <v>474</v>
      </c>
      <c r="B306" s="172"/>
      <c r="C306" s="172"/>
      <c r="D306" s="172"/>
      <c r="E306" s="174">
        <f t="shared" si="168"/>
        <v>3748</v>
      </c>
      <c r="F306" s="174">
        <f t="shared" si="168"/>
        <v>0</v>
      </c>
      <c r="G306" s="174">
        <f t="shared" si="168"/>
        <v>-3748</v>
      </c>
      <c r="H306" s="174"/>
      <c r="I306" s="174"/>
      <c r="J306" s="174">
        <f t="shared" si="177"/>
        <v>0</v>
      </c>
      <c r="K306" s="174"/>
      <c r="L306" s="174"/>
      <c r="M306" s="174">
        <f t="shared" si="91"/>
        <v>0</v>
      </c>
      <c r="N306" s="174"/>
      <c r="O306" s="174"/>
      <c r="P306" s="174">
        <f t="shared" si="92"/>
        <v>0</v>
      </c>
      <c r="Q306" s="174">
        <v>3748</v>
      </c>
      <c r="R306" s="174">
        <v>0</v>
      </c>
      <c r="S306" s="174">
        <f t="shared" si="93"/>
        <v>-3748</v>
      </c>
      <c r="T306" s="174"/>
      <c r="U306" s="174"/>
      <c r="V306" s="174">
        <f t="shared" si="94"/>
        <v>0</v>
      </c>
      <c r="W306" s="174"/>
      <c r="X306" s="174"/>
      <c r="Y306" s="174">
        <f t="shared" si="95"/>
        <v>0</v>
      </c>
      <c r="Z306" s="174"/>
      <c r="AA306" s="174"/>
      <c r="AB306" s="174">
        <f t="shared" si="96"/>
        <v>0</v>
      </c>
      <c r="AC306" s="174"/>
      <c r="AD306" s="174"/>
      <c r="AE306" s="174">
        <f t="shared" si="97"/>
        <v>0</v>
      </c>
      <c r="AF306" s="159"/>
      <c r="AG306" s="159"/>
      <c r="AH306" s="159"/>
      <c r="AI306" s="159"/>
      <c r="AJ306" s="159"/>
      <c r="AK306" s="159"/>
      <c r="AL306" s="159"/>
      <c r="AM306" s="159"/>
      <c r="AN306" s="159"/>
      <c r="AO306" s="159"/>
      <c r="AP306" s="159"/>
      <c r="AQ306" s="159"/>
      <c r="AR306" s="159"/>
      <c r="AS306" s="159"/>
      <c r="AT306" s="159"/>
      <c r="AU306" s="159"/>
      <c r="AV306" s="159"/>
      <c r="AW306" s="159"/>
      <c r="AX306" s="159"/>
      <c r="AY306" s="159"/>
      <c r="AZ306" s="159"/>
      <c r="BA306" s="159"/>
      <c r="BB306" s="159"/>
      <c r="BC306" s="159"/>
      <c r="BD306" s="159"/>
      <c r="BE306" s="159"/>
      <c r="BF306" s="159"/>
      <c r="BG306" s="159"/>
      <c r="BH306" s="159"/>
      <c r="BI306" s="159"/>
      <c r="BJ306" s="159"/>
      <c r="BK306" s="159"/>
      <c r="BL306" s="159"/>
      <c r="BM306" s="159"/>
      <c r="BN306" s="159"/>
      <c r="BO306" s="159"/>
      <c r="BP306" s="159"/>
      <c r="BQ306" s="159"/>
      <c r="BR306" s="159"/>
      <c r="BS306" s="159"/>
      <c r="BT306" s="159"/>
      <c r="BU306" s="159"/>
      <c r="BV306" s="159"/>
      <c r="BW306" s="159"/>
      <c r="BX306" s="159"/>
      <c r="BY306" s="159"/>
      <c r="BZ306" s="159"/>
      <c r="CA306" s="159"/>
      <c r="CB306" s="159"/>
      <c r="CC306" s="159"/>
      <c r="CD306" s="159"/>
      <c r="CE306" s="159"/>
      <c r="CF306" s="159"/>
      <c r="CG306" s="159"/>
      <c r="CH306" s="159"/>
      <c r="CI306" s="159"/>
      <c r="CJ306" s="159"/>
      <c r="CK306" s="159"/>
      <c r="CL306" s="159"/>
      <c r="CM306" s="159"/>
      <c r="CN306" s="159"/>
      <c r="CO306" s="159"/>
      <c r="CP306" s="159"/>
      <c r="CQ306" s="159"/>
      <c r="CR306" s="159"/>
      <c r="CS306" s="159"/>
      <c r="CT306" s="159"/>
      <c r="CU306" s="159"/>
      <c r="CV306" s="159"/>
      <c r="CW306" s="159"/>
      <c r="CX306" s="159"/>
      <c r="CY306" s="159"/>
      <c r="CZ306" s="159"/>
      <c r="DA306" s="159"/>
      <c r="DB306" s="159"/>
      <c r="DC306" s="159"/>
      <c r="DD306" s="159"/>
      <c r="DE306" s="159"/>
      <c r="DF306" s="159"/>
      <c r="DG306" s="159"/>
      <c r="DH306" s="159"/>
      <c r="DI306" s="159"/>
      <c r="DJ306" s="159"/>
      <c r="DK306" s="159"/>
      <c r="DL306" s="159"/>
      <c r="DM306" s="159"/>
      <c r="DN306" s="159"/>
      <c r="DO306" s="159"/>
      <c r="DP306" s="159"/>
      <c r="DQ306" s="159"/>
      <c r="DR306" s="159"/>
      <c r="DS306" s="159"/>
      <c r="DT306" s="159"/>
      <c r="DU306" s="159"/>
      <c r="DV306" s="159"/>
      <c r="DW306" s="159"/>
      <c r="DX306" s="159"/>
      <c r="DY306" s="159"/>
      <c r="DZ306" s="159"/>
      <c r="EA306" s="159"/>
      <c r="EB306" s="159"/>
      <c r="EC306" s="159"/>
      <c r="ED306" s="159"/>
      <c r="EE306" s="159"/>
      <c r="EF306" s="159"/>
      <c r="EG306" s="159"/>
      <c r="EH306" s="159"/>
      <c r="EI306" s="159"/>
      <c r="EJ306" s="159"/>
      <c r="EK306" s="159"/>
      <c r="EL306" s="159"/>
      <c r="EM306" s="159"/>
      <c r="EN306" s="159"/>
      <c r="EO306" s="159"/>
      <c r="EP306" s="159"/>
      <c r="EQ306" s="159"/>
      <c r="ER306" s="159"/>
      <c r="ES306" s="159"/>
      <c r="ET306" s="159"/>
      <c r="EU306" s="159"/>
      <c r="EV306" s="159"/>
      <c r="EW306" s="159"/>
      <c r="EX306" s="159"/>
      <c r="EY306" s="159"/>
      <c r="EZ306" s="159"/>
      <c r="FA306" s="159"/>
      <c r="FB306" s="159"/>
      <c r="FC306" s="159"/>
      <c r="FD306" s="159"/>
      <c r="FE306" s="159"/>
      <c r="FF306" s="159"/>
      <c r="FG306" s="159"/>
      <c r="FH306" s="159"/>
      <c r="FI306" s="159"/>
      <c r="FJ306" s="159"/>
      <c r="FK306" s="159"/>
      <c r="FL306" s="159"/>
      <c r="FM306" s="159"/>
      <c r="FN306" s="159"/>
      <c r="FO306" s="159"/>
      <c r="FP306" s="159"/>
      <c r="FQ306" s="159"/>
      <c r="FR306" s="159"/>
      <c r="FS306" s="159"/>
      <c r="FT306" s="159"/>
      <c r="FU306" s="159"/>
      <c r="FV306" s="159"/>
      <c r="FW306" s="159"/>
      <c r="FX306" s="159"/>
      <c r="FY306" s="159"/>
      <c r="FZ306" s="159"/>
      <c r="GA306" s="159"/>
      <c r="GB306" s="159"/>
      <c r="GC306" s="159"/>
      <c r="GD306" s="159"/>
      <c r="GE306" s="159"/>
      <c r="GF306" s="159"/>
      <c r="GG306" s="159"/>
      <c r="GH306" s="159"/>
      <c r="GI306" s="159"/>
      <c r="GJ306" s="159"/>
    </row>
    <row r="307" spans="1:192" s="159" customFormat="1" ht="47.25" x14ac:dyDescent="0.25">
      <c r="A307" s="167" t="s">
        <v>475</v>
      </c>
      <c r="B307" s="168">
        <v>1</v>
      </c>
      <c r="C307" s="168">
        <v>551</v>
      </c>
      <c r="D307" s="168">
        <v>5203</v>
      </c>
      <c r="E307" s="170">
        <f t="shared" si="168"/>
        <v>6414</v>
      </c>
      <c r="F307" s="170">
        <f t="shared" si="168"/>
        <v>6414</v>
      </c>
      <c r="G307" s="170">
        <f t="shared" si="168"/>
        <v>0</v>
      </c>
      <c r="H307" s="170"/>
      <c r="I307" s="170"/>
      <c r="J307" s="170">
        <f t="shared" si="177"/>
        <v>0</v>
      </c>
      <c r="K307" s="170"/>
      <c r="L307" s="170"/>
      <c r="M307" s="170">
        <f t="shared" si="91"/>
        <v>0</v>
      </c>
      <c r="N307" s="170"/>
      <c r="O307" s="170"/>
      <c r="P307" s="170">
        <f t="shared" si="92"/>
        <v>0</v>
      </c>
      <c r="Q307" s="170"/>
      <c r="R307" s="170"/>
      <c r="S307" s="170">
        <f t="shared" si="93"/>
        <v>0</v>
      </c>
      <c r="T307" s="170">
        <v>6414</v>
      </c>
      <c r="U307" s="170">
        <v>6414</v>
      </c>
      <c r="V307" s="170">
        <f t="shared" si="94"/>
        <v>0</v>
      </c>
      <c r="W307" s="170"/>
      <c r="X307" s="170"/>
      <c r="Y307" s="170">
        <f t="shared" si="95"/>
        <v>0</v>
      </c>
      <c r="Z307" s="170"/>
      <c r="AA307" s="170"/>
      <c r="AB307" s="170">
        <f t="shared" si="96"/>
        <v>0</v>
      </c>
      <c r="AC307" s="170"/>
      <c r="AD307" s="170"/>
      <c r="AE307" s="170">
        <f t="shared" si="97"/>
        <v>0</v>
      </c>
    </row>
    <row r="308" spans="1:192" s="159" customFormat="1" ht="31.5" x14ac:dyDescent="0.25">
      <c r="A308" s="167" t="s">
        <v>476</v>
      </c>
      <c r="B308" s="168">
        <v>1</v>
      </c>
      <c r="C308" s="168">
        <v>551</v>
      </c>
      <c r="D308" s="168">
        <v>5203</v>
      </c>
      <c r="E308" s="170">
        <f t="shared" si="168"/>
        <v>1461</v>
      </c>
      <c r="F308" s="170">
        <f t="shared" si="168"/>
        <v>1461</v>
      </c>
      <c r="G308" s="170">
        <f t="shared" si="168"/>
        <v>0</v>
      </c>
      <c r="H308" s="170"/>
      <c r="I308" s="170"/>
      <c r="J308" s="170">
        <f t="shared" si="177"/>
        <v>0</v>
      </c>
      <c r="K308" s="170"/>
      <c r="L308" s="170"/>
      <c r="M308" s="170">
        <f t="shared" si="91"/>
        <v>0</v>
      </c>
      <c r="N308" s="170"/>
      <c r="O308" s="170"/>
      <c r="P308" s="170">
        <f t="shared" si="92"/>
        <v>0</v>
      </c>
      <c r="Q308" s="170"/>
      <c r="R308" s="170"/>
      <c r="S308" s="170">
        <f t="shared" si="93"/>
        <v>0</v>
      </c>
      <c r="T308" s="170">
        <v>1461</v>
      </c>
      <c r="U308" s="170">
        <v>1461</v>
      </c>
      <c r="V308" s="170">
        <f t="shared" si="94"/>
        <v>0</v>
      </c>
      <c r="W308" s="170"/>
      <c r="X308" s="170"/>
      <c r="Y308" s="170">
        <f t="shared" si="95"/>
        <v>0</v>
      </c>
      <c r="Z308" s="170"/>
      <c r="AA308" s="170"/>
      <c r="AB308" s="170">
        <f t="shared" si="96"/>
        <v>0</v>
      </c>
      <c r="AC308" s="170"/>
      <c r="AD308" s="170"/>
      <c r="AE308" s="170">
        <f t="shared" si="97"/>
        <v>0</v>
      </c>
    </row>
    <row r="309" spans="1:192" s="159" customFormat="1" ht="31.5" x14ac:dyDescent="0.25">
      <c r="A309" s="167" t="s">
        <v>477</v>
      </c>
      <c r="B309" s="168">
        <v>2</v>
      </c>
      <c r="C309" s="168">
        <v>525</v>
      </c>
      <c r="D309" s="168">
        <v>5203</v>
      </c>
      <c r="E309" s="170">
        <f t="shared" si="168"/>
        <v>1461</v>
      </c>
      <c r="F309" s="170">
        <f t="shared" si="168"/>
        <v>1341</v>
      </c>
      <c r="G309" s="170">
        <f t="shared" si="168"/>
        <v>-120</v>
      </c>
      <c r="H309" s="170"/>
      <c r="I309" s="170"/>
      <c r="J309" s="170">
        <f t="shared" si="177"/>
        <v>0</v>
      </c>
      <c r="K309" s="170"/>
      <c r="L309" s="170"/>
      <c r="M309" s="170">
        <f t="shared" si="91"/>
        <v>0</v>
      </c>
      <c r="N309" s="170">
        <v>1461</v>
      </c>
      <c r="O309" s="170">
        <f>1461-120</f>
        <v>1341</v>
      </c>
      <c r="P309" s="170">
        <f t="shared" si="92"/>
        <v>-120</v>
      </c>
      <c r="Q309" s="170"/>
      <c r="R309" s="170"/>
      <c r="S309" s="170">
        <f t="shared" si="93"/>
        <v>0</v>
      </c>
      <c r="T309" s="170"/>
      <c r="U309" s="170"/>
      <c r="V309" s="170">
        <f t="shared" si="94"/>
        <v>0</v>
      </c>
      <c r="W309" s="170"/>
      <c r="X309" s="170"/>
      <c r="Y309" s="170">
        <f t="shared" si="95"/>
        <v>0</v>
      </c>
      <c r="Z309" s="170"/>
      <c r="AA309" s="170"/>
      <c r="AB309" s="170">
        <f t="shared" si="96"/>
        <v>0</v>
      </c>
      <c r="AC309" s="170"/>
      <c r="AD309" s="170"/>
      <c r="AE309" s="170">
        <f t="shared" si="97"/>
        <v>0</v>
      </c>
    </row>
    <row r="310" spans="1:192" s="159" customFormat="1" x14ac:dyDescent="0.25">
      <c r="A310" s="167" t="s">
        <v>478</v>
      </c>
      <c r="B310" s="168">
        <v>1</v>
      </c>
      <c r="C310" s="168">
        <v>530</v>
      </c>
      <c r="D310" s="168">
        <v>5203</v>
      </c>
      <c r="E310" s="170">
        <f t="shared" si="168"/>
        <v>11806</v>
      </c>
      <c r="F310" s="170">
        <f t="shared" si="168"/>
        <v>11806</v>
      </c>
      <c r="G310" s="170">
        <f t="shared" si="168"/>
        <v>0</v>
      </c>
      <c r="H310" s="170"/>
      <c r="I310" s="170"/>
      <c r="J310" s="170">
        <f t="shared" si="177"/>
        <v>0</v>
      </c>
      <c r="K310" s="170"/>
      <c r="L310" s="170"/>
      <c r="M310" s="170">
        <f t="shared" si="91"/>
        <v>0</v>
      </c>
      <c r="N310" s="170"/>
      <c r="O310" s="170"/>
      <c r="P310" s="170">
        <f t="shared" si="92"/>
        <v>0</v>
      </c>
      <c r="Q310" s="170"/>
      <c r="R310" s="170"/>
      <c r="S310" s="170">
        <f t="shared" si="93"/>
        <v>0</v>
      </c>
      <c r="T310" s="170">
        <v>11806</v>
      </c>
      <c r="U310" s="170">
        <v>11806</v>
      </c>
      <c r="V310" s="170">
        <f t="shared" si="94"/>
        <v>0</v>
      </c>
      <c r="W310" s="170"/>
      <c r="X310" s="170"/>
      <c r="Y310" s="170">
        <f t="shared" si="95"/>
        <v>0</v>
      </c>
      <c r="Z310" s="170"/>
      <c r="AA310" s="170"/>
      <c r="AB310" s="170">
        <f t="shared" si="96"/>
        <v>0</v>
      </c>
      <c r="AC310" s="170"/>
      <c r="AD310" s="170"/>
      <c r="AE310" s="170">
        <f t="shared" si="97"/>
        <v>0</v>
      </c>
    </row>
    <row r="311" spans="1:192" s="159" customFormat="1" x14ac:dyDescent="0.25">
      <c r="A311" s="157" t="s">
        <v>377</v>
      </c>
      <c r="B311" s="166"/>
      <c r="C311" s="166"/>
      <c r="D311" s="166"/>
      <c r="E311" s="158">
        <f t="shared" si="168"/>
        <v>211283</v>
      </c>
      <c r="F311" s="158">
        <f t="shared" si="168"/>
        <v>103978</v>
      </c>
      <c r="G311" s="158">
        <f t="shared" si="168"/>
        <v>-107305</v>
      </c>
      <c r="H311" s="158">
        <f t="shared" ref="H311:AD311" si="237">SUM(H312:H315)</f>
        <v>0</v>
      </c>
      <c r="I311" s="158">
        <f t="shared" si="237"/>
        <v>0</v>
      </c>
      <c r="J311" s="158">
        <f t="shared" si="177"/>
        <v>0</v>
      </c>
      <c r="K311" s="158">
        <f t="shared" ref="K311" si="238">SUM(K312:K315)</f>
        <v>0</v>
      </c>
      <c r="L311" s="158">
        <f t="shared" si="237"/>
        <v>0</v>
      </c>
      <c r="M311" s="158">
        <f t="shared" si="91"/>
        <v>0</v>
      </c>
      <c r="N311" s="158">
        <f t="shared" ref="N311" si="239">SUM(N312:N315)</f>
        <v>29295</v>
      </c>
      <c r="O311" s="158">
        <f t="shared" si="237"/>
        <v>29295</v>
      </c>
      <c r="P311" s="158">
        <f t="shared" si="92"/>
        <v>0</v>
      </c>
      <c r="Q311" s="158">
        <f t="shared" ref="Q311" si="240">SUM(Q312:Q315)</f>
        <v>181988</v>
      </c>
      <c r="R311" s="158">
        <f t="shared" si="237"/>
        <v>74683</v>
      </c>
      <c r="S311" s="158">
        <f t="shared" si="93"/>
        <v>-107305</v>
      </c>
      <c r="T311" s="158">
        <f t="shared" ref="T311" si="241">SUM(T312:T315)</f>
        <v>0</v>
      </c>
      <c r="U311" s="158">
        <f t="shared" si="237"/>
        <v>0</v>
      </c>
      <c r="V311" s="158">
        <f t="shared" si="94"/>
        <v>0</v>
      </c>
      <c r="W311" s="158">
        <f t="shared" ref="W311" si="242">SUM(W312:W315)</f>
        <v>0</v>
      </c>
      <c r="X311" s="158">
        <f t="shared" si="237"/>
        <v>0</v>
      </c>
      <c r="Y311" s="158">
        <f t="shared" si="95"/>
        <v>0</v>
      </c>
      <c r="Z311" s="158">
        <f t="shared" ref="Z311" si="243">SUM(Z312:Z315)</f>
        <v>0</v>
      </c>
      <c r="AA311" s="158">
        <f t="shared" si="237"/>
        <v>0</v>
      </c>
      <c r="AB311" s="158">
        <f t="shared" si="96"/>
        <v>0</v>
      </c>
      <c r="AC311" s="158">
        <f t="shared" ref="AC311" si="244">SUM(AC312:AC315)</f>
        <v>0</v>
      </c>
      <c r="AD311" s="158">
        <f t="shared" si="237"/>
        <v>0</v>
      </c>
      <c r="AE311" s="158">
        <f t="shared" si="97"/>
        <v>0</v>
      </c>
    </row>
    <row r="312" spans="1:192" s="156" customFormat="1" ht="94.5" x14ac:dyDescent="0.25">
      <c r="A312" s="171" t="s">
        <v>479</v>
      </c>
      <c r="B312" s="172"/>
      <c r="C312" s="172"/>
      <c r="D312" s="172"/>
      <c r="E312" s="174">
        <f t="shared" si="168"/>
        <v>75000</v>
      </c>
      <c r="F312" s="174">
        <f t="shared" si="168"/>
        <v>74683</v>
      </c>
      <c r="G312" s="174">
        <f t="shared" si="168"/>
        <v>-317</v>
      </c>
      <c r="H312" s="174"/>
      <c r="I312" s="174"/>
      <c r="J312" s="174">
        <f t="shared" si="177"/>
        <v>0</v>
      </c>
      <c r="K312" s="174"/>
      <c r="L312" s="174"/>
      <c r="M312" s="174">
        <f t="shared" si="91"/>
        <v>0</v>
      </c>
      <c r="N312" s="174"/>
      <c r="O312" s="174"/>
      <c r="P312" s="174">
        <f t="shared" si="92"/>
        <v>0</v>
      </c>
      <c r="Q312" s="174">
        <v>75000</v>
      </c>
      <c r="R312" s="174">
        <v>74683</v>
      </c>
      <c r="S312" s="174">
        <f t="shared" si="93"/>
        <v>-317</v>
      </c>
      <c r="T312" s="174"/>
      <c r="U312" s="174"/>
      <c r="V312" s="174">
        <f t="shared" si="94"/>
        <v>0</v>
      </c>
      <c r="W312" s="174"/>
      <c r="X312" s="174"/>
      <c r="Y312" s="174">
        <f t="shared" si="95"/>
        <v>0</v>
      </c>
      <c r="Z312" s="174"/>
      <c r="AA312" s="174"/>
      <c r="AB312" s="174">
        <f t="shared" si="96"/>
        <v>0</v>
      </c>
      <c r="AC312" s="174"/>
      <c r="AD312" s="174"/>
      <c r="AE312" s="174">
        <f t="shared" si="97"/>
        <v>0</v>
      </c>
      <c r="AF312" s="159"/>
      <c r="AG312" s="159"/>
      <c r="AH312" s="159"/>
      <c r="AI312" s="159"/>
      <c r="AJ312" s="159"/>
      <c r="AK312" s="159"/>
      <c r="AL312" s="159"/>
      <c r="AM312" s="159"/>
      <c r="AN312" s="159"/>
      <c r="AO312" s="159"/>
      <c r="AP312" s="159"/>
      <c r="AQ312" s="159"/>
      <c r="AR312" s="159"/>
      <c r="AS312" s="159"/>
      <c r="AT312" s="159"/>
      <c r="AU312" s="159"/>
      <c r="AV312" s="159"/>
      <c r="AW312" s="159"/>
      <c r="AX312" s="159"/>
      <c r="AY312" s="159"/>
      <c r="AZ312" s="159"/>
      <c r="BA312" s="159"/>
      <c r="BB312" s="159"/>
      <c r="BC312" s="159"/>
      <c r="BD312" s="159"/>
      <c r="BE312" s="159"/>
      <c r="BF312" s="159"/>
      <c r="BG312" s="159"/>
      <c r="BH312" s="159"/>
      <c r="BI312" s="159"/>
      <c r="BJ312" s="159"/>
      <c r="BK312" s="159"/>
      <c r="BL312" s="159"/>
      <c r="BM312" s="159"/>
      <c r="BN312" s="159"/>
      <c r="BO312" s="159"/>
      <c r="BP312" s="159"/>
      <c r="BQ312" s="159"/>
      <c r="BR312" s="159"/>
      <c r="BS312" s="159"/>
      <c r="BT312" s="159"/>
      <c r="BU312" s="159"/>
      <c r="BV312" s="159"/>
      <c r="BW312" s="159"/>
      <c r="BX312" s="159"/>
      <c r="BY312" s="159"/>
      <c r="BZ312" s="159"/>
      <c r="CA312" s="159"/>
      <c r="CB312" s="159"/>
      <c r="CC312" s="159"/>
      <c r="CD312" s="159"/>
      <c r="CE312" s="159"/>
      <c r="CF312" s="159"/>
      <c r="CG312" s="159"/>
      <c r="CH312" s="159"/>
      <c r="CI312" s="159"/>
      <c r="CJ312" s="159"/>
      <c r="CK312" s="159"/>
      <c r="CL312" s="159"/>
      <c r="CM312" s="159"/>
      <c r="CN312" s="159"/>
      <c r="CO312" s="159"/>
      <c r="CP312" s="159"/>
      <c r="CQ312" s="159"/>
      <c r="CR312" s="159"/>
      <c r="CS312" s="159"/>
      <c r="CT312" s="159"/>
      <c r="CU312" s="159"/>
      <c r="CV312" s="159"/>
      <c r="CW312" s="159"/>
      <c r="CX312" s="159"/>
      <c r="CY312" s="159"/>
      <c r="CZ312" s="159"/>
      <c r="DA312" s="159"/>
      <c r="DB312" s="159"/>
      <c r="DC312" s="159"/>
      <c r="DD312" s="159"/>
      <c r="DE312" s="159"/>
      <c r="DF312" s="159"/>
      <c r="DG312" s="159"/>
      <c r="DH312" s="159"/>
      <c r="DI312" s="159"/>
      <c r="DJ312" s="159"/>
      <c r="DK312" s="159"/>
      <c r="DL312" s="159"/>
      <c r="DM312" s="159"/>
      <c r="DN312" s="159"/>
      <c r="DO312" s="159"/>
      <c r="DP312" s="159"/>
      <c r="DQ312" s="159"/>
      <c r="DR312" s="159"/>
      <c r="DS312" s="159"/>
      <c r="DT312" s="159"/>
      <c r="DU312" s="159"/>
      <c r="DV312" s="159"/>
      <c r="DW312" s="159"/>
      <c r="DX312" s="159"/>
      <c r="DY312" s="159"/>
      <c r="DZ312" s="159"/>
      <c r="EA312" s="159"/>
      <c r="EB312" s="159"/>
      <c r="EC312" s="159"/>
      <c r="ED312" s="159"/>
      <c r="EE312" s="159"/>
      <c r="EF312" s="159"/>
      <c r="EG312" s="159"/>
      <c r="EH312" s="159"/>
      <c r="EI312" s="159"/>
      <c r="EJ312" s="159"/>
      <c r="EK312" s="159"/>
      <c r="EL312" s="159"/>
      <c r="EM312" s="159"/>
      <c r="EN312" s="159"/>
      <c r="EO312" s="159"/>
      <c r="EP312" s="159"/>
      <c r="EQ312" s="159"/>
      <c r="ER312" s="159"/>
      <c r="ES312" s="159"/>
      <c r="ET312" s="159"/>
      <c r="EU312" s="159"/>
      <c r="EV312" s="159"/>
      <c r="EW312" s="159"/>
      <c r="EX312" s="159"/>
      <c r="EY312" s="159"/>
      <c r="EZ312" s="159"/>
      <c r="FA312" s="159"/>
      <c r="FB312" s="159"/>
      <c r="FC312" s="159"/>
      <c r="FD312" s="159"/>
      <c r="FE312" s="159"/>
      <c r="FF312" s="159"/>
      <c r="FG312" s="159"/>
      <c r="FH312" s="159"/>
      <c r="FI312" s="159"/>
      <c r="FJ312" s="159"/>
      <c r="FK312" s="159"/>
      <c r="FL312" s="159"/>
      <c r="FM312" s="159"/>
      <c r="FN312" s="159"/>
      <c r="FO312" s="159"/>
      <c r="FP312" s="159"/>
      <c r="FQ312" s="159"/>
      <c r="FR312" s="159"/>
      <c r="FS312" s="159"/>
      <c r="FT312" s="159"/>
      <c r="FU312" s="159"/>
      <c r="FV312" s="159"/>
      <c r="FW312" s="159"/>
      <c r="FX312" s="159"/>
      <c r="FY312" s="159"/>
      <c r="FZ312" s="159"/>
      <c r="GA312" s="159"/>
      <c r="GB312" s="159"/>
      <c r="GC312" s="159"/>
      <c r="GD312" s="159"/>
      <c r="GE312" s="159"/>
      <c r="GF312" s="159"/>
      <c r="GG312" s="159"/>
      <c r="GH312" s="159"/>
      <c r="GI312" s="159"/>
      <c r="GJ312" s="159"/>
    </row>
    <row r="313" spans="1:192" s="159" customFormat="1" ht="31.5" x14ac:dyDescent="0.25">
      <c r="A313" s="171" t="s">
        <v>480</v>
      </c>
      <c r="B313" s="168">
        <v>2</v>
      </c>
      <c r="C313" s="168">
        <v>524</v>
      </c>
      <c r="D313" s="168">
        <v>524</v>
      </c>
      <c r="E313" s="163">
        <f t="shared" si="168"/>
        <v>29295</v>
      </c>
      <c r="F313" s="163">
        <f t="shared" si="168"/>
        <v>29295</v>
      </c>
      <c r="G313" s="163">
        <f t="shared" si="168"/>
        <v>0</v>
      </c>
      <c r="H313" s="163"/>
      <c r="I313" s="163"/>
      <c r="J313" s="163">
        <f t="shared" si="177"/>
        <v>0</v>
      </c>
      <c r="K313" s="163"/>
      <c r="L313" s="163"/>
      <c r="M313" s="163">
        <f t="shared" si="91"/>
        <v>0</v>
      </c>
      <c r="N313" s="163">
        <v>29295</v>
      </c>
      <c r="O313" s="163">
        <v>29295</v>
      </c>
      <c r="P313" s="163">
        <f t="shared" si="92"/>
        <v>0</v>
      </c>
      <c r="Q313" s="163"/>
      <c r="R313" s="163"/>
      <c r="S313" s="163">
        <f t="shared" si="93"/>
        <v>0</v>
      </c>
      <c r="T313" s="163"/>
      <c r="U313" s="163"/>
      <c r="V313" s="163">
        <f t="shared" si="94"/>
        <v>0</v>
      </c>
      <c r="W313" s="163"/>
      <c r="X313" s="163"/>
      <c r="Y313" s="163">
        <f t="shared" si="95"/>
        <v>0</v>
      </c>
      <c r="Z313" s="163"/>
      <c r="AA313" s="163"/>
      <c r="AB313" s="163">
        <f t="shared" si="96"/>
        <v>0</v>
      </c>
      <c r="AC313" s="163"/>
      <c r="AD313" s="163"/>
      <c r="AE313" s="163">
        <f t="shared" si="97"/>
        <v>0</v>
      </c>
    </row>
    <row r="314" spans="1:192" s="159" customFormat="1" ht="78.75" x14ac:dyDescent="0.25">
      <c r="A314" s="171" t="s">
        <v>481</v>
      </c>
      <c r="B314" s="168"/>
      <c r="C314" s="168"/>
      <c r="D314" s="168"/>
      <c r="E314" s="163">
        <f t="shared" si="168"/>
        <v>29988</v>
      </c>
      <c r="F314" s="163">
        <f t="shared" si="168"/>
        <v>0</v>
      </c>
      <c r="G314" s="163">
        <f t="shared" si="168"/>
        <v>-29988</v>
      </c>
      <c r="H314" s="163"/>
      <c r="I314" s="163"/>
      <c r="J314" s="163">
        <f t="shared" si="177"/>
        <v>0</v>
      </c>
      <c r="K314" s="163"/>
      <c r="L314" s="163"/>
      <c r="M314" s="163">
        <f t="shared" si="91"/>
        <v>0</v>
      </c>
      <c r="N314" s="163"/>
      <c r="O314" s="163"/>
      <c r="P314" s="163">
        <f t="shared" si="92"/>
        <v>0</v>
      </c>
      <c r="Q314" s="163">
        <f>29970+18</f>
        <v>29988</v>
      </c>
      <c r="R314" s="163">
        <v>0</v>
      </c>
      <c r="S314" s="163">
        <f t="shared" si="93"/>
        <v>-29988</v>
      </c>
      <c r="T314" s="163"/>
      <c r="U314" s="163"/>
      <c r="V314" s="163">
        <f t="shared" si="94"/>
        <v>0</v>
      </c>
      <c r="W314" s="163"/>
      <c r="X314" s="163"/>
      <c r="Y314" s="163">
        <f t="shared" si="95"/>
        <v>0</v>
      </c>
      <c r="Z314" s="163"/>
      <c r="AA314" s="163"/>
      <c r="AB314" s="163">
        <f t="shared" si="96"/>
        <v>0</v>
      </c>
      <c r="AC314" s="163"/>
      <c r="AD314" s="163"/>
      <c r="AE314" s="163">
        <f t="shared" si="97"/>
        <v>0</v>
      </c>
    </row>
    <row r="315" spans="1:192" s="156" customFormat="1" ht="63" x14ac:dyDescent="0.25">
      <c r="A315" s="171" t="s">
        <v>482</v>
      </c>
      <c r="B315" s="172"/>
      <c r="C315" s="172"/>
      <c r="D315" s="172"/>
      <c r="E315" s="174">
        <f t="shared" si="168"/>
        <v>77000</v>
      </c>
      <c r="F315" s="174">
        <f t="shared" si="168"/>
        <v>0</v>
      </c>
      <c r="G315" s="174">
        <f t="shared" si="168"/>
        <v>-77000</v>
      </c>
      <c r="H315" s="174"/>
      <c r="I315" s="174"/>
      <c r="J315" s="174">
        <f t="shared" si="177"/>
        <v>0</v>
      </c>
      <c r="K315" s="174"/>
      <c r="L315" s="174"/>
      <c r="M315" s="174">
        <f t="shared" si="91"/>
        <v>0</v>
      </c>
      <c r="N315" s="174"/>
      <c r="O315" s="174"/>
      <c r="P315" s="174">
        <f t="shared" si="92"/>
        <v>0</v>
      </c>
      <c r="Q315" s="174">
        <v>77000</v>
      </c>
      <c r="R315" s="174">
        <v>0</v>
      </c>
      <c r="S315" s="174">
        <f t="shared" si="93"/>
        <v>-77000</v>
      </c>
      <c r="T315" s="174"/>
      <c r="U315" s="174"/>
      <c r="V315" s="174">
        <f t="shared" si="94"/>
        <v>0</v>
      </c>
      <c r="W315" s="174"/>
      <c r="X315" s="174"/>
      <c r="Y315" s="174">
        <f t="shared" si="95"/>
        <v>0</v>
      </c>
      <c r="Z315" s="174"/>
      <c r="AA315" s="174"/>
      <c r="AB315" s="174">
        <f t="shared" si="96"/>
        <v>0</v>
      </c>
      <c r="AC315" s="174"/>
      <c r="AD315" s="174"/>
      <c r="AE315" s="174">
        <f t="shared" si="97"/>
        <v>0</v>
      </c>
      <c r="AF315" s="159"/>
      <c r="AG315" s="159"/>
      <c r="AH315" s="159"/>
      <c r="AI315" s="159"/>
      <c r="AJ315" s="159"/>
      <c r="AK315" s="159"/>
      <c r="AL315" s="159"/>
      <c r="AM315" s="159"/>
      <c r="AN315" s="159"/>
      <c r="AO315" s="159"/>
      <c r="AP315" s="159"/>
      <c r="AQ315" s="159"/>
      <c r="AR315" s="159"/>
      <c r="AS315" s="159"/>
      <c r="AT315" s="159"/>
      <c r="AU315" s="159"/>
      <c r="AV315" s="159"/>
      <c r="AW315" s="159"/>
      <c r="AX315" s="159"/>
      <c r="AY315" s="159"/>
      <c r="AZ315" s="159"/>
      <c r="BA315" s="159"/>
      <c r="BB315" s="159"/>
      <c r="BC315" s="159"/>
      <c r="BD315" s="159"/>
      <c r="BE315" s="159"/>
      <c r="BF315" s="159"/>
      <c r="BG315" s="159"/>
      <c r="BH315" s="159"/>
      <c r="BI315" s="159"/>
      <c r="BJ315" s="159"/>
      <c r="BK315" s="159"/>
      <c r="BL315" s="159"/>
      <c r="BM315" s="159"/>
      <c r="BN315" s="159"/>
      <c r="BO315" s="159"/>
      <c r="BP315" s="159"/>
      <c r="BQ315" s="159"/>
      <c r="BR315" s="159"/>
      <c r="BS315" s="159"/>
      <c r="BT315" s="159"/>
      <c r="BU315" s="159"/>
      <c r="BV315" s="159"/>
      <c r="BW315" s="159"/>
      <c r="BX315" s="159"/>
      <c r="BY315" s="159"/>
      <c r="BZ315" s="159"/>
      <c r="CA315" s="159"/>
      <c r="CB315" s="159"/>
      <c r="CC315" s="159"/>
      <c r="CD315" s="159"/>
      <c r="CE315" s="159"/>
      <c r="CF315" s="159"/>
      <c r="CG315" s="159"/>
      <c r="CH315" s="159"/>
      <c r="CI315" s="159"/>
      <c r="CJ315" s="159"/>
      <c r="CK315" s="159"/>
      <c r="CL315" s="159"/>
      <c r="CM315" s="159"/>
      <c r="CN315" s="159"/>
      <c r="CO315" s="159"/>
      <c r="CP315" s="159"/>
      <c r="CQ315" s="159"/>
      <c r="CR315" s="159"/>
      <c r="CS315" s="159"/>
      <c r="CT315" s="159"/>
      <c r="CU315" s="159"/>
      <c r="CV315" s="159"/>
      <c r="CW315" s="159"/>
      <c r="CX315" s="159"/>
      <c r="CY315" s="159"/>
      <c r="CZ315" s="159"/>
      <c r="DA315" s="159"/>
      <c r="DB315" s="159"/>
      <c r="DC315" s="159"/>
      <c r="DD315" s="159"/>
      <c r="DE315" s="159"/>
      <c r="DF315" s="159"/>
      <c r="DG315" s="159"/>
      <c r="DH315" s="159"/>
      <c r="DI315" s="159"/>
      <c r="DJ315" s="159"/>
      <c r="DK315" s="159"/>
      <c r="DL315" s="159"/>
      <c r="DM315" s="159"/>
      <c r="DN315" s="159"/>
      <c r="DO315" s="159"/>
      <c r="DP315" s="159"/>
      <c r="DQ315" s="159"/>
      <c r="DR315" s="159"/>
      <c r="DS315" s="159"/>
      <c r="DT315" s="159"/>
      <c r="DU315" s="159"/>
      <c r="DV315" s="159"/>
      <c r="DW315" s="159"/>
      <c r="DX315" s="159"/>
      <c r="DY315" s="159"/>
      <c r="DZ315" s="159"/>
      <c r="EA315" s="159"/>
      <c r="EB315" s="159"/>
      <c r="EC315" s="159"/>
      <c r="ED315" s="159"/>
      <c r="EE315" s="159"/>
      <c r="EF315" s="159"/>
      <c r="EG315" s="159"/>
      <c r="EH315" s="159"/>
      <c r="EI315" s="159"/>
      <c r="EJ315" s="159"/>
      <c r="EK315" s="159"/>
      <c r="EL315" s="159"/>
      <c r="EM315" s="159"/>
      <c r="EN315" s="159"/>
      <c r="EO315" s="159"/>
      <c r="EP315" s="159"/>
      <c r="EQ315" s="159"/>
      <c r="ER315" s="159"/>
      <c r="ES315" s="159"/>
      <c r="ET315" s="159"/>
      <c r="EU315" s="159"/>
      <c r="EV315" s="159"/>
      <c r="EW315" s="159"/>
      <c r="EX315" s="159"/>
      <c r="EY315" s="159"/>
      <c r="EZ315" s="159"/>
      <c r="FA315" s="159"/>
      <c r="FB315" s="159"/>
      <c r="FC315" s="159"/>
      <c r="FD315" s="159"/>
      <c r="FE315" s="159"/>
      <c r="FF315" s="159"/>
      <c r="FG315" s="159"/>
      <c r="FH315" s="159"/>
      <c r="FI315" s="159"/>
      <c r="FJ315" s="159"/>
      <c r="FK315" s="159"/>
      <c r="FL315" s="159"/>
      <c r="FM315" s="159"/>
      <c r="FN315" s="159"/>
      <c r="FO315" s="159"/>
      <c r="FP315" s="159"/>
      <c r="FQ315" s="159"/>
      <c r="FR315" s="159"/>
      <c r="FS315" s="159"/>
      <c r="FT315" s="159"/>
      <c r="FU315" s="159"/>
      <c r="FV315" s="159"/>
      <c r="FW315" s="159"/>
      <c r="FX315" s="159"/>
      <c r="FY315" s="159"/>
      <c r="FZ315" s="159"/>
      <c r="GA315" s="159"/>
      <c r="GB315" s="159"/>
      <c r="GC315" s="159"/>
      <c r="GD315" s="159"/>
      <c r="GE315" s="159"/>
      <c r="GF315" s="159"/>
      <c r="GG315" s="159"/>
      <c r="GH315" s="159"/>
      <c r="GI315" s="159"/>
      <c r="GJ315" s="159"/>
    </row>
    <row r="316" spans="1:192" s="159" customFormat="1" x14ac:dyDescent="0.25">
      <c r="A316" s="157" t="s">
        <v>379</v>
      </c>
      <c r="B316" s="166"/>
      <c r="C316" s="166"/>
      <c r="D316" s="166"/>
      <c r="E316" s="158">
        <f t="shared" si="168"/>
        <v>35155</v>
      </c>
      <c r="F316" s="158">
        <f t="shared" si="168"/>
        <v>33755</v>
      </c>
      <c r="G316" s="158">
        <f t="shared" si="168"/>
        <v>-1400</v>
      </c>
      <c r="H316" s="158">
        <f>SUM(H317:H319)</f>
        <v>0</v>
      </c>
      <c r="I316" s="158">
        <f>SUM(I317:I319)</f>
        <v>0</v>
      </c>
      <c r="J316" s="158">
        <f t="shared" si="177"/>
        <v>0</v>
      </c>
      <c r="K316" s="158">
        <f>SUM(K317:K319)</f>
        <v>0</v>
      </c>
      <c r="L316" s="158">
        <f>SUM(L317:L319)</f>
        <v>0</v>
      </c>
      <c r="M316" s="158">
        <f t="shared" si="91"/>
        <v>0</v>
      </c>
      <c r="N316" s="158">
        <f>SUM(N317:N319)</f>
        <v>0</v>
      </c>
      <c r="O316" s="158">
        <f>SUM(O317:O319)</f>
        <v>0</v>
      </c>
      <c r="P316" s="158">
        <f t="shared" si="92"/>
        <v>0</v>
      </c>
      <c r="Q316" s="158">
        <f>SUM(Q317:Q319)</f>
        <v>33238</v>
      </c>
      <c r="R316" s="158">
        <f>SUM(R317:R319)</f>
        <v>31838</v>
      </c>
      <c r="S316" s="158">
        <f t="shared" si="93"/>
        <v>-1400</v>
      </c>
      <c r="T316" s="158">
        <f>SUM(T317:T319)</f>
        <v>1917</v>
      </c>
      <c r="U316" s="158">
        <f>SUM(U317:U319)</f>
        <v>1917</v>
      </c>
      <c r="V316" s="158">
        <f t="shared" si="94"/>
        <v>0</v>
      </c>
      <c r="W316" s="158">
        <f>SUM(W317:W319)</f>
        <v>0</v>
      </c>
      <c r="X316" s="158">
        <f>SUM(X317:X319)</f>
        <v>0</v>
      </c>
      <c r="Y316" s="158">
        <f t="shared" si="95"/>
        <v>0</v>
      </c>
      <c r="Z316" s="158">
        <f>SUM(Z317:Z319)</f>
        <v>0</v>
      </c>
      <c r="AA316" s="158">
        <f>SUM(AA317:AA319)</f>
        <v>0</v>
      </c>
      <c r="AB316" s="158">
        <f t="shared" si="96"/>
        <v>0</v>
      </c>
      <c r="AC316" s="158">
        <f>SUM(AC317:AC319)</f>
        <v>0</v>
      </c>
      <c r="AD316" s="158">
        <f>SUM(AD317:AD319)</f>
        <v>0</v>
      </c>
      <c r="AE316" s="158">
        <f t="shared" si="97"/>
        <v>0</v>
      </c>
      <c r="AF316" s="156"/>
      <c r="AG316" s="156"/>
      <c r="AH316" s="156"/>
      <c r="AI316" s="156"/>
      <c r="AJ316" s="156"/>
      <c r="AK316" s="156"/>
      <c r="AL316" s="156"/>
      <c r="AM316" s="156"/>
      <c r="AN316" s="156"/>
      <c r="AO316" s="156"/>
      <c r="AP316" s="156"/>
      <c r="AQ316" s="156"/>
      <c r="AR316" s="156"/>
      <c r="AS316" s="156"/>
      <c r="AT316" s="156"/>
      <c r="AU316" s="156"/>
      <c r="AV316" s="156"/>
      <c r="AW316" s="156"/>
      <c r="AX316" s="156"/>
      <c r="AY316" s="156"/>
      <c r="AZ316" s="156"/>
      <c r="BA316" s="156"/>
      <c r="BB316" s="156"/>
      <c r="BC316" s="156"/>
      <c r="BD316" s="156"/>
      <c r="BE316" s="156"/>
      <c r="BF316" s="156"/>
      <c r="BG316" s="156"/>
      <c r="BH316" s="156"/>
      <c r="BI316" s="156"/>
      <c r="BJ316" s="156"/>
      <c r="BK316" s="156"/>
      <c r="BL316" s="156"/>
      <c r="BM316" s="156"/>
      <c r="BN316" s="156"/>
      <c r="BO316" s="156"/>
      <c r="BP316" s="156"/>
      <c r="BQ316" s="156"/>
      <c r="BR316" s="156"/>
      <c r="BS316" s="156"/>
      <c r="BT316" s="156"/>
      <c r="BU316" s="156"/>
      <c r="BV316" s="156"/>
      <c r="BW316" s="156"/>
      <c r="BX316" s="156"/>
      <c r="BY316" s="156"/>
      <c r="BZ316" s="156"/>
      <c r="CA316" s="156"/>
      <c r="CB316" s="156"/>
      <c r="CC316" s="156"/>
      <c r="CD316" s="156"/>
      <c r="CE316" s="156"/>
      <c r="CF316" s="156"/>
      <c r="CG316" s="156"/>
      <c r="CH316" s="156"/>
      <c r="CI316" s="156"/>
      <c r="CJ316" s="156"/>
      <c r="CK316" s="156"/>
      <c r="CL316" s="156"/>
      <c r="CM316" s="156"/>
      <c r="CN316" s="156"/>
      <c r="CO316" s="156"/>
      <c r="CP316" s="156"/>
      <c r="CQ316" s="156"/>
      <c r="CR316" s="156"/>
      <c r="CS316" s="156"/>
      <c r="CT316" s="156"/>
      <c r="CU316" s="156"/>
      <c r="CV316" s="156"/>
      <c r="CW316" s="156"/>
      <c r="CX316" s="156"/>
      <c r="CY316" s="156"/>
      <c r="CZ316" s="156"/>
      <c r="DA316" s="156"/>
      <c r="DB316" s="156"/>
      <c r="DC316" s="156"/>
      <c r="DD316" s="156"/>
      <c r="DE316" s="156"/>
      <c r="DF316" s="156"/>
      <c r="DG316" s="156"/>
      <c r="DH316" s="156"/>
      <c r="DI316" s="156"/>
      <c r="DJ316" s="156"/>
      <c r="DK316" s="156"/>
      <c r="DL316" s="156"/>
      <c r="DM316" s="156"/>
      <c r="DN316" s="156"/>
      <c r="DO316" s="156"/>
      <c r="DP316" s="156"/>
      <c r="DQ316" s="156"/>
      <c r="DR316" s="156"/>
      <c r="DS316" s="156"/>
      <c r="DT316" s="156"/>
      <c r="DU316" s="156"/>
      <c r="DV316" s="156"/>
      <c r="DW316" s="156"/>
      <c r="DX316" s="156"/>
      <c r="DY316" s="156"/>
      <c r="DZ316" s="156"/>
      <c r="EA316" s="156"/>
      <c r="EB316" s="156"/>
      <c r="EC316" s="156"/>
      <c r="ED316" s="156"/>
      <c r="EE316" s="156"/>
      <c r="EF316" s="156"/>
      <c r="EG316" s="156"/>
      <c r="EH316" s="156"/>
      <c r="EI316" s="156"/>
      <c r="EJ316" s="156"/>
      <c r="EK316" s="156"/>
      <c r="EL316" s="156"/>
      <c r="EM316" s="156"/>
      <c r="EN316" s="156"/>
      <c r="EO316" s="156"/>
      <c r="EP316" s="156"/>
      <c r="EQ316" s="156"/>
      <c r="ER316" s="156"/>
      <c r="ES316" s="156"/>
      <c r="ET316" s="156"/>
      <c r="EU316" s="156"/>
      <c r="EV316" s="156"/>
      <c r="EW316" s="156"/>
      <c r="EX316" s="156"/>
      <c r="EY316" s="156"/>
      <c r="EZ316" s="156"/>
      <c r="FA316" s="156"/>
      <c r="FB316" s="156"/>
      <c r="FC316" s="156"/>
      <c r="FD316" s="156"/>
      <c r="FE316" s="156"/>
      <c r="FF316" s="156"/>
      <c r="FG316" s="156"/>
      <c r="FH316" s="156"/>
      <c r="FI316" s="156"/>
      <c r="FJ316" s="156"/>
      <c r="FK316" s="156"/>
      <c r="FL316" s="156"/>
      <c r="FM316" s="156"/>
      <c r="FN316" s="156"/>
      <c r="FO316" s="156"/>
      <c r="FP316" s="156"/>
      <c r="FQ316" s="156"/>
      <c r="FR316" s="156"/>
      <c r="FS316" s="156"/>
      <c r="FT316" s="156"/>
      <c r="FU316" s="156"/>
      <c r="FV316" s="156"/>
      <c r="FW316" s="156"/>
      <c r="FX316" s="156"/>
      <c r="FY316" s="156"/>
      <c r="FZ316" s="156"/>
      <c r="GA316" s="156"/>
      <c r="GB316" s="156"/>
      <c r="GC316" s="156"/>
      <c r="GD316" s="156"/>
      <c r="GE316" s="156"/>
      <c r="GF316" s="156"/>
      <c r="GG316" s="156"/>
      <c r="GH316" s="156"/>
      <c r="GI316" s="156"/>
      <c r="GJ316" s="156"/>
    </row>
    <row r="317" spans="1:192" s="159" customFormat="1" ht="94.5" x14ac:dyDescent="0.25">
      <c r="A317" s="175" t="s">
        <v>483</v>
      </c>
      <c r="B317" s="169"/>
      <c r="C317" s="169"/>
      <c r="D317" s="169"/>
      <c r="E317" s="170">
        <f t="shared" si="168"/>
        <v>31838</v>
      </c>
      <c r="F317" s="170">
        <f t="shared" si="168"/>
        <v>31838</v>
      </c>
      <c r="G317" s="170">
        <f t="shared" si="168"/>
        <v>0</v>
      </c>
      <c r="H317" s="170"/>
      <c r="I317" s="170"/>
      <c r="J317" s="170">
        <f t="shared" si="177"/>
        <v>0</v>
      </c>
      <c r="K317" s="170"/>
      <c r="L317" s="170"/>
      <c r="M317" s="170">
        <f t="shared" si="91"/>
        <v>0</v>
      </c>
      <c r="N317" s="170"/>
      <c r="O317" s="170"/>
      <c r="P317" s="170">
        <f t="shared" si="92"/>
        <v>0</v>
      </c>
      <c r="Q317" s="170">
        <f>30228+1610</f>
        <v>31838</v>
      </c>
      <c r="R317" s="170">
        <f>30228+1610</f>
        <v>31838</v>
      </c>
      <c r="S317" s="170">
        <f t="shared" si="93"/>
        <v>0</v>
      </c>
      <c r="T317" s="170"/>
      <c r="U317" s="170"/>
      <c r="V317" s="170">
        <f t="shared" si="94"/>
        <v>0</v>
      </c>
      <c r="W317" s="170"/>
      <c r="X317" s="170"/>
      <c r="Y317" s="170">
        <f t="shared" si="95"/>
        <v>0</v>
      </c>
      <c r="Z317" s="170"/>
      <c r="AA317" s="170"/>
      <c r="AB317" s="170">
        <f t="shared" si="96"/>
        <v>0</v>
      </c>
      <c r="AC317" s="170"/>
      <c r="AD317" s="170"/>
      <c r="AE317" s="170">
        <f t="shared" si="97"/>
        <v>0</v>
      </c>
    </row>
    <row r="318" spans="1:192" s="159" customFormat="1" x14ac:dyDescent="0.25">
      <c r="A318" s="171" t="s">
        <v>484</v>
      </c>
      <c r="B318" s="168">
        <v>1</v>
      </c>
      <c r="C318" s="168">
        <v>541</v>
      </c>
      <c r="D318" s="168">
        <v>5205</v>
      </c>
      <c r="E318" s="163">
        <f t="shared" ref="E318:G403" si="245">H318+K318+N318+Q318+T318+W318+AC318+Z318</f>
        <v>1917</v>
      </c>
      <c r="F318" s="163">
        <f t="shared" si="245"/>
        <v>1917</v>
      </c>
      <c r="G318" s="163">
        <f t="shared" si="245"/>
        <v>0</v>
      </c>
      <c r="H318" s="163"/>
      <c r="I318" s="163"/>
      <c r="J318" s="163">
        <f t="shared" si="177"/>
        <v>0</v>
      </c>
      <c r="K318" s="163"/>
      <c r="L318" s="163"/>
      <c r="M318" s="163">
        <f t="shared" si="91"/>
        <v>0</v>
      </c>
      <c r="N318" s="163"/>
      <c r="O318" s="163"/>
      <c r="P318" s="163">
        <f t="shared" si="92"/>
        <v>0</v>
      </c>
      <c r="Q318" s="163"/>
      <c r="R318" s="163"/>
      <c r="S318" s="163">
        <f t="shared" si="93"/>
        <v>0</v>
      </c>
      <c r="T318" s="163">
        <v>1917</v>
      </c>
      <c r="U318" s="163">
        <v>1917</v>
      </c>
      <c r="V318" s="163">
        <f t="shared" si="94"/>
        <v>0</v>
      </c>
      <c r="W318" s="163"/>
      <c r="X318" s="163"/>
      <c r="Y318" s="163">
        <f t="shared" si="95"/>
        <v>0</v>
      </c>
      <c r="Z318" s="163"/>
      <c r="AA318" s="163"/>
      <c r="AB318" s="163">
        <f t="shared" si="96"/>
        <v>0</v>
      </c>
      <c r="AC318" s="163"/>
      <c r="AD318" s="163"/>
      <c r="AE318" s="163">
        <f t="shared" si="97"/>
        <v>0</v>
      </c>
    </row>
    <row r="319" spans="1:192" s="159" customFormat="1" ht="94.5" x14ac:dyDescent="0.25">
      <c r="A319" s="171" t="s">
        <v>485</v>
      </c>
      <c r="B319" s="168"/>
      <c r="C319" s="168"/>
      <c r="D319" s="168"/>
      <c r="E319" s="163">
        <f t="shared" si="245"/>
        <v>1400</v>
      </c>
      <c r="F319" s="163">
        <f t="shared" si="245"/>
        <v>0</v>
      </c>
      <c r="G319" s="163">
        <f t="shared" si="245"/>
        <v>-1400</v>
      </c>
      <c r="H319" s="163"/>
      <c r="I319" s="163"/>
      <c r="J319" s="163">
        <f t="shared" si="177"/>
        <v>0</v>
      </c>
      <c r="K319" s="163"/>
      <c r="L319" s="163"/>
      <c r="M319" s="163">
        <f t="shared" si="91"/>
        <v>0</v>
      </c>
      <c r="N319" s="163"/>
      <c r="O319" s="163"/>
      <c r="P319" s="163">
        <f t="shared" si="92"/>
        <v>0</v>
      </c>
      <c r="Q319" s="163">
        <f>2625-1225</f>
        <v>1400</v>
      </c>
      <c r="R319" s="163">
        <v>0</v>
      </c>
      <c r="S319" s="163">
        <f t="shared" si="93"/>
        <v>-1400</v>
      </c>
      <c r="T319" s="163"/>
      <c r="U319" s="163"/>
      <c r="V319" s="163">
        <f t="shared" si="94"/>
        <v>0</v>
      </c>
      <c r="W319" s="163"/>
      <c r="X319" s="163"/>
      <c r="Y319" s="163">
        <f t="shared" si="95"/>
        <v>0</v>
      </c>
      <c r="Z319" s="163"/>
      <c r="AA319" s="163"/>
      <c r="AB319" s="163">
        <f t="shared" si="96"/>
        <v>0</v>
      </c>
      <c r="AC319" s="163"/>
      <c r="AD319" s="163"/>
      <c r="AE319" s="163">
        <f t="shared" si="97"/>
        <v>0</v>
      </c>
    </row>
    <row r="320" spans="1:192" s="159" customFormat="1" x14ac:dyDescent="0.25">
      <c r="A320" s="157" t="s">
        <v>386</v>
      </c>
      <c r="B320" s="166"/>
      <c r="C320" s="166"/>
      <c r="D320" s="166"/>
      <c r="E320" s="158">
        <f t="shared" si="245"/>
        <v>27000</v>
      </c>
      <c r="F320" s="158">
        <f t="shared" si="245"/>
        <v>15165</v>
      </c>
      <c r="G320" s="158">
        <f t="shared" si="245"/>
        <v>-11835</v>
      </c>
      <c r="H320" s="158">
        <f>SUM(H321:H321)</f>
        <v>0</v>
      </c>
      <c r="I320" s="158">
        <f>SUM(I321:I321)</f>
        <v>0</v>
      </c>
      <c r="J320" s="158">
        <f t="shared" si="177"/>
        <v>0</v>
      </c>
      <c r="K320" s="158">
        <f t="shared" ref="K320:L320" si="246">SUM(K321:K321)</f>
        <v>27000</v>
      </c>
      <c r="L320" s="158">
        <f t="shared" si="246"/>
        <v>15165</v>
      </c>
      <c r="M320" s="158">
        <f t="shared" si="91"/>
        <v>-11835</v>
      </c>
      <c r="N320" s="158">
        <f t="shared" ref="N320:O320" si="247">SUM(N321:N321)</f>
        <v>0</v>
      </c>
      <c r="O320" s="158">
        <f t="shared" si="247"/>
        <v>0</v>
      </c>
      <c r="P320" s="158">
        <f t="shared" si="92"/>
        <v>0</v>
      </c>
      <c r="Q320" s="158">
        <f t="shared" ref="Q320:R320" si="248">SUM(Q321:Q321)</f>
        <v>0</v>
      </c>
      <c r="R320" s="158">
        <f t="shared" si="248"/>
        <v>0</v>
      </c>
      <c r="S320" s="158">
        <f t="shared" si="93"/>
        <v>0</v>
      </c>
      <c r="T320" s="158">
        <f t="shared" ref="T320:U320" si="249">SUM(T321:T321)</f>
        <v>0</v>
      </c>
      <c r="U320" s="158">
        <f t="shared" si="249"/>
        <v>0</v>
      </c>
      <c r="V320" s="158">
        <f t="shared" si="94"/>
        <v>0</v>
      </c>
      <c r="W320" s="158">
        <f t="shared" ref="W320:X320" si="250">SUM(W321:W321)</f>
        <v>0</v>
      </c>
      <c r="X320" s="158">
        <f t="shared" si="250"/>
        <v>0</v>
      </c>
      <c r="Y320" s="158">
        <f t="shared" si="95"/>
        <v>0</v>
      </c>
      <c r="Z320" s="158">
        <f t="shared" ref="Z320:AA320" si="251">SUM(Z321:Z321)</f>
        <v>0</v>
      </c>
      <c r="AA320" s="158">
        <f t="shared" si="251"/>
        <v>0</v>
      </c>
      <c r="AB320" s="158">
        <f t="shared" si="96"/>
        <v>0</v>
      </c>
      <c r="AC320" s="158">
        <f t="shared" ref="AC320:AD320" si="252">SUM(AC321:AC321)</f>
        <v>0</v>
      </c>
      <c r="AD320" s="158">
        <f t="shared" si="252"/>
        <v>0</v>
      </c>
      <c r="AE320" s="158">
        <f t="shared" si="97"/>
        <v>0</v>
      </c>
    </row>
    <row r="321" spans="1:192" s="159" customFormat="1" ht="47.25" x14ac:dyDescent="0.25">
      <c r="A321" s="178" t="s">
        <v>486</v>
      </c>
      <c r="B321" s="168">
        <v>3</v>
      </c>
      <c r="C321" s="168">
        <v>589</v>
      </c>
      <c r="D321" s="168">
        <v>5206</v>
      </c>
      <c r="E321" s="170">
        <f t="shared" si="245"/>
        <v>27000</v>
      </c>
      <c r="F321" s="170">
        <f t="shared" si="245"/>
        <v>15165</v>
      </c>
      <c r="G321" s="170">
        <f t="shared" si="245"/>
        <v>-11835</v>
      </c>
      <c r="H321" s="170"/>
      <c r="I321" s="170"/>
      <c r="J321" s="170">
        <f t="shared" si="177"/>
        <v>0</v>
      </c>
      <c r="K321" s="170">
        <v>27000</v>
      </c>
      <c r="L321" s="170">
        <f>27000-11835</f>
        <v>15165</v>
      </c>
      <c r="M321" s="170">
        <f t="shared" si="91"/>
        <v>-11835</v>
      </c>
      <c r="N321" s="170"/>
      <c r="O321" s="170"/>
      <c r="P321" s="170">
        <f t="shared" si="92"/>
        <v>0</v>
      </c>
      <c r="Q321" s="170"/>
      <c r="R321" s="170"/>
      <c r="S321" s="170">
        <f t="shared" si="93"/>
        <v>0</v>
      </c>
      <c r="T321" s="170"/>
      <c r="U321" s="170"/>
      <c r="V321" s="170">
        <f t="shared" si="94"/>
        <v>0</v>
      </c>
      <c r="W321" s="170"/>
      <c r="X321" s="170"/>
      <c r="Y321" s="170">
        <f t="shared" si="95"/>
        <v>0</v>
      </c>
      <c r="Z321" s="170"/>
      <c r="AA321" s="170"/>
      <c r="AB321" s="170">
        <f t="shared" si="96"/>
        <v>0</v>
      </c>
      <c r="AC321" s="170"/>
      <c r="AD321" s="170"/>
      <c r="AE321" s="170">
        <f t="shared" si="97"/>
        <v>0</v>
      </c>
    </row>
    <row r="322" spans="1:192" s="159" customFormat="1" ht="31.5" x14ac:dyDescent="0.25">
      <c r="A322" s="157" t="s">
        <v>269</v>
      </c>
      <c r="B322" s="166"/>
      <c r="C322" s="166"/>
      <c r="D322" s="166"/>
      <c r="E322" s="158">
        <f t="shared" si="245"/>
        <v>8396152</v>
      </c>
      <c r="F322" s="158">
        <f t="shared" si="245"/>
        <v>5681596</v>
      </c>
      <c r="G322" s="158">
        <f t="shared" si="245"/>
        <v>-2714556</v>
      </c>
      <c r="H322" s="158">
        <f>SUM(H323,H326,H331,H342,H335,H361)</f>
        <v>247426</v>
      </c>
      <c r="I322" s="158">
        <f>SUM(I323,I326,I331,I342,I335,I361)</f>
        <v>247426</v>
      </c>
      <c r="J322" s="158">
        <f t="shared" si="177"/>
        <v>0</v>
      </c>
      <c r="K322" s="158">
        <f t="shared" ref="K322:L322" si="253">SUM(K323,K326,K331,K342,K335,K361)</f>
        <v>339029</v>
      </c>
      <c r="L322" s="158">
        <f t="shared" si="253"/>
        <v>163827</v>
      </c>
      <c r="M322" s="158">
        <f t="shared" si="91"/>
        <v>-175202</v>
      </c>
      <c r="N322" s="158">
        <f t="shared" ref="N322:O322" si="254">SUM(N323,N326,N331,N342,N335,N361)</f>
        <v>353412</v>
      </c>
      <c r="O322" s="158">
        <f t="shared" si="254"/>
        <v>236046</v>
      </c>
      <c r="P322" s="158">
        <f t="shared" si="92"/>
        <v>-117366</v>
      </c>
      <c r="Q322" s="158">
        <f t="shared" ref="Q322:R322" si="255">SUM(Q323,Q326,Q331,Q342,Q335,Q361)</f>
        <v>1413680</v>
      </c>
      <c r="R322" s="158">
        <f t="shared" si="255"/>
        <v>61692</v>
      </c>
      <c r="S322" s="158">
        <f t="shared" si="93"/>
        <v>-1351988</v>
      </c>
      <c r="T322" s="158">
        <f t="shared" ref="T322:U322" si="256">SUM(T323,T326,T331,T342,T335,T361)</f>
        <v>0</v>
      </c>
      <c r="U322" s="158">
        <f t="shared" si="256"/>
        <v>0</v>
      </c>
      <c r="V322" s="158">
        <f t="shared" si="94"/>
        <v>0</v>
      </c>
      <c r="W322" s="158">
        <f t="shared" ref="W322:X322" si="257">SUM(W323,W326,W331,W342,W335,W361)</f>
        <v>3672605</v>
      </c>
      <c r="X322" s="158">
        <f t="shared" si="257"/>
        <v>3672605</v>
      </c>
      <c r="Y322" s="158">
        <f t="shared" si="95"/>
        <v>0</v>
      </c>
      <c r="Z322" s="158">
        <f t="shared" ref="Z322:AA322" si="258">SUM(Z323,Z326,Z331,Z342,Z335,Z361)</f>
        <v>1300000</v>
      </c>
      <c r="AA322" s="158">
        <f t="shared" si="258"/>
        <v>1300000</v>
      </c>
      <c r="AB322" s="158">
        <f t="shared" si="96"/>
        <v>0</v>
      </c>
      <c r="AC322" s="158">
        <f t="shared" ref="AC322:AD322" si="259">SUM(AC323,AC326,AC331,AC342,AC335,AC361)</f>
        <v>1070000</v>
      </c>
      <c r="AD322" s="158">
        <f t="shared" si="259"/>
        <v>0</v>
      </c>
      <c r="AE322" s="158">
        <f t="shared" si="97"/>
        <v>-1070000</v>
      </c>
    </row>
    <row r="323" spans="1:192" s="156" customFormat="1" x14ac:dyDescent="0.25">
      <c r="A323" s="157" t="s">
        <v>364</v>
      </c>
      <c r="B323" s="166"/>
      <c r="C323" s="166"/>
      <c r="D323" s="166"/>
      <c r="E323" s="158">
        <f t="shared" si="245"/>
        <v>2992</v>
      </c>
      <c r="F323" s="158">
        <f t="shared" si="245"/>
        <v>2992</v>
      </c>
      <c r="G323" s="158">
        <f t="shared" si="245"/>
        <v>0</v>
      </c>
      <c r="H323" s="158">
        <f>SUM(H324:H325)</f>
        <v>0</v>
      </c>
      <c r="I323" s="158">
        <f>SUM(I324:I325)</f>
        <v>0</v>
      </c>
      <c r="J323" s="158">
        <f t="shared" si="177"/>
        <v>0</v>
      </c>
      <c r="K323" s="158">
        <f t="shared" ref="K323:L323" si="260">SUM(K324:K325)</f>
        <v>0</v>
      </c>
      <c r="L323" s="158">
        <f t="shared" si="260"/>
        <v>0</v>
      </c>
      <c r="M323" s="158">
        <f t="shared" ref="M323:M425" si="261">L323-K323</f>
        <v>0</v>
      </c>
      <c r="N323" s="158">
        <f t="shared" ref="N323:O323" si="262">SUM(N324:N325)</f>
        <v>648</v>
      </c>
      <c r="O323" s="158">
        <f t="shared" si="262"/>
        <v>648</v>
      </c>
      <c r="P323" s="158">
        <f t="shared" ref="P323:P425" si="263">O323-N323</f>
        <v>0</v>
      </c>
      <c r="Q323" s="158">
        <f t="shared" ref="Q323:R323" si="264">SUM(Q324:Q325)</f>
        <v>2344</v>
      </c>
      <c r="R323" s="158">
        <f t="shared" si="264"/>
        <v>2344</v>
      </c>
      <c r="S323" s="158">
        <f t="shared" ref="S323:S425" si="265">R323-Q323</f>
        <v>0</v>
      </c>
      <c r="T323" s="158">
        <f t="shared" ref="T323:U323" si="266">SUM(T324:T325)</f>
        <v>0</v>
      </c>
      <c r="U323" s="158">
        <f t="shared" si="266"/>
        <v>0</v>
      </c>
      <c r="V323" s="158">
        <f t="shared" ref="V323:V425" si="267">U323-T323</f>
        <v>0</v>
      </c>
      <c r="W323" s="158">
        <f t="shared" ref="W323:X323" si="268">SUM(W324:W325)</f>
        <v>0</v>
      </c>
      <c r="X323" s="158">
        <f t="shared" si="268"/>
        <v>0</v>
      </c>
      <c r="Y323" s="158">
        <f t="shared" ref="Y323:Y425" si="269">X323-W323</f>
        <v>0</v>
      </c>
      <c r="Z323" s="158">
        <f t="shared" ref="Z323:AA323" si="270">SUM(Z324:Z325)</f>
        <v>0</v>
      </c>
      <c r="AA323" s="158">
        <f t="shared" si="270"/>
        <v>0</v>
      </c>
      <c r="AB323" s="158">
        <f t="shared" ref="AB323:AB425" si="271">AA323-Z323</f>
        <v>0</v>
      </c>
      <c r="AC323" s="158">
        <f t="shared" ref="AC323:AD323" si="272">SUM(AC324:AC325)</f>
        <v>0</v>
      </c>
      <c r="AD323" s="158">
        <f t="shared" si="272"/>
        <v>0</v>
      </c>
      <c r="AE323" s="158">
        <f t="shared" ref="AE323:AE425" si="273">AD323-AC323</f>
        <v>0</v>
      </c>
      <c r="AF323" s="159"/>
      <c r="AG323" s="159"/>
      <c r="AH323" s="159"/>
      <c r="AI323" s="159"/>
      <c r="AJ323" s="159"/>
      <c r="AK323" s="159"/>
      <c r="AL323" s="159"/>
      <c r="AM323" s="159"/>
      <c r="AN323" s="159"/>
      <c r="AO323" s="159"/>
      <c r="AP323" s="159"/>
      <c r="AQ323" s="159"/>
      <c r="AR323" s="159"/>
      <c r="AS323" s="159"/>
      <c r="AT323" s="159"/>
      <c r="AU323" s="159"/>
      <c r="AV323" s="159"/>
      <c r="AW323" s="159"/>
      <c r="AX323" s="159"/>
      <c r="AY323" s="159"/>
      <c r="AZ323" s="159"/>
      <c r="BA323" s="159"/>
      <c r="BB323" s="159"/>
      <c r="BC323" s="159"/>
      <c r="BD323" s="159"/>
      <c r="BE323" s="159"/>
      <c r="BF323" s="159"/>
      <c r="BG323" s="159"/>
      <c r="BH323" s="159"/>
      <c r="BI323" s="159"/>
      <c r="BJ323" s="159"/>
      <c r="BK323" s="159"/>
      <c r="BL323" s="159"/>
      <c r="BM323" s="159"/>
      <c r="BN323" s="159"/>
      <c r="BO323" s="159"/>
      <c r="BP323" s="159"/>
      <c r="BQ323" s="159"/>
      <c r="BR323" s="159"/>
      <c r="BS323" s="159"/>
      <c r="BT323" s="159"/>
      <c r="BU323" s="159"/>
      <c r="BV323" s="159"/>
      <c r="BW323" s="159"/>
      <c r="BX323" s="159"/>
      <c r="BY323" s="159"/>
      <c r="BZ323" s="159"/>
      <c r="CA323" s="159"/>
      <c r="CB323" s="159"/>
      <c r="CC323" s="159"/>
      <c r="CD323" s="159"/>
      <c r="CE323" s="159"/>
      <c r="CF323" s="159"/>
      <c r="CG323" s="159"/>
      <c r="CH323" s="159"/>
      <c r="CI323" s="159"/>
      <c r="CJ323" s="159"/>
      <c r="CK323" s="159"/>
      <c r="CL323" s="159"/>
      <c r="CM323" s="159"/>
      <c r="CN323" s="159"/>
      <c r="CO323" s="159"/>
      <c r="CP323" s="159"/>
      <c r="CQ323" s="159"/>
      <c r="CR323" s="159"/>
      <c r="CS323" s="159"/>
      <c r="CT323" s="159"/>
      <c r="CU323" s="159"/>
      <c r="CV323" s="159"/>
      <c r="CW323" s="159"/>
      <c r="CX323" s="159"/>
      <c r="CY323" s="159"/>
      <c r="CZ323" s="159"/>
      <c r="DA323" s="159"/>
      <c r="DB323" s="159"/>
      <c r="DC323" s="159"/>
      <c r="DD323" s="159"/>
      <c r="DE323" s="159"/>
      <c r="DF323" s="159"/>
      <c r="DG323" s="159"/>
      <c r="DH323" s="159"/>
      <c r="DI323" s="159"/>
      <c r="DJ323" s="159"/>
      <c r="DK323" s="159"/>
      <c r="DL323" s="159"/>
      <c r="DM323" s="159"/>
      <c r="DN323" s="159"/>
      <c r="DO323" s="159"/>
      <c r="DP323" s="159"/>
      <c r="DQ323" s="159"/>
      <c r="DR323" s="159"/>
      <c r="DS323" s="159"/>
      <c r="DT323" s="159"/>
      <c r="DU323" s="159"/>
      <c r="DV323" s="159"/>
      <c r="DW323" s="159"/>
      <c r="DX323" s="159"/>
      <c r="DY323" s="159"/>
      <c r="DZ323" s="159"/>
      <c r="EA323" s="159"/>
      <c r="EB323" s="159"/>
      <c r="EC323" s="159"/>
      <c r="ED323" s="159"/>
      <c r="EE323" s="159"/>
      <c r="EF323" s="159"/>
      <c r="EG323" s="159"/>
      <c r="EH323" s="159"/>
      <c r="EI323" s="159"/>
      <c r="EJ323" s="159"/>
      <c r="EK323" s="159"/>
      <c r="EL323" s="159"/>
      <c r="EM323" s="159"/>
      <c r="EN323" s="159"/>
      <c r="EO323" s="159"/>
      <c r="EP323" s="159"/>
      <c r="EQ323" s="159"/>
      <c r="ER323" s="159"/>
      <c r="ES323" s="159"/>
      <c r="ET323" s="159"/>
      <c r="EU323" s="159"/>
      <c r="EV323" s="159"/>
      <c r="EW323" s="159"/>
      <c r="EX323" s="159"/>
      <c r="EY323" s="159"/>
      <c r="EZ323" s="159"/>
      <c r="FA323" s="159"/>
      <c r="FB323" s="159"/>
      <c r="FC323" s="159"/>
      <c r="FD323" s="159"/>
      <c r="FE323" s="159"/>
      <c r="FF323" s="159"/>
      <c r="FG323" s="159"/>
      <c r="FH323" s="159"/>
      <c r="FI323" s="159"/>
      <c r="FJ323" s="159"/>
      <c r="FK323" s="159"/>
      <c r="FL323" s="159"/>
      <c r="FM323" s="159"/>
      <c r="FN323" s="159"/>
      <c r="FO323" s="159"/>
      <c r="FP323" s="159"/>
      <c r="FQ323" s="159"/>
      <c r="FR323" s="159"/>
      <c r="FS323" s="159"/>
      <c r="FT323" s="159"/>
      <c r="FU323" s="159"/>
      <c r="FV323" s="159"/>
      <c r="FW323" s="159"/>
      <c r="FX323" s="159"/>
      <c r="FY323" s="159"/>
      <c r="FZ323" s="159"/>
      <c r="GA323" s="159"/>
      <c r="GB323" s="159"/>
      <c r="GC323" s="159"/>
      <c r="GD323" s="159"/>
      <c r="GE323" s="159"/>
      <c r="GF323" s="159"/>
      <c r="GG323" s="159"/>
      <c r="GH323" s="159"/>
      <c r="GI323" s="159"/>
      <c r="GJ323" s="159"/>
    </row>
    <row r="324" spans="1:192" s="159" customFormat="1" ht="31.5" x14ac:dyDescent="0.25">
      <c r="A324" s="178" t="s">
        <v>487</v>
      </c>
      <c r="B324" s="168">
        <v>2</v>
      </c>
      <c r="C324" s="168">
        <v>622</v>
      </c>
      <c r="D324" s="168">
        <v>5201</v>
      </c>
      <c r="E324" s="170">
        <f t="shared" si="245"/>
        <v>648</v>
      </c>
      <c r="F324" s="170">
        <f t="shared" si="245"/>
        <v>648</v>
      </c>
      <c r="G324" s="170">
        <f t="shared" si="245"/>
        <v>0</v>
      </c>
      <c r="H324" s="170"/>
      <c r="I324" s="170"/>
      <c r="J324" s="170">
        <f t="shared" si="177"/>
        <v>0</v>
      </c>
      <c r="K324" s="170"/>
      <c r="L324" s="170"/>
      <c r="M324" s="170">
        <f t="shared" si="261"/>
        <v>0</v>
      </c>
      <c r="N324" s="170">
        <f>650-2</f>
        <v>648</v>
      </c>
      <c r="O324" s="170">
        <f>650-2</f>
        <v>648</v>
      </c>
      <c r="P324" s="170">
        <f t="shared" si="263"/>
        <v>0</v>
      </c>
      <c r="Q324" s="170"/>
      <c r="R324" s="170"/>
      <c r="S324" s="170">
        <f t="shared" si="265"/>
        <v>0</v>
      </c>
      <c r="T324" s="170"/>
      <c r="U324" s="170"/>
      <c r="V324" s="170">
        <f t="shared" si="267"/>
        <v>0</v>
      </c>
      <c r="W324" s="170"/>
      <c r="X324" s="170"/>
      <c r="Y324" s="170">
        <f t="shared" si="269"/>
        <v>0</v>
      </c>
      <c r="Z324" s="170"/>
      <c r="AA324" s="170"/>
      <c r="AB324" s="170">
        <f t="shared" si="271"/>
        <v>0</v>
      </c>
      <c r="AC324" s="170"/>
      <c r="AD324" s="170"/>
      <c r="AE324" s="170">
        <f t="shared" si="273"/>
        <v>0</v>
      </c>
    </row>
    <row r="325" spans="1:192" s="159" customFormat="1" ht="63" x14ac:dyDescent="0.25">
      <c r="A325" s="175" t="s">
        <v>488</v>
      </c>
      <c r="B325" s="169"/>
      <c r="C325" s="169"/>
      <c r="D325" s="169"/>
      <c r="E325" s="170">
        <f t="shared" si="245"/>
        <v>2344</v>
      </c>
      <c r="F325" s="170">
        <f t="shared" si="245"/>
        <v>2344</v>
      </c>
      <c r="G325" s="170">
        <f t="shared" si="245"/>
        <v>0</v>
      </c>
      <c r="H325" s="170"/>
      <c r="I325" s="170"/>
      <c r="J325" s="170">
        <f t="shared" si="177"/>
        <v>0</v>
      </c>
      <c r="K325" s="170"/>
      <c r="L325" s="170"/>
      <c r="M325" s="170">
        <f t="shared" si="261"/>
        <v>0</v>
      </c>
      <c r="N325" s="170"/>
      <c r="O325" s="170"/>
      <c r="P325" s="170">
        <f t="shared" si="263"/>
        <v>0</v>
      </c>
      <c r="Q325" s="170">
        <v>2344</v>
      </c>
      <c r="R325" s="170">
        <v>2344</v>
      </c>
      <c r="S325" s="170">
        <f t="shared" si="265"/>
        <v>0</v>
      </c>
      <c r="T325" s="170"/>
      <c r="U325" s="170"/>
      <c r="V325" s="170">
        <f t="shared" si="267"/>
        <v>0</v>
      </c>
      <c r="W325" s="170"/>
      <c r="X325" s="170"/>
      <c r="Y325" s="170">
        <f t="shared" si="269"/>
        <v>0</v>
      </c>
      <c r="Z325" s="170"/>
      <c r="AA325" s="170"/>
      <c r="AB325" s="170">
        <f t="shared" si="271"/>
        <v>0</v>
      </c>
      <c r="AC325" s="170"/>
      <c r="AD325" s="170"/>
      <c r="AE325" s="170">
        <f t="shared" si="273"/>
        <v>0</v>
      </c>
    </row>
    <row r="326" spans="1:192" s="156" customFormat="1" ht="31.5" x14ac:dyDescent="0.25">
      <c r="A326" s="157" t="s">
        <v>373</v>
      </c>
      <c r="B326" s="166"/>
      <c r="C326" s="166"/>
      <c r="D326" s="166"/>
      <c r="E326" s="158">
        <f t="shared" si="245"/>
        <v>368478</v>
      </c>
      <c r="F326" s="158">
        <f t="shared" si="245"/>
        <v>61457</v>
      </c>
      <c r="G326" s="158">
        <f t="shared" si="245"/>
        <v>-307021</v>
      </c>
      <c r="H326" s="158">
        <f>SUM(H327:H330)</f>
        <v>0</v>
      </c>
      <c r="I326" s="158">
        <f>SUM(I327:I330)</f>
        <v>0</v>
      </c>
      <c r="J326" s="158">
        <f t="shared" si="177"/>
        <v>0</v>
      </c>
      <c r="K326" s="158">
        <f t="shared" ref="K326:L326" si="274">SUM(K327:K330)</f>
        <v>0</v>
      </c>
      <c r="L326" s="158">
        <f t="shared" si="274"/>
        <v>0</v>
      </c>
      <c r="M326" s="158">
        <f t="shared" si="261"/>
        <v>0</v>
      </c>
      <c r="N326" s="158">
        <f t="shared" ref="N326:O326" si="275">SUM(N327:N330)</f>
        <v>48478</v>
      </c>
      <c r="O326" s="158">
        <f t="shared" si="275"/>
        <v>11478</v>
      </c>
      <c r="P326" s="158">
        <f t="shared" si="263"/>
        <v>-37000</v>
      </c>
      <c r="Q326" s="158">
        <f t="shared" ref="Q326:R326" si="276">SUM(Q327:Q330)</f>
        <v>320000</v>
      </c>
      <c r="R326" s="158">
        <f t="shared" si="276"/>
        <v>49979</v>
      </c>
      <c r="S326" s="158">
        <f t="shared" si="265"/>
        <v>-270021</v>
      </c>
      <c r="T326" s="158">
        <f t="shared" ref="T326:U326" si="277">SUM(T327:T330)</f>
        <v>0</v>
      </c>
      <c r="U326" s="158">
        <f t="shared" si="277"/>
        <v>0</v>
      </c>
      <c r="V326" s="158">
        <f t="shared" si="267"/>
        <v>0</v>
      </c>
      <c r="W326" s="158">
        <f t="shared" ref="W326:X326" si="278">SUM(W327:W330)</f>
        <v>0</v>
      </c>
      <c r="X326" s="158">
        <f t="shared" si="278"/>
        <v>0</v>
      </c>
      <c r="Y326" s="158">
        <f t="shared" si="269"/>
        <v>0</v>
      </c>
      <c r="Z326" s="158">
        <f t="shared" ref="Z326:AA326" si="279">SUM(Z327:Z330)</f>
        <v>0</v>
      </c>
      <c r="AA326" s="158">
        <f t="shared" si="279"/>
        <v>0</v>
      </c>
      <c r="AB326" s="158">
        <f t="shared" si="271"/>
        <v>0</v>
      </c>
      <c r="AC326" s="158">
        <f t="shared" ref="AC326:AD326" si="280">SUM(AC327:AC330)</f>
        <v>0</v>
      </c>
      <c r="AD326" s="158">
        <f t="shared" si="280"/>
        <v>0</v>
      </c>
      <c r="AE326" s="158">
        <f t="shared" si="273"/>
        <v>0</v>
      </c>
      <c r="AF326" s="159"/>
      <c r="AG326" s="159"/>
      <c r="AH326" s="159"/>
      <c r="AI326" s="159"/>
      <c r="AJ326" s="159"/>
      <c r="AK326" s="159"/>
      <c r="AL326" s="159"/>
      <c r="AM326" s="159"/>
      <c r="AN326" s="159"/>
      <c r="AO326" s="159"/>
      <c r="AP326" s="159"/>
      <c r="AQ326" s="159"/>
      <c r="AR326" s="159"/>
      <c r="AS326" s="159"/>
      <c r="AT326" s="159"/>
      <c r="AU326" s="159"/>
      <c r="AV326" s="159"/>
      <c r="AW326" s="159"/>
      <c r="AX326" s="159"/>
      <c r="AY326" s="159"/>
      <c r="AZ326" s="159"/>
      <c r="BA326" s="159"/>
      <c r="BB326" s="159"/>
      <c r="BC326" s="159"/>
      <c r="BD326" s="159"/>
      <c r="BE326" s="159"/>
      <c r="BF326" s="159"/>
      <c r="BG326" s="159"/>
      <c r="BH326" s="159"/>
      <c r="BI326" s="159"/>
      <c r="BJ326" s="159"/>
      <c r="BK326" s="159"/>
      <c r="BL326" s="159"/>
      <c r="BM326" s="159"/>
      <c r="BN326" s="159"/>
      <c r="BO326" s="159"/>
      <c r="BP326" s="159"/>
      <c r="BQ326" s="159"/>
      <c r="BR326" s="159"/>
      <c r="BS326" s="159"/>
      <c r="BT326" s="159"/>
      <c r="BU326" s="159"/>
      <c r="BV326" s="159"/>
      <c r="BW326" s="159"/>
      <c r="BX326" s="159"/>
      <c r="BY326" s="159"/>
      <c r="BZ326" s="159"/>
      <c r="CA326" s="159"/>
      <c r="CB326" s="159"/>
      <c r="CC326" s="159"/>
      <c r="CD326" s="159"/>
      <c r="CE326" s="159"/>
      <c r="CF326" s="159"/>
      <c r="CG326" s="159"/>
      <c r="CH326" s="159"/>
      <c r="CI326" s="159"/>
      <c r="CJ326" s="159"/>
      <c r="CK326" s="159"/>
      <c r="CL326" s="159"/>
      <c r="CM326" s="159"/>
      <c r="CN326" s="159"/>
      <c r="CO326" s="159"/>
      <c r="CP326" s="159"/>
      <c r="CQ326" s="159"/>
      <c r="CR326" s="159"/>
      <c r="CS326" s="159"/>
      <c r="CT326" s="159"/>
      <c r="CU326" s="159"/>
      <c r="CV326" s="159"/>
      <c r="CW326" s="159"/>
      <c r="CX326" s="159"/>
      <c r="CY326" s="159"/>
      <c r="CZ326" s="159"/>
      <c r="DA326" s="159"/>
      <c r="DB326" s="159"/>
      <c r="DC326" s="159"/>
      <c r="DD326" s="159"/>
      <c r="DE326" s="159"/>
      <c r="DF326" s="159"/>
      <c r="DG326" s="159"/>
      <c r="DH326" s="159"/>
      <c r="DI326" s="159"/>
      <c r="DJ326" s="159"/>
      <c r="DK326" s="159"/>
      <c r="DL326" s="159"/>
      <c r="DM326" s="159"/>
      <c r="DN326" s="159"/>
      <c r="DO326" s="159"/>
      <c r="DP326" s="159"/>
      <c r="DQ326" s="159"/>
      <c r="DR326" s="159"/>
      <c r="DS326" s="159"/>
      <c r="DT326" s="159"/>
      <c r="DU326" s="159"/>
      <c r="DV326" s="159"/>
      <c r="DW326" s="159"/>
      <c r="DX326" s="159"/>
      <c r="DY326" s="159"/>
      <c r="DZ326" s="159"/>
      <c r="EA326" s="159"/>
      <c r="EB326" s="159"/>
      <c r="EC326" s="159"/>
      <c r="ED326" s="159"/>
      <c r="EE326" s="159"/>
      <c r="EF326" s="159"/>
      <c r="EG326" s="159"/>
      <c r="EH326" s="159"/>
      <c r="EI326" s="159"/>
      <c r="EJ326" s="159"/>
      <c r="EK326" s="159"/>
      <c r="EL326" s="159"/>
      <c r="EM326" s="159"/>
      <c r="EN326" s="159"/>
      <c r="EO326" s="159"/>
      <c r="EP326" s="159"/>
      <c r="EQ326" s="159"/>
      <c r="ER326" s="159"/>
      <c r="ES326" s="159"/>
      <c r="ET326" s="159"/>
      <c r="EU326" s="159"/>
      <c r="EV326" s="159"/>
      <c r="EW326" s="159"/>
      <c r="EX326" s="159"/>
      <c r="EY326" s="159"/>
      <c r="EZ326" s="159"/>
      <c r="FA326" s="159"/>
      <c r="FB326" s="159"/>
      <c r="FC326" s="159"/>
      <c r="FD326" s="159"/>
      <c r="FE326" s="159"/>
      <c r="FF326" s="159"/>
      <c r="FG326" s="159"/>
      <c r="FH326" s="159"/>
      <c r="FI326" s="159"/>
      <c r="FJ326" s="159"/>
      <c r="FK326" s="159"/>
      <c r="FL326" s="159"/>
      <c r="FM326" s="159"/>
      <c r="FN326" s="159"/>
      <c r="FO326" s="159"/>
      <c r="FP326" s="159"/>
      <c r="FQ326" s="159"/>
      <c r="FR326" s="159"/>
      <c r="FS326" s="159"/>
      <c r="FT326" s="159"/>
      <c r="FU326" s="159"/>
      <c r="FV326" s="159"/>
      <c r="FW326" s="159"/>
      <c r="FX326" s="159"/>
      <c r="FY326" s="159"/>
      <c r="FZ326" s="159"/>
      <c r="GA326" s="159"/>
      <c r="GB326" s="159"/>
      <c r="GC326" s="159"/>
      <c r="GD326" s="159"/>
      <c r="GE326" s="159"/>
      <c r="GF326" s="159"/>
      <c r="GG326" s="159"/>
      <c r="GH326" s="159"/>
      <c r="GI326" s="159"/>
      <c r="GJ326" s="159"/>
    </row>
    <row r="327" spans="1:192" s="159" customFormat="1" ht="63" x14ac:dyDescent="0.25">
      <c r="A327" s="178" t="s">
        <v>489</v>
      </c>
      <c r="B327" s="168">
        <v>2</v>
      </c>
      <c r="C327" s="168">
        <v>619</v>
      </c>
      <c r="D327" s="168">
        <v>5203</v>
      </c>
      <c r="E327" s="170">
        <f t="shared" si="245"/>
        <v>37000</v>
      </c>
      <c r="F327" s="170">
        <f t="shared" si="245"/>
        <v>0</v>
      </c>
      <c r="G327" s="170">
        <f t="shared" si="245"/>
        <v>-37000</v>
      </c>
      <c r="H327" s="170"/>
      <c r="I327" s="170"/>
      <c r="J327" s="170">
        <f t="shared" si="177"/>
        <v>0</v>
      </c>
      <c r="K327" s="170"/>
      <c r="L327" s="170"/>
      <c r="M327" s="170">
        <f t="shared" si="261"/>
        <v>0</v>
      </c>
      <c r="N327" s="170">
        <v>37000</v>
      </c>
      <c r="O327" s="170">
        <f>37000-37000</f>
        <v>0</v>
      </c>
      <c r="P327" s="170">
        <f t="shared" si="263"/>
        <v>-37000</v>
      </c>
      <c r="Q327" s="170"/>
      <c r="R327" s="170"/>
      <c r="S327" s="170">
        <f t="shared" si="265"/>
        <v>0</v>
      </c>
      <c r="T327" s="170"/>
      <c r="U327" s="170"/>
      <c r="V327" s="170">
        <f t="shared" si="267"/>
        <v>0</v>
      </c>
      <c r="W327" s="170"/>
      <c r="X327" s="170"/>
      <c r="Y327" s="170">
        <f t="shared" si="269"/>
        <v>0</v>
      </c>
      <c r="Z327" s="170"/>
      <c r="AA327" s="170"/>
      <c r="AB327" s="170">
        <f t="shared" si="271"/>
        <v>0</v>
      </c>
      <c r="AC327" s="170"/>
      <c r="AD327" s="170"/>
      <c r="AE327" s="170">
        <f t="shared" si="273"/>
        <v>0</v>
      </c>
    </row>
    <row r="328" spans="1:192" s="159" customFormat="1" x14ac:dyDescent="0.25">
      <c r="A328" s="178" t="s">
        <v>490</v>
      </c>
      <c r="B328" s="168">
        <v>2</v>
      </c>
      <c r="C328" s="168">
        <v>623</v>
      </c>
      <c r="D328" s="168">
        <v>5203</v>
      </c>
      <c r="E328" s="170">
        <f t="shared" si="245"/>
        <v>11478</v>
      </c>
      <c r="F328" s="170">
        <f t="shared" si="245"/>
        <v>11478</v>
      </c>
      <c r="G328" s="170">
        <f t="shared" si="245"/>
        <v>0</v>
      </c>
      <c r="H328" s="170"/>
      <c r="I328" s="170"/>
      <c r="J328" s="170">
        <f t="shared" si="177"/>
        <v>0</v>
      </c>
      <c r="K328" s="170"/>
      <c r="L328" s="170"/>
      <c r="M328" s="170">
        <f t="shared" si="261"/>
        <v>0</v>
      </c>
      <c r="N328" s="170">
        <v>11478</v>
      </c>
      <c r="O328" s="170">
        <v>11478</v>
      </c>
      <c r="P328" s="170">
        <f t="shared" si="263"/>
        <v>0</v>
      </c>
      <c r="Q328" s="170"/>
      <c r="R328" s="170"/>
      <c r="S328" s="170">
        <f t="shared" si="265"/>
        <v>0</v>
      </c>
      <c r="T328" s="170"/>
      <c r="U328" s="170"/>
      <c r="V328" s="170">
        <f t="shared" si="267"/>
        <v>0</v>
      </c>
      <c r="W328" s="170"/>
      <c r="X328" s="170"/>
      <c r="Y328" s="170">
        <f t="shared" si="269"/>
        <v>0</v>
      </c>
      <c r="Z328" s="170"/>
      <c r="AA328" s="170"/>
      <c r="AB328" s="170">
        <f t="shared" si="271"/>
        <v>0</v>
      </c>
      <c r="AC328" s="170"/>
      <c r="AD328" s="170"/>
      <c r="AE328" s="170">
        <f t="shared" si="273"/>
        <v>0</v>
      </c>
    </row>
    <row r="329" spans="1:192" s="159" customFormat="1" x14ac:dyDescent="0.25">
      <c r="A329" s="178" t="s">
        <v>491</v>
      </c>
      <c r="B329" s="168">
        <v>2</v>
      </c>
      <c r="C329" s="168">
        <v>619</v>
      </c>
      <c r="D329" s="168">
        <v>5203</v>
      </c>
      <c r="E329" s="170">
        <f t="shared" si="245"/>
        <v>0</v>
      </c>
      <c r="F329" s="170">
        <f t="shared" si="245"/>
        <v>0</v>
      </c>
      <c r="G329" s="170">
        <f t="shared" si="245"/>
        <v>0</v>
      </c>
      <c r="H329" s="170"/>
      <c r="I329" s="170"/>
      <c r="J329" s="170">
        <f t="shared" si="177"/>
        <v>0</v>
      </c>
      <c r="K329" s="170"/>
      <c r="L329" s="170"/>
      <c r="M329" s="170">
        <f t="shared" si="261"/>
        <v>0</v>
      </c>
      <c r="N329" s="170">
        <f>1287-1287</f>
        <v>0</v>
      </c>
      <c r="O329" s="170">
        <f>1287-1287</f>
        <v>0</v>
      </c>
      <c r="P329" s="170">
        <f t="shared" si="263"/>
        <v>0</v>
      </c>
      <c r="Q329" s="170"/>
      <c r="R329" s="170"/>
      <c r="S329" s="170">
        <f t="shared" si="265"/>
        <v>0</v>
      </c>
      <c r="T329" s="170"/>
      <c r="U329" s="170"/>
      <c r="V329" s="170">
        <f t="shared" si="267"/>
        <v>0</v>
      </c>
      <c r="W329" s="170"/>
      <c r="X329" s="170"/>
      <c r="Y329" s="170">
        <f t="shared" si="269"/>
        <v>0</v>
      </c>
      <c r="Z329" s="170"/>
      <c r="AA329" s="170"/>
      <c r="AB329" s="170">
        <f t="shared" si="271"/>
        <v>0</v>
      </c>
      <c r="AC329" s="170"/>
      <c r="AD329" s="170"/>
      <c r="AE329" s="170">
        <f t="shared" si="273"/>
        <v>0</v>
      </c>
    </row>
    <row r="330" spans="1:192" s="159" customFormat="1" ht="78.75" x14ac:dyDescent="0.25">
      <c r="A330" s="175" t="s">
        <v>492</v>
      </c>
      <c r="B330" s="169"/>
      <c r="C330" s="169"/>
      <c r="D330" s="169"/>
      <c r="E330" s="170">
        <f t="shared" si="245"/>
        <v>320000</v>
      </c>
      <c r="F330" s="170">
        <f t="shared" si="245"/>
        <v>49979</v>
      </c>
      <c r="G330" s="170">
        <f t="shared" si="245"/>
        <v>-270021</v>
      </c>
      <c r="H330" s="170"/>
      <c r="I330" s="170"/>
      <c r="J330" s="170">
        <f t="shared" si="177"/>
        <v>0</v>
      </c>
      <c r="K330" s="170"/>
      <c r="L330" s="170"/>
      <c r="M330" s="170">
        <f t="shared" si="261"/>
        <v>0</v>
      </c>
      <c r="N330" s="170"/>
      <c r="O330" s="170"/>
      <c r="P330" s="170">
        <f t="shared" si="263"/>
        <v>0</v>
      </c>
      <c r="Q330" s="170">
        <v>320000</v>
      </c>
      <c r="R330" s="170">
        <v>49979</v>
      </c>
      <c r="S330" s="170">
        <f t="shared" si="265"/>
        <v>-270021</v>
      </c>
      <c r="T330" s="170"/>
      <c r="U330" s="170"/>
      <c r="V330" s="170">
        <f t="shared" si="267"/>
        <v>0</v>
      </c>
      <c r="W330" s="170"/>
      <c r="X330" s="170"/>
      <c r="Y330" s="170">
        <f t="shared" si="269"/>
        <v>0</v>
      </c>
      <c r="Z330" s="170"/>
      <c r="AA330" s="170"/>
      <c r="AB330" s="170">
        <f t="shared" si="271"/>
        <v>0</v>
      </c>
      <c r="AC330" s="170"/>
      <c r="AD330" s="170"/>
      <c r="AE330" s="170">
        <f t="shared" si="273"/>
        <v>0</v>
      </c>
    </row>
    <row r="331" spans="1:192" s="159" customFormat="1" x14ac:dyDescent="0.25">
      <c r="A331" s="157" t="s">
        <v>377</v>
      </c>
      <c r="B331" s="166"/>
      <c r="C331" s="166"/>
      <c r="D331" s="166"/>
      <c r="E331" s="158">
        <f t="shared" si="245"/>
        <v>92323</v>
      </c>
      <c r="F331" s="158">
        <f t="shared" si="245"/>
        <v>92323</v>
      </c>
      <c r="G331" s="158">
        <f t="shared" si="245"/>
        <v>0</v>
      </c>
      <c r="H331" s="158">
        <f t="shared" ref="H331:AD331" si="281">SUM(H332:H334)</f>
        <v>0</v>
      </c>
      <c r="I331" s="158">
        <f t="shared" si="281"/>
        <v>0</v>
      </c>
      <c r="J331" s="158">
        <f t="shared" si="177"/>
        <v>0</v>
      </c>
      <c r="K331" s="158">
        <f t="shared" ref="K331" si="282">SUM(K332:K334)</f>
        <v>0</v>
      </c>
      <c r="L331" s="158">
        <f t="shared" si="281"/>
        <v>0</v>
      </c>
      <c r="M331" s="158">
        <f t="shared" si="261"/>
        <v>0</v>
      </c>
      <c r="N331" s="158">
        <f t="shared" ref="N331" si="283">SUM(N332:N334)</f>
        <v>92323</v>
      </c>
      <c r="O331" s="158">
        <f t="shared" si="281"/>
        <v>92323</v>
      </c>
      <c r="P331" s="158">
        <f t="shared" si="263"/>
        <v>0</v>
      </c>
      <c r="Q331" s="158">
        <f t="shared" ref="Q331" si="284">SUM(Q332:Q334)</f>
        <v>0</v>
      </c>
      <c r="R331" s="158">
        <f t="shared" si="281"/>
        <v>0</v>
      </c>
      <c r="S331" s="158">
        <f t="shared" si="265"/>
        <v>0</v>
      </c>
      <c r="T331" s="158">
        <f t="shared" ref="T331" si="285">SUM(T332:T334)</f>
        <v>0</v>
      </c>
      <c r="U331" s="158">
        <f t="shared" si="281"/>
        <v>0</v>
      </c>
      <c r="V331" s="158">
        <f t="shared" si="267"/>
        <v>0</v>
      </c>
      <c r="W331" s="158">
        <f t="shared" ref="W331" si="286">SUM(W332:W334)</f>
        <v>0</v>
      </c>
      <c r="X331" s="158">
        <f t="shared" si="281"/>
        <v>0</v>
      </c>
      <c r="Y331" s="158">
        <f t="shared" si="269"/>
        <v>0</v>
      </c>
      <c r="Z331" s="158">
        <f t="shared" ref="Z331" si="287">SUM(Z332:Z334)</f>
        <v>0</v>
      </c>
      <c r="AA331" s="158">
        <f t="shared" si="281"/>
        <v>0</v>
      </c>
      <c r="AB331" s="158">
        <f t="shared" si="271"/>
        <v>0</v>
      </c>
      <c r="AC331" s="158">
        <f t="shared" ref="AC331" si="288">SUM(AC332:AC334)</f>
        <v>0</v>
      </c>
      <c r="AD331" s="158">
        <f t="shared" si="281"/>
        <v>0</v>
      </c>
      <c r="AE331" s="158">
        <f t="shared" si="273"/>
        <v>0</v>
      </c>
    </row>
    <row r="332" spans="1:192" s="159" customFormat="1" x14ac:dyDescent="0.25">
      <c r="A332" s="175" t="s">
        <v>493</v>
      </c>
      <c r="B332" s="169">
        <v>2</v>
      </c>
      <c r="C332" s="169">
        <v>623</v>
      </c>
      <c r="D332" s="169">
        <v>5204</v>
      </c>
      <c r="E332" s="170">
        <f t="shared" si="245"/>
        <v>0</v>
      </c>
      <c r="F332" s="170">
        <f t="shared" si="245"/>
        <v>0</v>
      </c>
      <c r="G332" s="170">
        <f t="shared" si="245"/>
        <v>0</v>
      </c>
      <c r="H332" s="170"/>
      <c r="I332" s="170"/>
      <c r="J332" s="170">
        <f t="shared" si="177"/>
        <v>0</v>
      </c>
      <c r="K332" s="170"/>
      <c r="L332" s="170"/>
      <c r="M332" s="170">
        <f t="shared" si="261"/>
        <v>0</v>
      </c>
      <c r="N332" s="170">
        <v>0</v>
      </c>
      <c r="O332" s="170">
        <v>0</v>
      </c>
      <c r="P332" s="170">
        <f t="shared" si="263"/>
        <v>0</v>
      </c>
      <c r="Q332" s="170"/>
      <c r="R332" s="170"/>
      <c r="S332" s="170">
        <f t="shared" si="265"/>
        <v>0</v>
      </c>
      <c r="T332" s="170"/>
      <c r="U332" s="170"/>
      <c r="V332" s="170">
        <f t="shared" si="267"/>
        <v>0</v>
      </c>
      <c r="W332" s="170"/>
      <c r="X332" s="170"/>
      <c r="Y332" s="170">
        <f t="shared" si="269"/>
        <v>0</v>
      </c>
      <c r="Z332" s="170"/>
      <c r="AA332" s="170"/>
      <c r="AB332" s="170">
        <f t="shared" si="271"/>
        <v>0</v>
      </c>
      <c r="AC332" s="170"/>
      <c r="AD332" s="170"/>
      <c r="AE332" s="170">
        <f t="shared" si="273"/>
        <v>0</v>
      </c>
    </row>
    <row r="333" spans="1:192" s="159" customFormat="1" ht="31.5" x14ac:dyDescent="0.25">
      <c r="A333" s="175" t="s">
        <v>494</v>
      </c>
      <c r="B333" s="169">
        <v>2</v>
      </c>
      <c r="C333" s="169">
        <v>623</v>
      </c>
      <c r="D333" s="169">
        <v>5204</v>
      </c>
      <c r="E333" s="170">
        <f t="shared" si="245"/>
        <v>71323</v>
      </c>
      <c r="F333" s="170">
        <f t="shared" si="245"/>
        <v>71323</v>
      </c>
      <c r="G333" s="170">
        <f t="shared" si="245"/>
        <v>0</v>
      </c>
      <c r="H333" s="170"/>
      <c r="I333" s="170"/>
      <c r="J333" s="170">
        <f t="shared" si="177"/>
        <v>0</v>
      </c>
      <c r="K333" s="170"/>
      <c r="L333" s="170"/>
      <c r="M333" s="170">
        <f t="shared" si="261"/>
        <v>0</v>
      </c>
      <c r="N333" s="170">
        <v>71323</v>
      </c>
      <c r="O333" s="170">
        <v>71323</v>
      </c>
      <c r="P333" s="170">
        <f t="shared" si="263"/>
        <v>0</v>
      </c>
      <c r="Q333" s="170"/>
      <c r="R333" s="170"/>
      <c r="S333" s="170">
        <f t="shared" si="265"/>
        <v>0</v>
      </c>
      <c r="T333" s="170"/>
      <c r="U333" s="170"/>
      <c r="V333" s="170">
        <f t="shared" si="267"/>
        <v>0</v>
      </c>
      <c r="W333" s="170"/>
      <c r="X333" s="170"/>
      <c r="Y333" s="170">
        <f t="shared" si="269"/>
        <v>0</v>
      </c>
      <c r="Z333" s="170"/>
      <c r="AA333" s="170"/>
      <c r="AB333" s="170">
        <f t="shared" si="271"/>
        <v>0</v>
      </c>
      <c r="AC333" s="170"/>
      <c r="AD333" s="170"/>
      <c r="AE333" s="170">
        <f t="shared" si="273"/>
        <v>0</v>
      </c>
    </row>
    <row r="334" spans="1:192" s="159" customFormat="1" x14ac:dyDescent="0.25">
      <c r="A334" s="175" t="s">
        <v>495</v>
      </c>
      <c r="B334" s="169">
        <v>2</v>
      </c>
      <c r="C334" s="169">
        <v>622</v>
      </c>
      <c r="D334" s="169">
        <v>5204</v>
      </c>
      <c r="E334" s="170">
        <f t="shared" si="245"/>
        <v>21000</v>
      </c>
      <c r="F334" s="170">
        <f t="shared" si="245"/>
        <v>21000</v>
      </c>
      <c r="G334" s="170">
        <f t="shared" si="245"/>
        <v>0</v>
      </c>
      <c r="H334" s="170"/>
      <c r="I334" s="170"/>
      <c r="J334" s="170">
        <f t="shared" si="177"/>
        <v>0</v>
      </c>
      <c r="K334" s="170"/>
      <c r="L334" s="170"/>
      <c r="M334" s="170">
        <f t="shared" si="261"/>
        <v>0</v>
      </c>
      <c r="N334" s="170">
        <v>21000</v>
      </c>
      <c r="O334" s="170">
        <v>21000</v>
      </c>
      <c r="P334" s="170">
        <f t="shared" si="263"/>
        <v>0</v>
      </c>
      <c r="Q334" s="170"/>
      <c r="R334" s="170"/>
      <c r="S334" s="170">
        <f t="shared" si="265"/>
        <v>0</v>
      </c>
      <c r="T334" s="170"/>
      <c r="U334" s="170"/>
      <c r="V334" s="170">
        <f t="shared" si="267"/>
        <v>0</v>
      </c>
      <c r="W334" s="170"/>
      <c r="X334" s="170"/>
      <c r="Y334" s="170">
        <f t="shared" si="269"/>
        <v>0</v>
      </c>
      <c r="Z334" s="170"/>
      <c r="AA334" s="170"/>
      <c r="AB334" s="170">
        <f t="shared" si="271"/>
        <v>0</v>
      </c>
      <c r="AC334" s="170"/>
      <c r="AD334" s="170"/>
      <c r="AE334" s="170">
        <f t="shared" si="273"/>
        <v>0</v>
      </c>
    </row>
    <row r="335" spans="1:192" s="159" customFormat="1" x14ac:dyDescent="0.25">
      <c r="A335" s="157" t="s">
        <v>379</v>
      </c>
      <c r="B335" s="166"/>
      <c r="C335" s="166"/>
      <c r="D335" s="166"/>
      <c r="E335" s="158">
        <f t="shared" si="245"/>
        <v>19774</v>
      </c>
      <c r="F335" s="158">
        <f t="shared" si="245"/>
        <v>5166</v>
      </c>
      <c r="G335" s="158">
        <f t="shared" si="245"/>
        <v>-14608</v>
      </c>
      <c r="H335" s="158">
        <f>SUM(H336:H341)</f>
        <v>0</v>
      </c>
      <c r="I335" s="158">
        <f>SUM(I336:I341)</f>
        <v>0</v>
      </c>
      <c r="J335" s="158">
        <f t="shared" si="177"/>
        <v>0</v>
      </c>
      <c r="K335" s="158">
        <f t="shared" ref="K335:L335" si="289">SUM(K336:K341)</f>
        <v>0</v>
      </c>
      <c r="L335" s="158">
        <f t="shared" si="289"/>
        <v>0</v>
      </c>
      <c r="M335" s="158">
        <f t="shared" si="261"/>
        <v>0</v>
      </c>
      <c r="N335" s="158">
        <f t="shared" ref="N335:O335" si="290">SUM(N336:N341)</f>
        <v>19774</v>
      </c>
      <c r="O335" s="158">
        <f t="shared" si="290"/>
        <v>5166</v>
      </c>
      <c r="P335" s="158">
        <f t="shared" si="263"/>
        <v>-14608</v>
      </c>
      <c r="Q335" s="158">
        <f t="shared" ref="Q335:R335" si="291">SUM(Q336:Q341)</f>
        <v>0</v>
      </c>
      <c r="R335" s="158">
        <f t="shared" si="291"/>
        <v>0</v>
      </c>
      <c r="S335" s="158">
        <f t="shared" si="265"/>
        <v>0</v>
      </c>
      <c r="T335" s="158">
        <f t="shared" ref="T335:U335" si="292">SUM(T336:T341)</f>
        <v>0</v>
      </c>
      <c r="U335" s="158">
        <f t="shared" si="292"/>
        <v>0</v>
      </c>
      <c r="V335" s="158">
        <f t="shared" si="267"/>
        <v>0</v>
      </c>
      <c r="W335" s="158">
        <f t="shared" ref="W335:X335" si="293">SUM(W336:W341)</f>
        <v>0</v>
      </c>
      <c r="X335" s="158">
        <f t="shared" si="293"/>
        <v>0</v>
      </c>
      <c r="Y335" s="158">
        <f t="shared" si="269"/>
        <v>0</v>
      </c>
      <c r="Z335" s="158">
        <f t="shared" ref="Z335:AA335" si="294">SUM(Z336:Z341)</f>
        <v>0</v>
      </c>
      <c r="AA335" s="158">
        <f t="shared" si="294"/>
        <v>0</v>
      </c>
      <c r="AB335" s="158">
        <f t="shared" si="271"/>
        <v>0</v>
      </c>
      <c r="AC335" s="158">
        <f t="shared" ref="AC335:AD335" si="295">SUM(AC336:AC341)</f>
        <v>0</v>
      </c>
      <c r="AD335" s="158">
        <f t="shared" si="295"/>
        <v>0</v>
      </c>
      <c r="AE335" s="158">
        <f t="shared" si="273"/>
        <v>0</v>
      </c>
    </row>
    <row r="336" spans="1:192" s="159" customFormat="1" ht="31.5" x14ac:dyDescent="0.25">
      <c r="A336" s="175" t="s">
        <v>496</v>
      </c>
      <c r="B336" s="169">
        <v>2</v>
      </c>
      <c r="C336" s="169">
        <v>623</v>
      </c>
      <c r="D336" s="169">
        <v>5205</v>
      </c>
      <c r="E336" s="170">
        <f t="shared" si="245"/>
        <v>0</v>
      </c>
      <c r="F336" s="170">
        <f t="shared" si="245"/>
        <v>0</v>
      </c>
      <c r="G336" s="170">
        <f t="shared" si="245"/>
        <v>0</v>
      </c>
      <c r="H336" s="170"/>
      <c r="I336" s="170"/>
      <c r="J336" s="170">
        <f t="shared" si="177"/>
        <v>0</v>
      </c>
      <c r="K336" s="170"/>
      <c r="L336" s="170"/>
      <c r="M336" s="170">
        <f t="shared" si="261"/>
        <v>0</v>
      </c>
      <c r="N336" s="170">
        <v>0</v>
      </c>
      <c r="O336" s="170">
        <v>0</v>
      </c>
      <c r="P336" s="170">
        <f t="shared" si="263"/>
        <v>0</v>
      </c>
      <c r="Q336" s="170"/>
      <c r="R336" s="170"/>
      <c r="S336" s="170">
        <f t="shared" si="265"/>
        <v>0</v>
      </c>
      <c r="T336" s="170"/>
      <c r="U336" s="170"/>
      <c r="V336" s="170">
        <f t="shared" si="267"/>
        <v>0</v>
      </c>
      <c r="W336" s="170"/>
      <c r="X336" s="170"/>
      <c r="Y336" s="170">
        <f t="shared" si="269"/>
        <v>0</v>
      </c>
      <c r="Z336" s="170"/>
      <c r="AA336" s="170"/>
      <c r="AB336" s="170">
        <f t="shared" si="271"/>
        <v>0</v>
      </c>
      <c r="AC336" s="170"/>
      <c r="AD336" s="170"/>
      <c r="AE336" s="170">
        <f t="shared" si="273"/>
        <v>0</v>
      </c>
    </row>
    <row r="337" spans="1:31" s="159" customFormat="1" x14ac:dyDescent="0.25">
      <c r="A337" s="175" t="s">
        <v>497</v>
      </c>
      <c r="B337" s="169">
        <v>2</v>
      </c>
      <c r="C337" s="169">
        <v>623</v>
      </c>
      <c r="D337" s="169">
        <v>5205</v>
      </c>
      <c r="E337" s="170">
        <f t="shared" si="245"/>
        <v>0</v>
      </c>
      <c r="F337" s="170">
        <f t="shared" si="245"/>
        <v>0</v>
      </c>
      <c r="G337" s="170">
        <f t="shared" si="245"/>
        <v>0</v>
      </c>
      <c r="H337" s="170"/>
      <c r="I337" s="170"/>
      <c r="J337" s="170">
        <f t="shared" si="177"/>
        <v>0</v>
      </c>
      <c r="K337" s="170"/>
      <c r="L337" s="170"/>
      <c r="M337" s="170">
        <f t="shared" si="261"/>
        <v>0</v>
      </c>
      <c r="N337" s="170">
        <f>1185-1185</f>
        <v>0</v>
      </c>
      <c r="O337" s="170">
        <f>1185-1185</f>
        <v>0</v>
      </c>
      <c r="P337" s="170">
        <f t="shared" si="263"/>
        <v>0</v>
      </c>
      <c r="Q337" s="170"/>
      <c r="R337" s="170"/>
      <c r="S337" s="170">
        <f t="shared" si="265"/>
        <v>0</v>
      </c>
      <c r="T337" s="170"/>
      <c r="U337" s="170"/>
      <c r="V337" s="170">
        <f t="shared" si="267"/>
        <v>0</v>
      </c>
      <c r="W337" s="170"/>
      <c r="X337" s="170"/>
      <c r="Y337" s="170">
        <f t="shared" si="269"/>
        <v>0</v>
      </c>
      <c r="Z337" s="170"/>
      <c r="AA337" s="170"/>
      <c r="AB337" s="170">
        <f t="shared" si="271"/>
        <v>0</v>
      </c>
      <c r="AC337" s="170"/>
      <c r="AD337" s="170"/>
      <c r="AE337" s="170">
        <f t="shared" si="273"/>
        <v>0</v>
      </c>
    </row>
    <row r="338" spans="1:31" s="159" customFormat="1" ht="31.5" x14ac:dyDescent="0.25">
      <c r="A338" s="175" t="s">
        <v>498</v>
      </c>
      <c r="B338" s="169">
        <v>2</v>
      </c>
      <c r="C338" s="169">
        <v>622</v>
      </c>
      <c r="D338" s="169">
        <v>5205</v>
      </c>
      <c r="E338" s="170">
        <f t="shared" si="245"/>
        <v>8719</v>
      </c>
      <c r="F338" s="170">
        <f t="shared" si="245"/>
        <v>0</v>
      </c>
      <c r="G338" s="170">
        <f t="shared" si="245"/>
        <v>-8719</v>
      </c>
      <c r="H338" s="170"/>
      <c r="I338" s="170"/>
      <c r="J338" s="170">
        <f t="shared" si="177"/>
        <v>0</v>
      </c>
      <c r="K338" s="170"/>
      <c r="L338" s="170"/>
      <c r="M338" s="170">
        <f t="shared" si="261"/>
        <v>0</v>
      </c>
      <c r="N338" s="170">
        <f>9933-1214</f>
        <v>8719</v>
      </c>
      <c r="O338" s="170">
        <f>9933-1214-8719</f>
        <v>0</v>
      </c>
      <c r="P338" s="170">
        <f t="shared" si="263"/>
        <v>-8719</v>
      </c>
      <c r="Q338" s="170"/>
      <c r="R338" s="170"/>
      <c r="S338" s="170">
        <f t="shared" si="265"/>
        <v>0</v>
      </c>
      <c r="T338" s="170"/>
      <c r="U338" s="170"/>
      <c r="V338" s="170">
        <f t="shared" si="267"/>
        <v>0</v>
      </c>
      <c r="W338" s="170"/>
      <c r="X338" s="170"/>
      <c r="Y338" s="170">
        <f t="shared" si="269"/>
        <v>0</v>
      </c>
      <c r="Z338" s="170"/>
      <c r="AA338" s="170"/>
      <c r="AB338" s="170">
        <f t="shared" si="271"/>
        <v>0</v>
      </c>
      <c r="AC338" s="170"/>
      <c r="AD338" s="170"/>
      <c r="AE338" s="170">
        <f t="shared" si="273"/>
        <v>0</v>
      </c>
    </row>
    <row r="339" spans="1:31" s="159" customFormat="1" ht="31.5" x14ac:dyDescent="0.25">
      <c r="A339" s="175" t="s">
        <v>499</v>
      </c>
      <c r="B339" s="169">
        <v>2</v>
      </c>
      <c r="C339" s="169">
        <v>623</v>
      </c>
      <c r="D339" s="169">
        <v>5205</v>
      </c>
      <c r="E339" s="170">
        <f t="shared" si="245"/>
        <v>1214</v>
      </c>
      <c r="F339" s="170">
        <f t="shared" si="245"/>
        <v>1214</v>
      </c>
      <c r="G339" s="170">
        <f t="shared" si="245"/>
        <v>0</v>
      </c>
      <c r="H339" s="170"/>
      <c r="I339" s="170"/>
      <c r="J339" s="170">
        <f t="shared" si="177"/>
        <v>0</v>
      </c>
      <c r="K339" s="170"/>
      <c r="L339" s="170"/>
      <c r="M339" s="170">
        <f t="shared" si="261"/>
        <v>0</v>
      </c>
      <c r="N339" s="170">
        <v>1214</v>
      </c>
      <c r="O339" s="170">
        <v>1214</v>
      </c>
      <c r="P339" s="170">
        <f t="shared" si="263"/>
        <v>0</v>
      </c>
      <c r="Q339" s="170"/>
      <c r="R339" s="170"/>
      <c r="S339" s="170">
        <f t="shared" si="265"/>
        <v>0</v>
      </c>
      <c r="T339" s="170"/>
      <c r="U339" s="170"/>
      <c r="V339" s="170">
        <f t="shared" si="267"/>
        <v>0</v>
      </c>
      <c r="W339" s="170"/>
      <c r="X339" s="170"/>
      <c r="Y339" s="170">
        <f t="shared" si="269"/>
        <v>0</v>
      </c>
      <c r="Z339" s="170"/>
      <c r="AA339" s="170"/>
      <c r="AB339" s="170">
        <f t="shared" si="271"/>
        <v>0</v>
      </c>
      <c r="AC339" s="170"/>
      <c r="AD339" s="170"/>
      <c r="AE339" s="170">
        <f t="shared" si="273"/>
        <v>0</v>
      </c>
    </row>
    <row r="340" spans="1:31" s="159" customFormat="1" ht="31.5" x14ac:dyDescent="0.25">
      <c r="A340" s="175" t="s">
        <v>500</v>
      </c>
      <c r="B340" s="169">
        <v>2</v>
      </c>
      <c r="C340" s="169">
        <v>623</v>
      </c>
      <c r="D340" s="169">
        <v>5205</v>
      </c>
      <c r="E340" s="170">
        <f t="shared" si="245"/>
        <v>1430</v>
      </c>
      <c r="F340" s="170">
        <f t="shared" si="245"/>
        <v>1376</v>
      </c>
      <c r="G340" s="170">
        <f t="shared" si="245"/>
        <v>-54</v>
      </c>
      <c r="H340" s="170"/>
      <c r="I340" s="170"/>
      <c r="J340" s="170">
        <f t="shared" si="177"/>
        <v>0</v>
      </c>
      <c r="K340" s="170"/>
      <c r="L340" s="170"/>
      <c r="M340" s="170">
        <f t="shared" si="261"/>
        <v>0</v>
      </c>
      <c r="N340" s="170">
        <v>1430</v>
      </c>
      <c r="O340" s="170">
        <f>1430-54</f>
        <v>1376</v>
      </c>
      <c r="P340" s="170">
        <f t="shared" si="263"/>
        <v>-54</v>
      </c>
      <c r="Q340" s="170"/>
      <c r="R340" s="170"/>
      <c r="S340" s="170">
        <f t="shared" si="265"/>
        <v>0</v>
      </c>
      <c r="T340" s="170"/>
      <c r="U340" s="170"/>
      <c r="V340" s="170">
        <f t="shared" si="267"/>
        <v>0</v>
      </c>
      <c r="W340" s="170"/>
      <c r="X340" s="170"/>
      <c r="Y340" s="170">
        <f t="shared" si="269"/>
        <v>0</v>
      </c>
      <c r="Z340" s="170"/>
      <c r="AA340" s="170"/>
      <c r="AB340" s="170">
        <f t="shared" si="271"/>
        <v>0</v>
      </c>
      <c r="AC340" s="170"/>
      <c r="AD340" s="170"/>
      <c r="AE340" s="170">
        <f t="shared" si="273"/>
        <v>0</v>
      </c>
    </row>
    <row r="341" spans="1:31" s="159" customFormat="1" ht="47.25" x14ac:dyDescent="0.25">
      <c r="A341" s="175" t="s">
        <v>501</v>
      </c>
      <c r="B341" s="169">
        <v>2</v>
      </c>
      <c r="C341" s="169">
        <v>619</v>
      </c>
      <c r="D341" s="169">
        <v>5205</v>
      </c>
      <c r="E341" s="170">
        <f t="shared" si="245"/>
        <v>8411</v>
      </c>
      <c r="F341" s="170">
        <f t="shared" si="245"/>
        <v>2576</v>
      </c>
      <c r="G341" s="170">
        <f t="shared" si="245"/>
        <v>-5835</v>
      </c>
      <c r="H341" s="170"/>
      <c r="I341" s="170"/>
      <c r="J341" s="170">
        <f t="shared" si="177"/>
        <v>0</v>
      </c>
      <c r="K341" s="170"/>
      <c r="L341" s="170"/>
      <c r="M341" s="170">
        <f t="shared" si="261"/>
        <v>0</v>
      </c>
      <c r="N341" s="170">
        <v>8411</v>
      </c>
      <c r="O341" s="170">
        <f>8411-5835</f>
        <v>2576</v>
      </c>
      <c r="P341" s="170">
        <f t="shared" si="263"/>
        <v>-5835</v>
      </c>
      <c r="Q341" s="170"/>
      <c r="R341" s="170"/>
      <c r="S341" s="170">
        <f t="shared" si="265"/>
        <v>0</v>
      </c>
      <c r="T341" s="170"/>
      <c r="U341" s="170"/>
      <c r="V341" s="170">
        <f t="shared" si="267"/>
        <v>0</v>
      </c>
      <c r="W341" s="170"/>
      <c r="X341" s="170"/>
      <c r="Y341" s="170">
        <f t="shared" si="269"/>
        <v>0</v>
      </c>
      <c r="Z341" s="170"/>
      <c r="AA341" s="170"/>
      <c r="AB341" s="170">
        <f t="shared" si="271"/>
        <v>0</v>
      </c>
      <c r="AC341" s="170"/>
      <c r="AD341" s="170"/>
      <c r="AE341" s="170">
        <f t="shared" si="273"/>
        <v>0</v>
      </c>
    </row>
    <row r="342" spans="1:31" s="159" customFormat="1" x14ac:dyDescent="0.25">
      <c r="A342" s="157" t="s">
        <v>386</v>
      </c>
      <c r="B342" s="166"/>
      <c r="C342" s="166"/>
      <c r="D342" s="166"/>
      <c r="E342" s="158">
        <f t="shared" si="245"/>
        <v>7909585</v>
      </c>
      <c r="F342" s="158">
        <f t="shared" si="245"/>
        <v>5516708</v>
      </c>
      <c r="G342" s="158">
        <f t="shared" si="245"/>
        <v>-2392877</v>
      </c>
      <c r="H342" s="158">
        <f>SUM(H343:H360)</f>
        <v>247426</v>
      </c>
      <c r="I342" s="158">
        <f>SUM(I343:I360)</f>
        <v>247426</v>
      </c>
      <c r="J342" s="158">
        <f t="shared" si="177"/>
        <v>0</v>
      </c>
      <c r="K342" s="158">
        <f t="shared" ref="K342:L342" si="296">SUM(K343:K360)</f>
        <v>339029</v>
      </c>
      <c r="L342" s="158">
        <f t="shared" si="296"/>
        <v>163827</v>
      </c>
      <c r="M342" s="158">
        <f t="shared" si="261"/>
        <v>-175202</v>
      </c>
      <c r="N342" s="158">
        <f t="shared" ref="N342:O342" si="297">SUM(N343:N360)</f>
        <v>189189</v>
      </c>
      <c r="O342" s="158">
        <f t="shared" si="297"/>
        <v>123481</v>
      </c>
      <c r="P342" s="158">
        <f t="shared" si="263"/>
        <v>-65708</v>
      </c>
      <c r="Q342" s="158">
        <f t="shared" ref="Q342:R342" si="298">SUM(Q343:Q360)</f>
        <v>1091336</v>
      </c>
      <c r="R342" s="158">
        <f t="shared" si="298"/>
        <v>9369</v>
      </c>
      <c r="S342" s="158">
        <f t="shared" si="265"/>
        <v>-1081967</v>
      </c>
      <c r="T342" s="158">
        <f t="shared" ref="T342:U342" si="299">SUM(T343:T360)</f>
        <v>0</v>
      </c>
      <c r="U342" s="158">
        <f t="shared" si="299"/>
        <v>0</v>
      </c>
      <c r="V342" s="158">
        <f t="shared" si="267"/>
        <v>0</v>
      </c>
      <c r="W342" s="158">
        <f t="shared" ref="W342:X342" si="300">SUM(W343:W360)</f>
        <v>3672605</v>
      </c>
      <c r="X342" s="158">
        <f t="shared" si="300"/>
        <v>3672605</v>
      </c>
      <c r="Y342" s="158">
        <f t="shared" si="269"/>
        <v>0</v>
      </c>
      <c r="Z342" s="158">
        <f t="shared" ref="Z342:AA342" si="301">SUM(Z343:Z360)</f>
        <v>1300000</v>
      </c>
      <c r="AA342" s="158">
        <f t="shared" si="301"/>
        <v>1300000</v>
      </c>
      <c r="AB342" s="158">
        <f t="shared" si="271"/>
        <v>0</v>
      </c>
      <c r="AC342" s="158">
        <f t="shared" ref="AC342:AD342" si="302">SUM(AC343:AC360)</f>
        <v>1070000</v>
      </c>
      <c r="AD342" s="158">
        <f t="shared" si="302"/>
        <v>0</v>
      </c>
      <c r="AE342" s="158">
        <f t="shared" si="273"/>
        <v>-1070000</v>
      </c>
    </row>
    <row r="343" spans="1:31" s="159" customFormat="1" ht="31.5" x14ac:dyDescent="0.25">
      <c r="A343" s="175" t="s">
        <v>502</v>
      </c>
      <c r="B343" s="169">
        <v>2</v>
      </c>
      <c r="C343" s="169">
        <v>619</v>
      </c>
      <c r="D343" s="169">
        <v>5206</v>
      </c>
      <c r="E343" s="170">
        <f t="shared" si="245"/>
        <v>24685</v>
      </c>
      <c r="F343" s="170">
        <f t="shared" si="245"/>
        <v>24685</v>
      </c>
      <c r="G343" s="170">
        <f t="shared" si="245"/>
        <v>0</v>
      </c>
      <c r="H343" s="170">
        <v>24685</v>
      </c>
      <c r="I343" s="170">
        <v>24685</v>
      </c>
      <c r="J343" s="170">
        <f t="shared" si="177"/>
        <v>0</v>
      </c>
      <c r="K343" s="170"/>
      <c r="L343" s="170"/>
      <c r="M343" s="170">
        <f t="shared" si="261"/>
        <v>0</v>
      </c>
      <c r="N343" s="170"/>
      <c r="O343" s="170"/>
      <c r="P343" s="170">
        <f t="shared" si="263"/>
        <v>0</v>
      </c>
      <c r="Q343" s="170"/>
      <c r="R343" s="170"/>
      <c r="S343" s="170">
        <f t="shared" si="265"/>
        <v>0</v>
      </c>
      <c r="T343" s="170"/>
      <c r="U343" s="170"/>
      <c r="V343" s="170">
        <f t="shared" si="267"/>
        <v>0</v>
      </c>
      <c r="W343" s="170"/>
      <c r="X343" s="170"/>
      <c r="Y343" s="170">
        <f t="shared" si="269"/>
        <v>0</v>
      </c>
      <c r="Z343" s="170"/>
      <c r="AA343" s="170"/>
      <c r="AB343" s="170">
        <f t="shared" si="271"/>
        <v>0</v>
      </c>
      <c r="AC343" s="170"/>
      <c r="AD343" s="170"/>
      <c r="AE343" s="170">
        <f t="shared" si="273"/>
        <v>0</v>
      </c>
    </row>
    <row r="344" spans="1:31" s="159" customFormat="1" ht="31.5" x14ac:dyDescent="0.25">
      <c r="A344" s="175" t="s">
        <v>503</v>
      </c>
      <c r="B344" s="169">
        <v>2</v>
      </c>
      <c r="C344" s="169">
        <v>619</v>
      </c>
      <c r="D344" s="169">
        <v>5206</v>
      </c>
      <c r="E344" s="170">
        <f t="shared" si="245"/>
        <v>22398</v>
      </c>
      <c r="F344" s="170">
        <f t="shared" si="245"/>
        <v>22398</v>
      </c>
      <c r="G344" s="170">
        <f t="shared" si="245"/>
        <v>0</v>
      </c>
      <c r="H344" s="170">
        <v>10315</v>
      </c>
      <c r="I344" s="170">
        <v>10315</v>
      </c>
      <c r="J344" s="170">
        <f t="shared" si="177"/>
        <v>0</v>
      </c>
      <c r="K344" s="170"/>
      <c r="L344" s="170"/>
      <c r="M344" s="170">
        <f t="shared" si="261"/>
        <v>0</v>
      </c>
      <c r="N344" s="170">
        <v>12083</v>
      </c>
      <c r="O344" s="170">
        <v>12083</v>
      </c>
      <c r="P344" s="170">
        <f t="shared" si="263"/>
        <v>0</v>
      </c>
      <c r="Q344" s="170"/>
      <c r="R344" s="170"/>
      <c r="S344" s="170">
        <f t="shared" si="265"/>
        <v>0</v>
      </c>
      <c r="T344" s="170"/>
      <c r="U344" s="170"/>
      <c r="V344" s="170">
        <f t="shared" si="267"/>
        <v>0</v>
      </c>
      <c r="W344" s="170"/>
      <c r="X344" s="170"/>
      <c r="Y344" s="170">
        <f t="shared" si="269"/>
        <v>0</v>
      </c>
      <c r="Z344" s="170"/>
      <c r="AA344" s="170"/>
      <c r="AB344" s="170">
        <f t="shared" si="271"/>
        <v>0</v>
      </c>
      <c r="AC344" s="170"/>
      <c r="AD344" s="170"/>
      <c r="AE344" s="170">
        <f t="shared" si="273"/>
        <v>0</v>
      </c>
    </row>
    <row r="345" spans="1:31" s="159" customFormat="1" ht="31.5" x14ac:dyDescent="0.25">
      <c r="A345" s="178" t="s">
        <v>504</v>
      </c>
      <c r="B345" s="168">
        <v>2</v>
      </c>
      <c r="C345" s="168">
        <v>619</v>
      </c>
      <c r="D345" s="172">
        <v>5206</v>
      </c>
      <c r="E345" s="170">
        <f t="shared" si="245"/>
        <v>11265</v>
      </c>
      <c r="F345" s="170">
        <f t="shared" si="245"/>
        <v>11265</v>
      </c>
      <c r="G345" s="170">
        <f t="shared" si="245"/>
        <v>0</v>
      </c>
      <c r="H345" s="170"/>
      <c r="I345" s="170"/>
      <c r="J345" s="170">
        <f>I345-H345</f>
        <v>0</v>
      </c>
      <c r="K345" s="170"/>
      <c r="L345" s="170"/>
      <c r="M345" s="170">
        <f>L345-K345</f>
        <v>0</v>
      </c>
      <c r="N345" s="170">
        <f>5000+1265</f>
        <v>6265</v>
      </c>
      <c r="O345" s="170">
        <f>5000+1265</f>
        <v>6265</v>
      </c>
      <c r="P345" s="170">
        <f>O345-N345</f>
        <v>0</v>
      </c>
      <c r="Q345" s="170"/>
      <c r="R345" s="170"/>
      <c r="S345" s="170">
        <f>R345-Q345</f>
        <v>0</v>
      </c>
      <c r="T345" s="170"/>
      <c r="U345" s="170"/>
      <c r="V345" s="170">
        <f>U345-T345</f>
        <v>0</v>
      </c>
      <c r="W345" s="170"/>
      <c r="X345" s="170"/>
      <c r="Y345" s="170">
        <f>X345-W345</f>
        <v>0</v>
      </c>
      <c r="Z345" s="170">
        <v>5000</v>
      </c>
      <c r="AA345" s="170">
        <v>5000</v>
      </c>
      <c r="AB345" s="170">
        <f>AA345-Z345</f>
        <v>0</v>
      </c>
      <c r="AC345" s="170"/>
      <c r="AD345" s="170"/>
      <c r="AE345" s="170">
        <f>AD345-AC345</f>
        <v>0</v>
      </c>
    </row>
    <row r="346" spans="1:31" s="159" customFormat="1" x14ac:dyDescent="0.25">
      <c r="A346" s="167" t="s">
        <v>505</v>
      </c>
      <c r="B346" s="168">
        <v>2</v>
      </c>
      <c r="C346" s="168">
        <v>606</v>
      </c>
      <c r="D346" s="172">
        <v>5206</v>
      </c>
      <c r="E346" s="170">
        <f t="shared" si="245"/>
        <v>70000</v>
      </c>
      <c r="F346" s="170">
        <f t="shared" si="245"/>
        <v>65947</v>
      </c>
      <c r="G346" s="170">
        <f t="shared" si="245"/>
        <v>-4053</v>
      </c>
      <c r="H346" s="170">
        <v>7738</v>
      </c>
      <c r="I346" s="170">
        <v>7738</v>
      </c>
      <c r="J346" s="170">
        <f t="shared" si="177"/>
        <v>0</v>
      </c>
      <c r="K346" s="170">
        <v>62262</v>
      </c>
      <c r="L346" s="170">
        <f>62262-4053</f>
        <v>58209</v>
      </c>
      <c r="M346" s="170">
        <f t="shared" si="261"/>
        <v>-4053</v>
      </c>
      <c r="N346" s="170"/>
      <c r="O346" s="170"/>
      <c r="P346" s="170">
        <f t="shared" si="263"/>
        <v>0</v>
      </c>
      <c r="Q346" s="170"/>
      <c r="R346" s="170"/>
      <c r="S346" s="170">
        <f t="shared" si="265"/>
        <v>0</v>
      </c>
      <c r="T346" s="170"/>
      <c r="U346" s="170"/>
      <c r="V346" s="170">
        <f t="shared" si="267"/>
        <v>0</v>
      </c>
      <c r="W346" s="170"/>
      <c r="X346" s="170"/>
      <c r="Y346" s="170">
        <f t="shared" si="269"/>
        <v>0</v>
      </c>
      <c r="Z346" s="170"/>
      <c r="AA346" s="170"/>
      <c r="AB346" s="170">
        <f t="shared" si="271"/>
        <v>0</v>
      </c>
      <c r="AC346" s="170"/>
      <c r="AD346" s="170"/>
      <c r="AE346" s="170">
        <f t="shared" si="273"/>
        <v>0</v>
      </c>
    </row>
    <row r="347" spans="1:31" s="159" customFormat="1" ht="78.75" x14ac:dyDescent="0.25">
      <c r="A347" s="167" t="s">
        <v>506</v>
      </c>
      <c r="B347" s="168">
        <v>2</v>
      </c>
      <c r="C347" s="168">
        <v>606</v>
      </c>
      <c r="D347" s="172">
        <v>5206</v>
      </c>
      <c r="E347" s="170">
        <f t="shared" si="245"/>
        <v>1850000</v>
      </c>
      <c r="F347" s="170">
        <f t="shared" si="245"/>
        <v>1290000</v>
      </c>
      <c r="G347" s="170">
        <f t="shared" si="245"/>
        <v>-560000</v>
      </c>
      <c r="H347" s="170"/>
      <c r="I347" s="170"/>
      <c r="J347" s="170">
        <f t="shared" si="177"/>
        <v>0</v>
      </c>
      <c r="K347" s="170"/>
      <c r="L347" s="170"/>
      <c r="M347" s="170">
        <f t="shared" si="261"/>
        <v>0</v>
      </c>
      <c r="N347" s="170"/>
      <c r="O347" s="170"/>
      <c r="P347" s="170">
        <f t="shared" si="263"/>
        <v>0</v>
      </c>
      <c r="Q347" s="170"/>
      <c r="R347" s="170"/>
      <c r="S347" s="170">
        <f t="shared" si="265"/>
        <v>0</v>
      </c>
      <c r="T347" s="170"/>
      <c r="U347" s="170"/>
      <c r="V347" s="170">
        <f t="shared" si="267"/>
        <v>0</v>
      </c>
      <c r="W347" s="170"/>
      <c r="X347" s="170"/>
      <c r="Y347" s="170">
        <f t="shared" si="269"/>
        <v>0</v>
      </c>
      <c r="Z347" s="170">
        <v>1290000</v>
      </c>
      <c r="AA347" s="170">
        <v>1290000</v>
      </c>
      <c r="AB347" s="170">
        <f t="shared" si="271"/>
        <v>0</v>
      </c>
      <c r="AC347" s="170">
        <v>560000</v>
      </c>
      <c r="AD347" s="170"/>
      <c r="AE347" s="170">
        <f t="shared" si="273"/>
        <v>-560000</v>
      </c>
    </row>
    <row r="348" spans="1:31" s="159" customFormat="1" ht="94.5" x14ac:dyDescent="0.25">
      <c r="A348" s="161" t="s">
        <v>507</v>
      </c>
      <c r="B348" s="162">
        <v>2</v>
      </c>
      <c r="C348" s="162">
        <v>606</v>
      </c>
      <c r="D348" s="169">
        <v>5206</v>
      </c>
      <c r="E348" s="170">
        <f t="shared" si="245"/>
        <v>49792</v>
      </c>
      <c r="F348" s="170">
        <f t="shared" si="245"/>
        <v>49792</v>
      </c>
      <c r="G348" s="170">
        <f t="shared" si="245"/>
        <v>0</v>
      </c>
      <c r="H348" s="170"/>
      <c r="I348" s="170"/>
      <c r="J348" s="170">
        <f t="shared" si="177"/>
        <v>0</v>
      </c>
      <c r="K348" s="170"/>
      <c r="L348" s="170"/>
      <c r="M348" s="170">
        <f t="shared" si="261"/>
        <v>0</v>
      </c>
      <c r="N348" s="170"/>
      <c r="O348" s="170"/>
      <c r="P348" s="170">
        <f t="shared" si="263"/>
        <v>0</v>
      </c>
      <c r="Q348" s="170"/>
      <c r="R348" s="170"/>
      <c r="S348" s="170">
        <f t="shared" si="265"/>
        <v>0</v>
      </c>
      <c r="T348" s="170"/>
      <c r="U348" s="170"/>
      <c r="V348" s="170">
        <f t="shared" si="267"/>
        <v>0</v>
      </c>
      <c r="W348" s="170">
        <v>49792</v>
      </c>
      <c r="X348" s="170">
        <v>49792</v>
      </c>
      <c r="Y348" s="170">
        <f t="shared" si="269"/>
        <v>0</v>
      </c>
      <c r="Z348" s="170"/>
      <c r="AA348" s="170"/>
      <c r="AB348" s="170">
        <f t="shared" si="271"/>
        <v>0</v>
      </c>
      <c r="AC348" s="170"/>
      <c r="AD348" s="170"/>
      <c r="AE348" s="170">
        <f t="shared" si="273"/>
        <v>0</v>
      </c>
    </row>
    <row r="349" spans="1:31" s="159" customFormat="1" ht="31.5" x14ac:dyDescent="0.25">
      <c r="A349" s="161" t="s">
        <v>508</v>
      </c>
      <c r="B349" s="162">
        <v>2</v>
      </c>
      <c r="C349" s="162">
        <v>606</v>
      </c>
      <c r="D349" s="169">
        <v>5206</v>
      </c>
      <c r="E349" s="170">
        <f t="shared" si="245"/>
        <v>18646</v>
      </c>
      <c r="F349" s="170">
        <f t="shared" si="245"/>
        <v>18646</v>
      </c>
      <c r="G349" s="170">
        <f t="shared" si="245"/>
        <v>0</v>
      </c>
      <c r="H349" s="170">
        <v>15000</v>
      </c>
      <c r="I349" s="170">
        <v>15000</v>
      </c>
      <c r="J349" s="170">
        <f t="shared" si="177"/>
        <v>0</v>
      </c>
      <c r="K349" s="170"/>
      <c r="L349" s="170"/>
      <c r="M349" s="170">
        <f t="shared" si="261"/>
        <v>0</v>
      </c>
      <c r="N349" s="170">
        <f>15000-15000</f>
        <v>0</v>
      </c>
      <c r="O349" s="170">
        <f>15000-15000</f>
        <v>0</v>
      </c>
      <c r="P349" s="170">
        <f t="shared" si="263"/>
        <v>0</v>
      </c>
      <c r="Q349" s="170"/>
      <c r="R349" s="170"/>
      <c r="S349" s="170">
        <f t="shared" si="265"/>
        <v>0</v>
      </c>
      <c r="T349" s="170"/>
      <c r="U349" s="170"/>
      <c r="V349" s="170">
        <f t="shared" si="267"/>
        <v>0</v>
      </c>
      <c r="W349" s="170">
        <v>3646</v>
      </c>
      <c r="X349" s="170">
        <v>3646</v>
      </c>
      <c r="Y349" s="170">
        <f t="shared" si="269"/>
        <v>0</v>
      </c>
      <c r="Z349" s="170"/>
      <c r="AA349" s="170"/>
      <c r="AB349" s="170">
        <f t="shared" si="271"/>
        <v>0</v>
      </c>
      <c r="AC349" s="170"/>
      <c r="AD349" s="170"/>
      <c r="AE349" s="170">
        <f t="shared" si="273"/>
        <v>0</v>
      </c>
    </row>
    <row r="350" spans="1:31" s="159" customFormat="1" ht="94.5" x14ac:dyDescent="0.25">
      <c r="A350" s="161" t="s">
        <v>509</v>
      </c>
      <c r="B350" s="162">
        <v>2</v>
      </c>
      <c r="C350" s="162">
        <v>606</v>
      </c>
      <c r="D350" s="169">
        <v>5206</v>
      </c>
      <c r="E350" s="170">
        <f t="shared" si="245"/>
        <v>3539431</v>
      </c>
      <c r="F350" s="170">
        <f t="shared" si="245"/>
        <v>3539431</v>
      </c>
      <c r="G350" s="170">
        <f t="shared" si="245"/>
        <v>0</v>
      </c>
      <c r="H350" s="170"/>
      <c r="I350" s="170"/>
      <c r="J350" s="170">
        <f t="shared" si="177"/>
        <v>0</v>
      </c>
      <c r="K350" s="170"/>
      <c r="L350" s="170"/>
      <c r="M350" s="170">
        <f t="shared" si="261"/>
        <v>0</v>
      </c>
      <c r="N350" s="170"/>
      <c r="O350" s="170"/>
      <c r="P350" s="170">
        <f t="shared" si="263"/>
        <v>0</v>
      </c>
      <c r="Q350" s="170"/>
      <c r="R350" s="170"/>
      <c r="S350" s="170">
        <f t="shared" si="265"/>
        <v>0</v>
      </c>
      <c r="T350" s="170"/>
      <c r="U350" s="170"/>
      <c r="V350" s="170">
        <f t="shared" si="267"/>
        <v>0</v>
      </c>
      <c r="W350" s="170">
        <f>3503649+35782</f>
        <v>3539431</v>
      </c>
      <c r="X350" s="170">
        <f>3503649+35782</f>
        <v>3539431</v>
      </c>
      <c r="Y350" s="170">
        <f t="shared" si="269"/>
        <v>0</v>
      </c>
      <c r="Z350" s="170"/>
      <c r="AA350" s="170"/>
      <c r="AB350" s="170">
        <f t="shared" si="271"/>
        <v>0</v>
      </c>
      <c r="AC350" s="170"/>
      <c r="AD350" s="170"/>
      <c r="AE350" s="170">
        <f t="shared" si="273"/>
        <v>0</v>
      </c>
    </row>
    <row r="351" spans="1:31" s="159" customFormat="1" ht="94.5" x14ac:dyDescent="0.25">
      <c r="A351" s="161" t="s">
        <v>510</v>
      </c>
      <c r="B351" s="162">
        <v>2</v>
      </c>
      <c r="C351" s="162">
        <v>619</v>
      </c>
      <c r="D351" s="169">
        <v>5206</v>
      </c>
      <c r="E351" s="170">
        <f t="shared" si="245"/>
        <v>570017</v>
      </c>
      <c r="F351" s="170">
        <f t="shared" si="245"/>
        <v>0</v>
      </c>
      <c r="G351" s="170">
        <f t="shared" si="245"/>
        <v>-570017</v>
      </c>
      <c r="H351" s="170">
        <v>0</v>
      </c>
      <c r="I351" s="170">
        <v>0</v>
      </c>
      <c r="J351" s="170">
        <f t="shared" ref="J351:J439" si="303">I351-H351</f>
        <v>0</v>
      </c>
      <c r="K351" s="170">
        <v>60017</v>
      </c>
      <c r="L351" s="170">
        <f>60017-60017</f>
        <v>0</v>
      </c>
      <c r="M351" s="170">
        <f t="shared" si="261"/>
        <v>-60017</v>
      </c>
      <c r="N351" s="170"/>
      <c r="O351" s="170"/>
      <c r="P351" s="170">
        <f t="shared" si="263"/>
        <v>0</v>
      </c>
      <c r="Q351" s="170"/>
      <c r="R351" s="170"/>
      <c r="S351" s="170">
        <f t="shared" si="265"/>
        <v>0</v>
      </c>
      <c r="T351" s="170"/>
      <c r="U351" s="170"/>
      <c r="V351" s="170">
        <f t="shared" si="267"/>
        <v>0</v>
      </c>
      <c r="W351" s="170"/>
      <c r="X351" s="170"/>
      <c r="Y351" s="170">
        <f t="shared" si="269"/>
        <v>0</v>
      </c>
      <c r="Z351" s="170"/>
      <c r="AA351" s="170"/>
      <c r="AB351" s="170">
        <f t="shared" si="271"/>
        <v>0</v>
      </c>
      <c r="AC351" s="170">
        <f>250000+83000+177000</f>
        <v>510000</v>
      </c>
      <c r="AD351" s="170"/>
      <c r="AE351" s="170">
        <f t="shared" si="273"/>
        <v>-510000</v>
      </c>
    </row>
    <row r="352" spans="1:31" s="159" customFormat="1" ht="31.5" x14ac:dyDescent="0.25">
      <c r="A352" s="161" t="s">
        <v>511</v>
      </c>
      <c r="B352" s="162">
        <v>2</v>
      </c>
      <c r="C352" s="162">
        <v>606</v>
      </c>
      <c r="D352" s="169">
        <v>5206</v>
      </c>
      <c r="E352" s="170">
        <f t="shared" si="245"/>
        <v>31000</v>
      </c>
      <c r="F352" s="170">
        <f t="shared" si="245"/>
        <v>24161</v>
      </c>
      <c r="G352" s="170">
        <f t="shared" si="245"/>
        <v>-6839</v>
      </c>
      <c r="H352" s="170"/>
      <c r="I352" s="170"/>
      <c r="J352" s="170">
        <f t="shared" si="303"/>
        <v>0</v>
      </c>
      <c r="K352" s="170"/>
      <c r="L352" s="170"/>
      <c r="M352" s="170">
        <f t="shared" si="261"/>
        <v>0</v>
      </c>
      <c r="N352" s="170">
        <f>31000</f>
        <v>31000</v>
      </c>
      <c r="O352" s="170">
        <f>31000-6839</f>
        <v>24161</v>
      </c>
      <c r="P352" s="170">
        <f t="shared" si="263"/>
        <v>-6839</v>
      </c>
      <c r="Q352" s="170"/>
      <c r="R352" s="170"/>
      <c r="S352" s="170">
        <f t="shared" si="265"/>
        <v>0</v>
      </c>
      <c r="T352" s="170"/>
      <c r="U352" s="170"/>
      <c r="V352" s="170">
        <f t="shared" si="267"/>
        <v>0</v>
      </c>
      <c r="W352" s="170"/>
      <c r="X352" s="170"/>
      <c r="Y352" s="170">
        <f t="shared" si="269"/>
        <v>0</v>
      </c>
      <c r="Z352" s="170"/>
      <c r="AA352" s="170"/>
      <c r="AB352" s="170">
        <f t="shared" si="271"/>
        <v>0</v>
      </c>
      <c r="AC352" s="170"/>
      <c r="AD352" s="170"/>
      <c r="AE352" s="170">
        <f t="shared" si="273"/>
        <v>0</v>
      </c>
    </row>
    <row r="353" spans="1:192" s="159" customFormat="1" ht="31.5" x14ac:dyDescent="0.25">
      <c r="A353" s="161" t="s">
        <v>512</v>
      </c>
      <c r="B353" s="162">
        <v>2</v>
      </c>
      <c r="C353" s="162">
        <v>606</v>
      </c>
      <c r="D353" s="169">
        <v>5206</v>
      </c>
      <c r="E353" s="170">
        <f t="shared" si="245"/>
        <v>60000</v>
      </c>
      <c r="F353" s="170">
        <f t="shared" si="245"/>
        <v>59974</v>
      </c>
      <c r="G353" s="170">
        <f t="shared" si="245"/>
        <v>-26</v>
      </c>
      <c r="H353" s="170">
        <f>60000-60000</f>
        <v>0</v>
      </c>
      <c r="I353" s="170">
        <f>60000-60000</f>
        <v>0</v>
      </c>
      <c r="J353" s="170">
        <f t="shared" si="303"/>
        <v>0</v>
      </c>
      <c r="K353" s="170"/>
      <c r="L353" s="170"/>
      <c r="M353" s="170">
        <f t="shared" si="261"/>
        <v>0</v>
      </c>
      <c r="N353" s="170">
        <v>60000</v>
      </c>
      <c r="O353" s="170">
        <f>60000-26</f>
        <v>59974</v>
      </c>
      <c r="P353" s="170">
        <f t="shared" si="263"/>
        <v>-26</v>
      </c>
      <c r="Q353" s="170"/>
      <c r="R353" s="170"/>
      <c r="S353" s="170">
        <f t="shared" si="265"/>
        <v>0</v>
      </c>
      <c r="T353" s="170"/>
      <c r="U353" s="170"/>
      <c r="V353" s="170">
        <f t="shared" si="267"/>
        <v>0</v>
      </c>
      <c r="W353" s="170"/>
      <c r="X353" s="170"/>
      <c r="Y353" s="170">
        <f t="shared" si="269"/>
        <v>0</v>
      </c>
      <c r="Z353" s="170"/>
      <c r="AA353" s="170"/>
      <c r="AB353" s="170">
        <f t="shared" si="271"/>
        <v>0</v>
      </c>
      <c r="AC353" s="170"/>
      <c r="AD353" s="170"/>
      <c r="AE353" s="170">
        <f t="shared" si="273"/>
        <v>0</v>
      </c>
    </row>
    <row r="354" spans="1:192" s="159" customFormat="1" x14ac:dyDescent="0.25">
      <c r="A354" s="161" t="s">
        <v>513</v>
      </c>
      <c r="B354" s="162">
        <v>2</v>
      </c>
      <c r="C354" s="162">
        <v>606</v>
      </c>
      <c r="D354" s="169">
        <v>5206</v>
      </c>
      <c r="E354" s="170">
        <f t="shared" si="245"/>
        <v>150000</v>
      </c>
      <c r="F354" s="170">
        <f t="shared" si="245"/>
        <v>100086</v>
      </c>
      <c r="G354" s="170">
        <f t="shared" si="245"/>
        <v>-49914</v>
      </c>
      <c r="H354" s="170">
        <f>70264-49914</f>
        <v>20350</v>
      </c>
      <c r="I354" s="170">
        <f>70264-49914</f>
        <v>20350</v>
      </c>
      <c r="J354" s="170">
        <f t="shared" si="303"/>
        <v>0</v>
      </c>
      <c r="K354" s="170">
        <f>49914</f>
        <v>49914</v>
      </c>
      <c r="L354" s="170">
        <f>49914-49914</f>
        <v>0</v>
      </c>
      <c r="M354" s="170">
        <f t="shared" si="261"/>
        <v>-49914</v>
      </c>
      <c r="N354" s="170"/>
      <c r="O354" s="170"/>
      <c r="P354" s="170">
        <f t="shared" si="263"/>
        <v>0</v>
      </c>
      <c r="Q354" s="170"/>
      <c r="R354" s="170"/>
      <c r="S354" s="170">
        <f t="shared" si="265"/>
        <v>0</v>
      </c>
      <c r="T354" s="170"/>
      <c r="U354" s="170"/>
      <c r="V354" s="170">
        <f t="shared" si="267"/>
        <v>0</v>
      </c>
      <c r="W354" s="170">
        <v>79736</v>
      </c>
      <c r="X354" s="170">
        <v>79736</v>
      </c>
      <c r="Y354" s="170">
        <f t="shared" si="269"/>
        <v>0</v>
      </c>
      <c r="Z354" s="170"/>
      <c r="AA354" s="170"/>
      <c r="AB354" s="170">
        <f t="shared" si="271"/>
        <v>0</v>
      </c>
      <c r="AC354" s="170"/>
      <c r="AD354" s="170"/>
      <c r="AE354" s="170">
        <f t="shared" si="273"/>
        <v>0</v>
      </c>
    </row>
    <row r="355" spans="1:192" s="159" customFormat="1" ht="94.5" x14ac:dyDescent="0.25">
      <c r="A355" s="161" t="s">
        <v>514</v>
      </c>
      <c r="B355" s="168"/>
      <c r="C355" s="168"/>
      <c r="D355" s="172"/>
      <c r="E355" s="170">
        <f t="shared" si="245"/>
        <v>1091336</v>
      </c>
      <c r="F355" s="170">
        <f t="shared" si="245"/>
        <v>9369</v>
      </c>
      <c r="G355" s="170">
        <f t="shared" si="245"/>
        <v>-1081967</v>
      </c>
      <c r="H355" s="170"/>
      <c r="I355" s="170"/>
      <c r="J355" s="170">
        <f t="shared" si="303"/>
        <v>0</v>
      </c>
      <c r="K355" s="170"/>
      <c r="L355" s="170"/>
      <c r="M355" s="170">
        <f t="shared" si="261"/>
        <v>0</v>
      </c>
      <c r="N355" s="170"/>
      <c r="O355" s="170"/>
      <c r="P355" s="170">
        <f t="shared" si="263"/>
        <v>0</v>
      </c>
      <c r="Q355" s="170">
        <v>1091336</v>
      </c>
      <c r="R355" s="170">
        <v>9369</v>
      </c>
      <c r="S355" s="170">
        <f t="shared" si="265"/>
        <v>-1081967</v>
      </c>
      <c r="T355" s="170"/>
      <c r="U355" s="170"/>
      <c r="V355" s="170">
        <f t="shared" si="267"/>
        <v>0</v>
      </c>
      <c r="W355" s="170"/>
      <c r="X355" s="170"/>
      <c r="Y355" s="170">
        <f t="shared" si="269"/>
        <v>0</v>
      </c>
      <c r="Z355" s="170"/>
      <c r="AA355" s="170"/>
      <c r="AB355" s="170">
        <f t="shared" si="271"/>
        <v>0</v>
      </c>
      <c r="AC355" s="170"/>
      <c r="AD355" s="170"/>
      <c r="AE355" s="170">
        <f t="shared" si="273"/>
        <v>0</v>
      </c>
    </row>
    <row r="356" spans="1:192" s="159" customFormat="1" ht="47.25" x14ac:dyDescent="0.25">
      <c r="A356" s="178" t="s">
        <v>515</v>
      </c>
      <c r="B356" s="168">
        <v>2</v>
      </c>
      <c r="C356" s="168">
        <v>619</v>
      </c>
      <c r="D356" s="168">
        <v>5206</v>
      </c>
      <c r="E356" s="170">
        <f t="shared" si="245"/>
        <v>26703</v>
      </c>
      <c r="F356" s="170">
        <f t="shared" si="245"/>
        <v>26701</v>
      </c>
      <c r="G356" s="170">
        <f t="shared" si="245"/>
        <v>-2</v>
      </c>
      <c r="H356" s="170"/>
      <c r="I356" s="170"/>
      <c r="J356" s="170">
        <f t="shared" si="303"/>
        <v>0</v>
      </c>
      <c r="K356" s="170">
        <v>10703</v>
      </c>
      <c r="L356" s="170">
        <v>10703</v>
      </c>
      <c r="M356" s="170">
        <f t="shared" si="261"/>
        <v>0</v>
      </c>
      <c r="N356" s="170">
        <v>16000</v>
      </c>
      <c r="O356" s="170">
        <f>16000-2</f>
        <v>15998</v>
      </c>
      <c r="P356" s="170">
        <f t="shared" si="263"/>
        <v>-2</v>
      </c>
      <c r="Q356" s="170"/>
      <c r="R356" s="170"/>
      <c r="S356" s="170">
        <f t="shared" si="265"/>
        <v>0</v>
      </c>
      <c r="T356" s="170"/>
      <c r="U356" s="170"/>
      <c r="V356" s="170">
        <f t="shared" si="267"/>
        <v>0</v>
      </c>
      <c r="W356" s="170"/>
      <c r="X356" s="170"/>
      <c r="Y356" s="170">
        <f t="shared" si="269"/>
        <v>0</v>
      </c>
      <c r="Z356" s="170"/>
      <c r="AA356" s="170"/>
      <c r="AB356" s="170">
        <f t="shared" si="271"/>
        <v>0</v>
      </c>
      <c r="AC356" s="170"/>
      <c r="AD356" s="170"/>
      <c r="AE356" s="170">
        <f t="shared" si="273"/>
        <v>0</v>
      </c>
    </row>
    <row r="357" spans="1:192" s="159" customFormat="1" ht="31.5" x14ac:dyDescent="0.25">
      <c r="A357" s="167" t="s">
        <v>516</v>
      </c>
      <c r="B357" s="168">
        <v>2</v>
      </c>
      <c r="C357" s="168">
        <v>619</v>
      </c>
      <c r="D357" s="169">
        <v>5206</v>
      </c>
      <c r="E357" s="170">
        <f t="shared" si="245"/>
        <v>11400</v>
      </c>
      <c r="F357" s="170">
        <f t="shared" si="245"/>
        <v>10000</v>
      </c>
      <c r="G357" s="170">
        <f t="shared" si="245"/>
        <v>-1400</v>
      </c>
      <c r="H357" s="170"/>
      <c r="I357" s="170"/>
      <c r="J357" s="170">
        <f t="shared" si="303"/>
        <v>0</v>
      </c>
      <c r="K357" s="170"/>
      <c r="L357" s="170"/>
      <c r="M357" s="170">
        <f t="shared" si="261"/>
        <v>0</v>
      </c>
      <c r="N357" s="170">
        <f>5000+1400</f>
        <v>6400</v>
      </c>
      <c r="O357" s="170">
        <f>5000+1400-1400</f>
        <v>5000</v>
      </c>
      <c r="P357" s="170">
        <f t="shared" si="263"/>
        <v>-1400</v>
      </c>
      <c r="Q357" s="170"/>
      <c r="R357" s="170"/>
      <c r="S357" s="170">
        <f t="shared" si="265"/>
        <v>0</v>
      </c>
      <c r="T357" s="170"/>
      <c r="U357" s="170"/>
      <c r="V357" s="170">
        <f t="shared" si="267"/>
        <v>0</v>
      </c>
      <c r="W357" s="170"/>
      <c r="X357" s="170"/>
      <c r="Y357" s="170">
        <f t="shared" si="269"/>
        <v>0</v>
      </c>
      <c r="Z357" s="170">
        <v>5000</v>
      </c>
      <c r="AA357" s="170">
        <v>5000</v>
      </c>
      <c r="AB357" s="170">
        <f t="shared" si="271"/>
        <v>0</v>
      </c>
      <c r="AC357" s="170"/>
      <c r="AD357" s="170"/>
      <c r="AE357" s="170">
        <f t="shared" si="273"/>
        <v>0</v>
      </c>
    </row>
    <row r="358" spans="1:192" s="159" customFormat="1" ht="31.5" x14ac:dyDescent="0.25">
      <c r="A358" s="167" t="s">
        <v>517</v>
      </c>
      <c r="B358" s="168">
        <v>2</v>
      </c>
      <c r="C358" s="168">
        <v>619</v>
      </c>
      <c r="D358" s="169">
        <v>5206</v>
      </c>
      <c r="E358" s="170">
        <f t="shared" si="245"/>
        <v>150000</v>
      </c>
      <c r="F358" s="170">
        <f t="shared" si="245"/>
        <v>94915</v>
      </c>
      <c r="G358" s="170">
        <f t="shared" si="245"/>
        <v>-55085</v>
      </c>
      <c r="H358" s="170"/>
      <c r="I358" s="170"/>
      <c r="J358" s="170">
        <f t="shared" si="303"/>
        <v>0</v>
      </c>
      <c r="K358" s="170">
        <f>150000-21915-15750+25006</f>
        <v>137341</v>
      </c>
      <c r="L358" s="170">
        <f>150000-21915-15750+25006-42426</f>
        <v>94915</v>
      </c>
      <c r="M358" s="170">
        <f t="shared" si="261"/>
        <v>-42426</v>
      </c>
      <c r="N358" s="170">
        <f>12659</f>
        <v>12659</v>
      </c>
      <c r="O358" s="170">
        <f>12659-12659</f>
        <v>0</v>
      </c>
      <c r="P358" s="170">
        <f t="shared" si="263"/>
        <v>-12659</v>
      </c>
      <c r="Q358" s="170"/>
      <c r="R358" s="170"/>
      <c r="S358" s="170">
        <f t="shared" si="265"/>
        <v>0</v>
      </c>
      <c r="T358" s="170"/>
      <c r="U358" s="170"/>
      <c r="V358" s="170">
        <f t="shared" si="267"/>
        <v>0</v>
      </c>
      <c r="W358" s="170"/>
      <c r="X358" s="170"/>
      <c r="Y358" s="170">
        <f t="shared" si="269"/>
        <v>0</v>
      </c>
      <c r="Z358" s="170"/>
      <c r="AA358" s="170"/>
      <c r="AB358" s="170">
        <f t="shared" si="271"/>
        <v>0</v>
      </c>
      <c r="AC358" s="170">
        <f>37665-37665</f>
        <v>0</v>
      </c>
      <c r="AD358" s="170">
        <f>37665-37665</f>
        <v>0</v>
      </c>
      <c r="AE358" s="170">
        <f t="shared" si="273"/>
        <v>0</v>
      </c>
    </row>
    <row r="359" spans="1:192" s="159" customFormat="1" x14ac:dyDescent="0.25">
      <c r="A359" s="175" t="s">
        <v>518</v>
      </c>
      <c r="B359" s="169">
        <v>2</v>
      </c>
      <c r="C359" s="169">
        <v>604</v>
      </c>
      <c r="D359" s="172">
        <v>5206</v>
      </c>
      <c r="E359" s="170">
        <f t="shared" si="245"/>
        <v>17611</v>
      </c>
      <c r="F359" s="170">
        <f t="shared" si="245"/>
        <v>17611</v>
      </c>
      <c r="G359" s="170">
        <f t="shared" si="245"/>
        <v>0</v>
      </c>
      <c r="H359" s="170">
        <v>17611</v>
      </c>
      <c r="I359" s="170">
        <v>17611</v>
      </c>
      <c r="J359" s="170">
        <f t="shared" si="303"/>
        <v>0</v>
      </c>
      <c r="K359" s="170"/>
      <c r="L359" s="170"/>
      <c r="M359" s="170">
        <f t="shared" si="261"/>
        <v>0</v>
      </c>
      <c r="N359" s="170"/>
      <c r="O359" s="170"/>
      <c r="P359" s="170">
        <f t="shared" si="263"/>
        <v>0</v>
      </c>
      <c r="Q359" s="170"/>
      <c r="R359" s="170"/>
      <c r="S359" s="170">
        <f t="shared" si="265"/>
        <v>0</v>
      </c>
      <c r="T359" s="170"/>
      <c r="U359" s="170"/>
      <c r="V359" s="170">
        <f t="shared" si="267"/>
        <v>0</v>
      </c>
      <c r="W359" s="170"/>
      <c r="X359" s="170"/>
      <c r="Y359" s="170">
        <f t="shared" si="269"/>
        <v>0</v>
      </c>
      <c r="Z359" s="170"/>
      <c r="AA359" s="170"/>
      <c r="AB359" s="170">
        <f t="shared" si="271"/>
        <v>0</v>
      </c>
      <c r="AC359" s="170"/>
      <c r="AD359" s="170"/>
      <c r="AE359" s="170">
        <f t="shared" si="273"/>
        <v>0</v>
      </c>
    </row>
    <row r="360" spans="1:192" s="159" customFormat="1" ht="31.5" x14ac:dyDescent="0.25">
      <c r="A360" s="167" t="s">
        <v>519</v>
      </c>
      <c r="B360" s="168">
        <v>2</v>
      </c>
      <c r="C360" s="168">
        <v>619</v>
      </c>
      <c r="D360" s="169">
        <v>5206</v>
      </c>
      <c r="E360" s="170">
        <f t="shared" si="245"/>
        <v>215301</v>
      </c>
      <c r="F360" s="170">
        <f t="shared" si="245"/>
        <v>151727</v>
      </c>
      <c r="G360" s="170">
        <f t="shared" si="245"/>
        <v>-63574</v>
      </c>
      <c r="H360" s="170">
        <f>215301-63574</f>
        <v>151727</v>
      </c>
      <c r="I360" s="170">
        <f>215301-63574</f>
        <v>151727</v>
      </c>
      <c r="J360" s="170">
        <f t="shared" si="303"/>
        <v>0</v>
      </c>
      <c r="K360" s="170">
        <f>63574-36342-8400-40</f>
        <v>18792</v>
      </c>
      <c r="L360" s="170">
        <f>63574-36342-8400-40-18792</f>
        <v>0</v>
      </c>
      <c r="M360" s="170">
        <f t="shared" si="261"/>
        <v>-18792</v>
      </c>
      <c r="N360" s="170">
        <f>36342+8400+40</f>
        <v>44782</v>
      </c>
      <c r="O360" s="170">
        <f>36342+8400+40-44782</f>
        <v>0</v>
      </c>
      <c r="P360" s="170">
        <f t="shared" si="263"/>
        <v>-44782</v>
      </c>
      <c r="Q360" s="170"/>
      <c r="R360" s="170"/>
      <c r="S360" s="170">
        <f t="shared" si="265"/>
        <v>0</v>
      </c>
      <c r="T360" s="170"/>
      <c r="U360" s="170"/>
      <c r="V360" s="170">
        <f t="shared" si="267"/>
        <v>0</v>
      </c>
      <c r="W360" s="170"/>
      <c r="X360" s="170"/>
      <c r="Y360" s="170">
        <f t="shared" si="269"/>
        <v>0</v>
      </c>
      <c r="Z360" s="170"/>
      <c r="AA360" s="170"/>
      <c r="AB360" s="170">
        <f t="shared" si="271"/>
        <v>0</v>
      </c>
      <c r="AC360" s="170"/>
      <c r="AD360" s="170"/>
      <c r="AE360" s="170">
        <f t="shared" si="273"/>
        <v>0</v>
      </c>
    </row>
    <row r="361" spans="1:192" s="159" customFormat="1" x14ac:dyDescent="0.25">
      <c r="A361" s="177" t="s">
        <v>520</v>
      </c>
      <c r="B361" s="166"/>
      <c r="C361" s="166"/>
      <c r="D361" s="166"/>
      <c r="E361" s="160">
        <f t="shared" si="245"/>
        <v>3000</v>
      </c>
      <c r="F361" s="160">
        <f t="shared" si="245"/>
        <v>2950</v>
      </c>
      <c r="G361" s="160">
        <f t="shared" si="245"/>
        <v>-50</v>
      </c>
      <c r="H361" s="160">
        <f t="shared" ref="H361:AD361" si="304">SUM(H362:H362)</f>
        <v>0</v>
      </c>
      <c r="I361" s="160">
        <f t="shared" si="304"/>
        <v>0</v>
      </c>
      <c r="J361" s="160">
        <f t="shared" si="303"/>
        <v>0</v>
      </c>
      <c r="K361" s="160">
        <f t="shared" si="304"/>
        <v>0</v>
      </c>
      <c r="L361" s="160">
        <f t="shared" si="304"/>
        <v>0</v>
      </c>
      <c r="M361" s="160">
        <f t="shared" si="261"/>
        <v>0</v>
      </c>
      <c r="N361" s="160">
        <f t="shared" si="304"/>
        <v>3000</v>
      </c>
      <c r="O361" s="160">
        <f t="shared" si="304"/>
        <v>2950</v>
      </c>
      <c r="P361" s="160">
        <f t="shared" si="263"/>
        <v>-50</v>
      </c>
      <c r="Q361" s="160">
        <f t="shared" si="304"/>
        <v>0</v>
      </c>
      <c r="R361" s="160">
        <f t="shared" si="304"/>
        <v>0</v>
      </c>
      <c r="S361" s="160">
        <f t="shared" si="265"/>
        <v>0</v>
      </c>
      <c r="T361" s="160">
        <f t="shared" si="304"/>
        <v>0</v>
      </c>
      <c r="U361" s="160">
        <f t="shared" si="304"/>
        <v>0</v>
      </c>
      <c r="V361" s="160">
        <f t="shared" si="267"/>
        <v>0</v>
      </c>
      <c r="W361" s="160">
        <f t="shared" si="304"/>
        <v>0</v>
      </c>
      <c r="X361" s="160">
        <f t="shared" si="304"/>
        <v>0</v>
      </c>
      <c r="Y361" s="160">
        <f t="shared" si="269"/>
        <v>0</v>
      </c>
      <c r="Z361" s="160">
        <f t="shared" si="304"/>
        <v>0</v>
      </c>
      <c r="AA361" s="160">
        <f t="shared" si="304"/>
        <v>0</v>
      </c>
      <c r="AB361" s="160">
        <f t="shared" si="271"/>
        <v>0</v>
      </c>
      <c r="AC361" s="160">
        <f t="shared" si="304"/>
        <v>0</v>
      </c>
      <c r="AD361" s="160">
        <f t="shared" si="304"/>
        <v>0</v>
      </c>
      <c r="AE361" s="160">
        <f t="shared" si="273"/>
        <v>0</v>
      </c>
    </row>
    <row r="362" spans="1:192" s="159" customFormat="1" ht="31.5" x14ac:dyDescent="0.25">
      <c r="A362" s="167" t="s">
        <v>521</v>
      </c>
      <c r="B362" s="168">
        <v>2</v>
      </c>
      <c r="C362" s="168">
        <v>619</v>
      </c>
      <c r="D362" s="168">
        <v>5219</v>
      </c>
      <c r="E362" s="170">
        <f t="shared" si="245"/>
        <v>3000</v>
      </c>
      <c r="F362" s="170">
        <f t="shared" si="245"/>
        <v>2950</v>
      </c>
      <c r="G362" s="170">
        <f t="shared" si="245"/>
        <v>-50</v>
      </c>
      <c r="H362" s="170"/>
      <c r="I362" s="170"/>
      <c r="J362" s="170">
        <f t="shared" si="303"/>
        <v>0</v>
      </c>
      <c r="K362" s="170"/>
      <c r="L362" s="170"/>
      <c r="M362" s="170">
        <f t="shared" si="261"/>
        <v>0</v>
      </c>
      <c r="N362" s="170">
        <v>3000</v>
      </c>
      <c r="O362" s="170">
        <f>3000-50</f>
        <v>2950</v>
      </c>
      <c r="P362" s="170">
        <f t="shared" si="263"/>
        <v>-50</v>
      </c>
      <c r="Q362" s="170"/>
      <c r="R362" s="170"/>
      <c r="S362" s="170">
        <f t="shared" si="265"/>
        <v>0</v>
      </c>
      <c r="T362" s="170"/>
      <c r="U362" s="170"/>
      <c r="V362" s="170">
        <f t="shared" si="267"/>
        <v>0</v>
      </c>
      <c r="W362" s="170"/>
      <c r="X362" s="170"/>
      <c r="Y362" s="170">
        <f t="shared" si="269"/>
        <v>0</v>
      </c>
      <c r="Z362" s="170"/>
      <c r="AA362" s="170"/>
      <c r="AB362" s="170">
        <f t="shared" si="271"/>
        <v>0</v>
      </c>
      <c r="AC362" s="170"/>
      <c r="AD362" s="170"/>
      <c r="AE362" s="170">
        <f t="shared" si="273"/>
        <v>0</v>
      </c>
      <c r="FQ362" s="156"/>
      <c r="FR362" s="156"/>
      <c r="FS362" s="156"/>
      <c r="FT362" s="156"/>
      <c r="FU362" s="156"/>
      <c r="FV362" s="156"/>
      <c r="FW362" s="156"/>
      <c r="FX362" s="156"/>
      <c r="FY362" s="156"/>
      <c r="FZ362" s="156"/>
      <c r="GA362" s="156"/>
      <c r="GB362" s="156"/>
      <c r="GC362" s="156"/>
      <c r="GD362" s="156"/>
      <c r="GE362" s="156"/>
      <c r="GF362" s="156"/>
      <c r="GG362" s="156"/>
      <c r="GH362" s="156"/>
      <c r="GI362" s="156"/>
      <c r="GJ362" s="156"/>
    </row>
    <row r="363" spans="1:192" s="159" customFormat="1" ht="31.5" x14ac:dyDescent="0.25">
      <c r="A363" s="157" t="s">
        <v>336</v>
      </c>
      <c r="B363" s="166"/>
      <c r="C363" s="166"/>
      <c r="D363" s="166"/>
      <c r="E363" s="158">
        <f t="shared" si="245"/>
        <v>1410325</v>
      </c>
      <c r="F363" s="158">
        <f t="shared" si="245"/>
        <v>1149474</v>
      </c>
      <c r="G363" s="158">
        <f t="shared" si="245"/>
        <v>-260851</v>
      </c>
      <c r="H363" s="158">
        <f>SUM(H373,H403,H391,H394,H364)</f>
        <v>177000</v>
      </c>
      <c r="I363" s="158">
        <f>SUM(I373,I403,I391,I394,I364)</f>
        <v>177000</v>
      </c>
      <c r="J363" s="158">
        <f t="shared" si="303"/>
        <v>0</v>
      </c>
      <c r="K363" s="158">
        <f t="shared" ref="K363:L363" si="305">SUM(K373,K403,K391,K394,K364)</f>
        <v>0</v>
      </c>
      <c r="L363" s="158">
        <f t="shared" si="305"/>
        <v>0</v>
      </c>
      <c r="M363" s="158">
        <f t="shared" si="261"/>
        <v>0</v>
      </c>
      <c r="N363" s="158">
        <f t="shared" ref="N363:O363" si="306">SUM(N373,N403,N391,N394,N364)</f>
        <v>372898</v>
      </c>
      <c r="O363" s="158">
        <f t="shared" si="306"/>
        <v>289410</v>
      </c>
      <c r="P363" s="158">
        <f t="shared" si="263"/>
        <v>-83488</v>
      </c>
      <c r="Q363" s="158">
        <f t="shared" ref="Q363:R363" si="307">SUM(Q373,Q403,Q391,Q394,Q364)</f>
        <v>657027</v>
      </c>
      <c r="R363" s="158">
        <f t="shared" si="307"/>
        <v>658464</v>
      </c>
      <c r="S363" s="158">
        <f t="shared" si="265"/>
        <v>1437</v>
      </c>
      <c r="T363" s="158">
        <f t="shared" ref="T363:U363" si="308">SUM(T373,T403,T391,T394,T364)</f>
        <v>24600</v>
      </c>
      <c r="U363" s="158">
        <f t="shared" si="308"/>
        <v>24600</v>
      </c>
      <c r="V363" s="158">
        <f t="shared" si="267"/>
        <v>0</v>
      </c>
      <c r="W363" s="158">
        <f t="shared" ref="W363:X363" si="309">SUM(W373,W403,W391,W394,W364)</f>
        <v>0</v>
      </c>
      <c r="X363" s="158">
        <f t="shared" si="309"/>
        <v>0</v>
      </c>
      <c r="Y363" s="158">
        <f t="shared" si="269"/>
        <v>0</v>
      </c>
      <c r="Z363" s="158">
        <f t="shared" ref="Z363:AA363" si="310">SUM(Z373,Z403,Z391,Z394,Z364)</f>
        <v>0</v>
      </c>
      <c r="AA363" s="158">
        <f t="shared" si="310"/>
        <v>0</v>
      </c>
      <c r="AB363" s="158">
        <f t="shared" si="271"/>
        <v>0</v>
      </c>
      <c r="AC363" s="158">
        <f t="shared" ref="AC363:AD363" si="311">SUM(AC373,AC403,AC391,AC394,AC364)</f>
        <v>178800</v>
      </c>
      <c r="AD363" s="158">
        <f t="shared" si="311"/>
        <v>0</v>
      </c>
      <c r="AE363" s="158">
        <f t="shared" si="273"/>
        <v>-178800</v>
      </c>
      <c r="AF363" s="156"/>
      <c r="AG363" s="156"/>
      <c r="AH363" s="156"/>
      <c r="AI363" s="156"/>
      <c r="AJ363" s="156"/>
      <c r="AK363" s="156"/>
      <c r="AL363" s="156"/>
      <c r="AM363" s="156"/>
      <c r="AN363" s="156"/>
      <c r="AO363" s="156"/>
      <c r="AP363" s="156"/>
      <c r="AQ363" s="156"/>
      <c r="AR363" s="156"/>
      <c r="AS363" s="156"/>
      <c r="AT363" s="156"/>
      <c r="AU363" s="156"/>
      <c r="AV363" s="156"/>
      <c r="AW363" s="156"/>
      <c r="AX363" s="156"/>
      <c r="AY363" s="156"/>
      <c r="AZ363" s="156"/>
      <c r="BA363" s="156"/>
      <c r="BB363" s="156"/>
      <c r="BC363" s="156"/>
      <c r="BD363" s="156"/>
      <c r="BE363" s="156"/>
      <c r="BF363" s="156"/>
      <c r="BG363" s="156"/>
      <c r="BH363" s="156"/>
      <c r="BI363" s="156"/>
      <c r="BJ363" s="156"/>
      <c r="BK363" s="156"/>
      <c r="BL363" s="156"/>
      <c r="BM363" s="156"/>
      <c r="BN363" s="156"/>
      <c r="BO363" s="156"/>
      <c r="BP363" s="156"/>
      <c r="BQ363" s="156"/>
      <c r="BR363" s="156"/>
      <c r="BS363" s="156"/>
      <c r="BT363" s="156"/>
      <c r="BU363" s="156"/>
      <c r="BV363" s="156"/>
      <c r="BW363" s="156"/>
      <c r="BX363" s="156"/>
      <c r="BY363" s="156"/>
      <c r="BZ363" s="156"/>
      <c r="CA363" s="156"/>
      <c r="CB363" s="156"/>
      <c r="CC363" s="156"/>
      <c r="CD363" s="156"/>
      <c r="CE363" s="156"/>
      <c r="CF363" s="156"/>
      <c r="CG363" s="156"/>
      <c r="CH363" s="156"/>
      <c r="CI363" s="156"/>
      <c r="CJ363" s="156"/>
      <c r="CK363" s="156"/>
      <c r="CL363" s="156"/>
      <c r="CM363" s="156"/>
      <c r="CN363" s="156"/>
      <c r="CO363" s="156"/>
      <c r="CP363" s="156"/>
      <c r="CQ363" s="156"/>
      <c r="CR363" s="156"/>
      <c r="CS363" s="156"/>
      <c r="CT363" s="156"/>
      <c r="CU363" s="156"/>
      <c r="CV363" s="156"/>
      <c r="CW363" s="156"/>
      <c r="CX363" s="156"/>
      <c r="CY363" s="156"/>
      <c r="CZ363" s="156"/>
      <c r="DA363" s="156"/>
      <c r="DB363" s="156"/>
      <c r="DC363" s="156"/>
      <c r="DD363" s="156"/>
      <c r="DE363" s="156"/>
      <c r="DF363" s="156"/>
      <c r="DG363" s="156"/>
      <c r="DH363" s="156"/>
      <c r="DI363" s="156"/>
      <c r="DJ363" s="156"/>
      <c r="DK363" s="156"/>
      <c r="DL363" s="156"/>
      <c r="DM363" s="156"/>
      <c r="DN363" s="156"/>
      <c r="DO363" s="156"/>
      <c r="DP363" s="156"/>
      <c r="DQ363" s="156"/>
      <c r="DR363" s="156"/>
      <c r="DS363" s="156"/>
      <c r="DT363" s="156"/>
      <c r="DU363" s="156"/>
      <c r="DV363" s="156"/>
      <c r="DW363" s="156"/>
      <c r="DX363" s="156"/>
      <c r="DY363" s="156"/>
      <c r="DZ363" s="156"/>
      <c r="EA363" s="156"/>
      <c r="EB363" s="156"/>
      <c r="EC363" s="156"/>
      <c r="ED363" s="156"/>
      <c r="EE363" s="156"/>
      <c r="EF363" s="156"/>
      <c r="EG363" s="156"/>
      <c r="EH363" s="156"/>
      <c r="EI363" s="156"/>
      <c r="EJ363" s="156"/>
      <c r="EK363" s="156"/>
      <c r="EL363" s="156"/>
      <c r="EM363" s="156"/>
      <c r="EN363" s="156"/>
      <c r="EO363" s="156"/>
      <c r="EP363" s="156"/>
      <c r="EQ363" s="156"/>
      <c r="ER363" s="156"/>
      <c r="ES363" s="156"/>
      <c r="ET363" s="156"/>
      <c r="EU363" s="156"/>
      <c r="EV363" s="156"/>
      <c r="EW363" s="156"/>
      <c r="EX363" s="156"/>
      <c r="EY363" s="156"/>
      <c r="EZ363" s="156"/>
      <c r="FA363" s="156"/>
      <c r="FB363" s="156"/>
      <c r="FC363" s="156"/>
      <c r="FD363" s="156"/>
      <c r="FE363" s="156"/>
      <c r="FF363" s="156"/>
      <c r="FG363" s="156"/>
      <c r="FH363" s="156"/>
      <c r="FI363" s="156"/>
      <c r="FJ363" s="156"/>
      <c r="FK363" s="156"/>
      <c r="FL363" s="156"/>
      <c r="FM363" s="156"/>
      <c r="FN363" s="156"/>
      <c r="FO363" s="156"/>
      <c r="FP363" s="156"/>
      <c r="FQ363" s="156"/>
      <c r="FR363" s="156"/>
      <c r="FS363" s="156"/>
      <c r="FT363" s="156"/>
      <c r="FU363" s="156"/>
      <c r="FV363" s="156"/>
      <c r="FW363" s="156"/>
      <c r="FX363" s="156"/>
      <c r="FY363" s="156"/>
      <c r="FZ363" s="156"/>
      <c r="GA363" s="156"/>
      <c r="GB363" s="156"/>
      <c r="GC363" s="156"/>
      <c r="GD363" s="156"/>
      <c r="GE363" s="156"/>
      <c r="GF363" s="156"/>
      <c r="GG363" s="156"/>
      <c r="GH363" s="156"/>
      <c r="GI363" s="156"/>
      <c r="GJ363" s="156"/>
    </row>
    <row r="364" spans="1:192" s="159" customFormat="1" x14ac:dyDescent="0.25">
      <c r="A364" s="157" t="s">
        <v>364</v>
      </c>
      <c r="B364" s="166"/>
      <c r="C364" s="166"/>
      <c r="D364" s="166"/>
      <c r="E364" s="158">
        <f t="shared" si="245"/>
        <v>22431</v>
      </c>
      <c r="F364" s="158">
        <f t="shared" si="245"/>
        <v>29912</v>
      </c>
      <c r="G364" s="158">
        <f t="shared" si="245"/>
        <v>7481</v>
      </c>
      <c r="H364" s="158">
        <f>SUM(H365:H372)</f>
        <v>0</v>
      </c>
      <c r="I364" s="158">
        <f>SUM(I365:I372)</f>
        <v>0</v>
      </c>
      <c r="J364" s="158">
        <f t="shared" si="303"/>
        <v>0</v>
      </c>
      <c r="K364" s="158">
        <f t="shared" ref="K364:L364" si="312">SUM(K365:K372)</f>
        <v>0</v>
      </c>
      <c r="L364" s="158">
        <f t="shared" si="312"/>
        <v>0</v>
      </c>
      <c r="M364" s="158">
        <f t="shared" si="261"/>
        <v>0</v>
      </c>
      <c r="N364" s="158">
        <f t="shared" ref="N364:O364" si="313">SUM(N365:N372)</f>
        <v>21005</v>
      </c>
      <c r="O364" s="158">
        <f t="shared" si="313"/>
        <v>25609</v>
      </c>
      <c r="P364" s="158">
        <f t="shared" si="263"/>
        <v>4604</v>
      </c>
      <c r="Q364" s="158">
        <f t="shared" ref="Q364:R364" si="314">SUM(Q365:Q372)</f>
        <v>1426</v>
      </c>
      <c r="R364" s="158">
        <f t="shared" si="314"/>
        <v>4303</v>
      </c>
      <c r="S364" s="158">
        <f t="shared" si="265"/>
        <v>2877</v>
      </c>
      <c r="T364" s="158">
        <f t="shared" ref="T364:U364" si="315">SUM(T365:T372)</f>
        <v>0</v>
      </c>
      <c r="U364" s="158">
        <f t="shared" si="315"/>
        <v>0</v>
      </c>
      <c r="V364" s="158">
        <f t="shared" si="267"/>
        <v>0</v>
      </c>
      <c r="W364" s="158">
        <f t="shared" ref="W364:X364" si="316">SUM(W365:W372)</f>
        <v>0</v>
      </c>
      <c r="X364" s="158">
        <f t="shared" si="316"/>
        <v>0</v>
      </c>
      <c r="Y364" s="158">
        <f t="shared" si="269"/>
        <v>0</v>
      </c>
      <c r="Z364" s="158">
        <f t="shared" ref="Z364:AA364" si="317">SUM(Z365:Z372)</f>
        <v>0</v>
      </c>
      <c r="AA364" s="158">
        <f t="shared" si="317"/>
        <v>0</v>
      </c>
      <c r="AB364" s="158">
        <f t="shared" si="271"/>
        <v>0</v>
      </c>
      <c r="AC364" s="158">
        <f t="shared" ref="AC364:AD364" si="318">SUM(AC365:AC372)</f>
        <v>0</v>
      </c>
      <c r="AD364" s="158">
        <f t="shared" si="318"/>
        <v>0</v>
      </c>
      <c r="AE364" s="158">
        <f t="shared" si="273"/>
        <v>0</v>
      </c>
      <c r="AF364" s="156"/>
      <c r="AG364" s="156"/>
      <c r="AH364" s="156"/>
      <c r="AI364" s="156"/>
      <c r="AJ364" s="156"/>
      <c r="AK364" s="156"/>
      <c r="AL364" s="156"/>
      <c r="AM364" s="156"/>
      <c r="AN364" s="156"/>
      <c r="AO364" s="156"/>
      <c r="AP364" s="156"/>
      <c r="AQ364" s="156"/>
      <c r="AR364" s="156"/>
      <c r="AS364" s="156"/>
      <c r="AT364" s="156"/>
      <c r="AU364" s="156"/>
      <c r="AV364" s="156"/>
      <c r="AW364" s="156"/>
      <c r="AX364" s="156"/>
      <c r="AY364" s="156"/>
      <c r="AZ364" s="156"/>
      <c r="BA364" s="156"/>
      <c r="BB364" s="156"/>
      <c r="BC364" s="156"/>
      <c r="BD364" s="156"/>
      <c r="BE364" s="156"/>
      <c r="BF364" s="156"/>
      <c r="BG364" s="156"/>
      <c r="BH364" s="156"/>
      <c r="BI364" s="156"/>
      <c r="BJ364" s="156"/>
      <c r="BK364" s="156"/>
      <c r="BL364" s="156"/>
      <c r="BM364" s="156"/>
      <c r="BN364" s="156"/>
      <c r="BO364" s="156"/>
      <c r="BP364" s="156"/>
      <c r="BQ364" s="156"/>
      <c r="BR364" s="156"/>
      <c r="BS364" s="156"/>
      <c r="BT364" s="156"/>
      <c r="BU364" s="156"/>
      <c r="BV364" s="156"/>
      <c r="BW364" s="156"/>
      <c r="BX364" s="156"/>
      <c r="BY364" s="156"/>
      <c r="BZ364" s="156"/>
      <c r="CA364" s="156"/>
      <c r="CB364" s="156"/>
      <c r="CC364" s="156"/>
      <c r="CD364" s="156"/>
      <c r="CE364" s="156"/>
      <c r="CF364" s="156"/>
      <c r="CG364" s="156"/>
      <c r="CH364" s="156"/>
      <c r="CI364" s="156"/>
      <c r="CJ364" s="156"/>
      <c r="CK364" s="156"/>
      <c r="CL364" s="156"/>
      <c r="CM364" s="156"/>
      <c r="CN364" s="156"/>
      <c r="CO364" s="156"/>
      <c r="CP364" s="156"/>
      <c r="CQ364" s="156"/>
      <c r="CR364" s="156"/>
      <c r="CS364" s="156"/>
      <c r="CT364" s="156"/>
      <c r="CU364" s="156"/>
      <c r="CV364" s="156"/>
      <c r="CW364" s="156"/>
      <c r="CX364" s="156"/>
      <c r="CY364" s="156"/>
      <c r="CZ364" s="156"/>
      <c r="DA364" s="156"/>
      <c r="DB364" s="156"/>
      <c r="DC364" s="156"/>
      <c r="DD364" s="156"/>
      <c r="DE364" s="156"/>
      <c r="DF364" s="156"/>
      <c r="DG364" s="156"/>
      <c r="DH364" s="156"/>
      <c r="DI364" s="156"/>
      <c r="DJ364" s="156"/>
      <c r="DK364" s="156"/>
      <c r="DL364" s="156"/>
      <c r="DM364" s="156"/>
      <c r="DN364" s="156"/>
      <c r="DO364" s="156"/>
      <c r="DP364" s="156"/>
      <c r="DQ364" s="156"/>
      <c r="DR364" s="156"/>
      <c r="DS364" s="156"/>
      <c r="DT364" s="156"/>
      <c r="DU364" s="156"/>
      <c r="DV364" s="156"/>
      <c r="DW364" s="156"/>
      <c r="DX364" s="156"/>
      <c r="DY364" s="156"/>
      <c r="DZ364" s="156"/>
      <c r="EA364" s="156"/>
      <c r="EB364" s="156"/>
      <c r="EC364" s="156"/>
      <c r="ED364" s="156"/>
      <c r="EE364" s="156"/>
      <c r="EF364" s="156"/>
      <c r="EG364" s="156"/>
      <c r="EH364" s="156"/>
      <c r="EI364" s="156"/>
      <c r="EJ364" s="156"/>
      <c r="EK364" s="156"/>
      <c r="EL364" s="156"/>
      <c r="EM364" s="156"/>
      <c r="EN364" s="156"/>
      <c r="EO364" s="156"/>
      <c r="EP364" s="156"/>
      <c r="EQ364" s="156"/>
      <c r="ER364" s="156"/>
      <c r="ES364" s="156"/>
      <c r="ET364" s="156"/>
      <c r="EU364" s="156"/>
      <c r="EV364" s="156"/>
      <c r="EW364" s="156"/>
      <c r="EX364" s="156"/>
      <c r="EY364" s="156"/>
      <c r="EZ364" s="156"/>
      <c r="FA364" s="156"/>
      <c r="FB364" s="156"/>
      <c r="FC364" s="156"/>
      <c r="FD364" s="156"/>
      <c r="FE364" s="156"/>
      <c r="FF364" s="156"/>
      <c r="FG364" s="156"/>
      <c r="FH364" s="156"/>
      <c r="FI364" s="156"/>
      <c r="FJ364" s="156"/>
      <c r="FK364" s="156"/>
      <c r="FL364" s="156"/>
      <c r="FM364" s="156"/>
      <c r="FN364" s="156"/>
      <c r="FO364" s="156"/>
      <c r="FP364" s="156"/>
      <c r="FQ364" s="156"/>
      <c r="FR364" s="156"/>
      <c r="FS364" s="156"/>
      <c r="FT364" s="156"/>
      <c r="FU364" s="156"/>
      <c r="FV364" s="156"/>
      <c r="FW364" s="156"/>
      <c r="FX364" s="156"/>
      <c r="FY364" s="156"/>
      <c r="FZ364" s="156"/>
      <c r="GA364" s="156"/>
      <c r="GB364" s="156"/>
      <c r="GC364" s="156"/>
      <c r="GD364" s="156"/>
      <c r="GE364" s="156"/>
      <c r="GF364" s="156"/>
      <c r="GG364" s="156"/>
      <c r="GH364" s="156"/>
      <c r="GI364" s="156"/>
      <c r="GJ364" s="156"/>
    </row>
    <row r="365" spans="1:192" s="159" customFormat="1" ht="31.5" x14ac:dyDescent="0.25">
      <c r="A365" s="161" t="s">
        <v>522</v>
      </c>
      <c r="B365" s="162">
        <v>2</v>
      </c>
      <c r="C365" s="162">
        <v>741</v>
      </c>
      <c r="D365" s="162">
        <v>5201</v>
      </c>
      <c r="E365" s="170">
        <f t="shared" si="245"/>
        <v>2214</v>
      </c>
      <c r="F365" s="170">
        <f t="shared" si="245"/>
        <v>1198</v>
      </c>
      <c r="G365" s="170">
        <f t="shared" si="245"/>
        <v>-1016</v>
      </c>
      <c r="H365" s="170"/>
      <c r="I365" s="170"/>
      <c r="J365" s="170">
        <f t="shared" si="303"/>
        <v>0</v>
      </c>
      <c r="K365" s="170"/>
      <c r="L365" s="170"/>
      <c r="M365" s="170">
        <f t="shared" si="261"/>
        <v>0</v>
      </c>
      <c r="N365" s="170">
        <v>2214</v>
      </c>
      <c r="O365" s="170">
        <f>2214-1016</f>
        <v>1198</v>
      </c>
      <c r="P365" s="170">
        <f t="shared" si="263"/>
        <v>-1016</v>
      </c>
      <c r="Q365" s="170"/>
      <c r="R365" s="170"/>
      <c r="S365" s="170">
        <f t="shared" si="265"/>
        <v>0</v>
      </c>
      <c r="T365" s="170"/>
      <c r="U365" s="170"/>
      <c r="V365" s="170">
        <f t="shared" si="267"/>
        <v>0</v>
      </c>
      <c r="W365" s="170"/>
      <c r="X365" s="170"/>
      <c r="Y365" s="170">
        <f t="shared" si="269"/>
        <v>0</v>
      </c>
      <c r="Z365" s="170"/>
      <c r="AA365" s="170"/>
      <c r="AB365" s="170">
        <f t="shared" si="271"/>
        <v>0</v>
      </c>
      <c r="AC365" s="170"/>
      <c r="AD365" s="170"/>
      <c r="AE365" s="170">
        <f t="shared" si="273"/>
        <v>0</v>
      </c>
    </row>
    <row r="366" spans="1:192" s="159" customFormat="1" ht="31.5" x14ac:dyDescent="0.25">
      <c r="A366" s="161" t="s">
        <v>523</v>
      </c>
      <c r="B366" s="162">
        <v>2</v>
      </c>
      <c r="C366" s="162">
        <v>714</v>
      </c>
      <c r="D366" s="162">
        <v>5201</v>
      </c>
      <c r="E366" s="170">
        <f t="shared" si="245"/>
        <v>1000</v>
      </c>
      <c r="F366" s="170">
        <f t="shared" si="245"/>
        <v>912</v>
      </c>
      <c r="G366" s="170">
        <f t="shared" si="245"/>
        <v>-88</v>
      </c>
      <c r="H366" s="170"/>
      <c r="I366" s="170"/>
      <c r="J366" s="170">
        <f t="shared" si="303"/>
        <v>0</v>
      </c>
      <c r="K366" s="170"/>
      <c r="L366" s="170"/>
      <c r="M366" s="170">
        <f t="shared" si="261"/>
        <v>0</v>
      </c>
      <c r="N366" s="170">
        <v>1000</v>
      </c>
      <c r="O366" s="170">
        <f>1000-88</f>
        <v>912</v>
      </c>
      <c r="P366" s="170">
        <f t="shared" si="263"/>
        <v>-88</v>
      </c>
      <c r="Q366" s="170"/>
      <c r="R366" s="170"/>
      <c r="S366" s="170">
        <f t="shared" si="265"/>
        <v>0</v>
      </c>
      <c r="T366" s="170"/>
      <c r="U366" s="170"/>
      <c r="V366" s="170">
        <f t="shared" si="267"/>
        <v>0</v>
      </c>
      <c r="W366" s="170"/>
      <c r="X366" s="170"/>
      <c r="Y366" s="170">
        <f t="shared" si="269"/>
        <v>0</v>
      </c>
      <c r="Z366" s="170"/>
      <c r="AA366" s="170"/>
      <c r="AB366" s="170">
        <f t="shared" si="271"/>
        <v>0</v>
      </c>
      <c r="AC366" s="170"/>
      <c r="AD366" s="170"/>
      <c r="AE366" s="170">
        <f t="shared" si="273"/>
        <v>0</v>
      </c>
    </row>
    <row r="367" spans="1:192" s="159" customFormat="1" x14ac:dyDescent="0.25">
      <c r="A367" s="161" t="s">
        <v>524</v>
      </c>
      <c r="B367" s="162">
        <v>2</v>
      </c>
      <c r="C367" s="162">
        <v>759</v>
      </c>
      <c r="D367" s="162">
        <v>5201</v>
      </c>
      <c r="E367" s="170">
        <f t="shared" si="245"/>
        <v>3726</v>
      </c>
      <c r="F367" s="170">
        <f t="shared" si="245"/>
        <v>1888</v>
      </c>
      <c r="G367" s="170">
        <f t="shared" si="245"/>
        <v>-1838</v>
      </c>
      <c r="H367" s="170"/>
      <c r="I367" s="170"/>
      <c r="J367" s="170">
        <f t="shared" si="303"/>
        <v>0</v>
      </c>
      <c r="K367" s="170"/>
      <c r="L367" s="170"/>
      <c r="M367" s="170">
        <f t="shared" si="261"/>
        <v>0</v>
      </c>
      <c r="N367" s="170">
        <v>3726</v>
      </c>
      <c r="O367" s="170">
        <f>3726-1838</f>
        <v>1888</v>
      </c>
      <c r="P367" s="170">
        <f t="shared" si="263"/>
        <v>-1838</v>
      </c>
      <c r="Q367" s="170"/>
      <c r="R367" s="170"/>
      <c r="S367" s="170">
        <f t="shared" si="265"/>
        <v>0</v>
      </c>
      <c r="T367" s="170"/>
      <c r="U367" s="170"/>
      <c r="V367" s="170">
        <f t="shared" si="267"/>
        <v>0</v>
      </c>
      <c r="W367" s="170"/>
      <c r="X367" s="170"/>
      <c r="Y367" s="170">
        <f t="shared" si="269"/>
        <v>0</v>
      </c>
      <c r="Z367" s="170"/>
      <c r="AA367" s="170"/>
      <c r="AB367" s="170">
        <f t="shared" si="271"/>
        <v>0</v>
      </c>
      <c r="AC367" s="170"/>
      <c r="AD367" s="170"/>
      <c r="AE367" s="170">
        <f t="shared" si="273"/>
        <v>0</v>
      </c>
    </row>
    <row r="368" spans="1:192" s="159" customFormat="1" x14ac:dyDescent="0.25">
      <c r="A368" s="161" t="s">
        <v>525</v>
      </c>
      <c r="B368" s="162">
        <v>3</v>
      </c>
      <c r="C368" s="162">
        <v>739</v>
      </c>
      <c r="D368" s="162">
        <v>5201</v>
      </c>
      <c r="E368" s="170">
        <f t="shared" si="245"/>
        <v>869</v>
      </c>
      <c r="F368" s="170">
        <f t="shared" si="245"/>
        <v>5039</v>
      </c>
      <c r="G368" s="170">
        <f t="shared" si="245"/>
        <v>4170</v>
      </c>
      <c r="H368" s="170"/>
      <c r="I368" s="170"/>
      <c r="J368" s="170">
        <f t="shared" si="303"/>
        <v>0</v>
      </c>
      <c r="K368" s="170"/>
      <c r="L368" s="170"/>
      <c r="M368" s="170">
        <f t="shared" si="261"/>
        <v>0</v>
      </c>
      <c r="N368" s="170">
        <v>869</v>
      </c>
      <c r="O368" s="170">
        <f>869+4170</f>
        <v>5039</v>
      </c>
      <c r="P368" s="170">
        <f t="shared" si="263"/>
        <v>4170</v>
      </c>
      <c r="Q368" s="170"/>
      <c r="R368" s="170"/>
      <c r="S368" s="170">
        <f t="shared" si="265"/>
        <v>0</v>
      </c>
      <c r="T368" s="170"/>
      <c r="U368" s="170"/>
      <c r="V368" s="170">
        <f t="shared" si="267"/>
        <v>0</v>
      </c>
      <c r="W368" s="170"/>
      <c r="X368" s="170"/>
      <c r="Y368" s="170">
        <f t="shared" si="269"/>
        <v>0</v>
      </c>
      <c r="Z368" s="170"/>
      <c r="AA368" s="170"/>
      <c r="AB368" s="170">
        <f t="shared" si="271"/>
        <v>0</v>
      </c>
      <c r="AC368" s="170"/>
      <c r="AD368" s="170"/>
      <c r="AE368" s="170">
        <f t="shared" si="273"/>
        <v>0</v>
      </c>
    </row>
    <row r="369" spans="1:192" s="159" customFormat="1" ht="31.5" x14ac:dyDescent="0.25">
      <c r="A369" s="161" t="s">
        <v>526</v>
      </c>
      <c r="B369" s="162">
        <v>3</v>
      </c>
      <c r="C369" s="162">
        <v>739</v>
      </c>
      <c r="D369" s="162">
        <v>5201</v>
      </c>
      <c r="E369" s="170">
        <f t="shared" si="245"/>
        <v>4704</v>
      </c>
      <c r="F369" s="170">
        <f t="shared" si="245"/>
        <v>4704</v>
      </c>
      <c r="G369" s="170">
        <f t="shared" si="245"/>
        <v>0</v>
      </c>
      <c r="H369" s="170"/>
      <c r="I369" s="170"/>
      <c r="J369" s="170">
        <f t="shared" si="303"/>
        <v>0</v>
      </c>
      <c r="K369" s="170"/>
      <c r="L369" s="170"/>
      <c r="M369" s="170">
        <f t="shared" si="261"/>
        <v>0</v>
      </c>
      <c r="N369" s="170">
        <f>17364-13930+1270</f>
        <v>4704</v>
      </c>
      <c r="O369" s="170">
        <f>17364-13930+1270</f>
        <v>4704</v>
      </c>
      <c r="P369" s="170">
        <f t="shared" si="263"/>
        <v>0</v>
      </c>
      <c r="Q369" s="170"/>
      <c r="R369" s="170"/>
      <c r="S369" s="170">
        <f t="shared" si="265"/>
        <v>0</v>
      </c>
      <c r="T369" s="170"/>
      <c r="U369" s="170"/>
      <c r="V369" s="170">
        <f t="shared" si="267"/>
        <v>0</v>
      </c>
      <c r="W369" s="170"/>
      <c r="X369" s="170"/>
      <c r="Y369" s="170">
        <f t="shared" si="269"/>
        <v>0</v>
      </c>
      <c r="Z369" s="170"/>
      <c r="AA369" s="170"/>
      <c r="AB369" s="170">
        <f t="shared" si="271"/>
        <v>0</v>
      </c>
      <c r="AC369" s="170"/>
      <c r="AD369" s="170"/>
      <c r="AE369" s="170">
        <f t="shared" si="273"/>
        <v>0</v>
      </c>
    </row>
    <row r="370" spans="1:192" s="159" customFormat="1" ht="63" x14ac:dyDescent="0.25">
      <c r="A370" s="161" t="s">
        <v>527</v>
      </c>
      <c r="B370" s="162"/>
      <c r="C370" s="162"/>
      <c r="D370" s="162"/>
      <c r="E370" s="170">
        <f t="shared" si="245"/>
        <v>0</v>
      </c>
      <c r="F370" s="170">
        <f t="shared" si="245"/>
        <v>2877</v>
      </c>
      <c r="G370" s="170">
        <f t="shared" si="245"/>
        <v>2877</v>
      </c>
      <c r="H370" s="170"/>
      <c r="I370" s="170"/>
      <c r="J370" s="170">
        <f t="shared" si="303"/>
        <v>0</v>
      </c>
      <c r="K370" s="170"/>
      <c r="L370" s="170"/>
      <c r="M370" s="170">
        <f t="shared" si="261"/>
        <v>0</v>
      </c>
      <c r="N370" s="170"/>
      <c r="O370" s="170"/>
      <c r="P370" s="170">
        <f t="shared" si="263"/>
        <v>0</v>
      </c>
      <c r="Q370" s="170"/>
      <c r="R370" s="170">
        <v>2877</v>
      </c>
      <c r="S370" s="170">
        <f t="shared" si="265"/>
        <v>2877</v>
      </c>
      <c r="T370" s="170"/>
      <c r="U370" s="170"/>
      <c r="V370" s="170">
        <f t="shared" si="267"/>
        <v>0</v>
      </c>
      <c r="W370" s="170"/>
      <c r="X370" s="170"/>
      <c r="Y370" s="170">
        <f t="shared" si="269"/>
        <v>0</v>
      </c>
      <c r="Z370" s="170"/>
      <c r="AA370" s="170"/>
      <c r="AB370" s="170">
        <f t="shared" si="271"/>
        <v>0</v>
      </c>
      <c r="AC370" s="170"/>
      <c r="AD370" s="170"/>
      <c r="AE370" s="170">
        <f t="shared" si="273"/>
        <v>0</v>
      </c>
    </row>
    <row r="371" spans="1:192" s="159" customFormat="1" ht="31.5" x14ac:dyDescent="0.25">
      <c r="A371" s="179" t="s">
        <v>528</v>
      </c>
      <c r="B371" s="180"/>
      <c r="C371" s="180"/>
      <c r="D371" s="172"/>
      <c r="E371" s="170">
        <f t="shared" si="245"/>
        <v>1426</v>
      </c>
      <c r="F371" s="170">
        <f t="shared" si="245"/>
        <v>1426</v>
      </c>
      <c r="G371" s="170">
        <f t="shared" si="245"/>
        <v>0</v>
      </c>
      <c r="H371" s="170"/>
      <c r="I371" s="170"/>
      <c r="J371" s="170">
        <f t="shared" si="303"/>
        <v>0</v>
      </c>
      <c r="K371" s="170"/>
      <c r="L371" s="170"/>
      <c r="M371" s="170">
        <f t="shared" si="261"/>
        <v>0</v>
      </c>
      <c r="N371" s="170"/>
      <c r="O371" s="170"/>
      <c r="P371" s="170">
        <f t="shared" si="263"/>
        <v>0</v>
      </c>
      <c r="Q371" s="170">
        <v>1426</v>
      </c>
      <c r="R371" s="170">
        <v>1426</v>
      </c>
      <c r="S371" s="170">
        <f t="shared" si="265"/>
        <v>0</v>
      </c>
      <c r="T371" s="170"/>
      <c r="U371" s="170"/>
      <c r="V371" s="170">
        <f t="shared" si="267"/>
        <v>0</v>
      </c>
      <c r="W371" s="170"/>
      <c r="X371" s="170"/>
      <c r="Y371" s="170">
        <f t="shared" si="269"/>
        <v>0</v>
      </c>
      <c r="Z371" s="170"/>
      <c r="AA371" s="170"/>
      <c r="AB371" s="170">
        <f t="shared" si="271"/>
        <v>0</v>
      </c>
      <c r="AC371" s="170"/>
      <c r="AD371" s="170"/>
      <c r="AE371" s="170">
        <f t="shared" si="273"/>
        <v>0</v>
      </c>
    </row>
    <row r="372" spans="1:192" s="159" customFormat="1" x14ac:dyDescent="0.25">
      <c r="A372" s="161" t="s">
        <v>529</v>
      </c>
      <c r="B372" s="162">
        <v>1</v>
      </c>
      <c r="C372" s="162">
        <v>751</v>
      </c>
      <c r="D372" s="162">
        <v>5201</v>
      </c>
      <c r="E372" s="170">
        <f t="shared" si="245"/>
        <v>8492</v>
      </c>
      <c r="F372" s="170">
        <f t="shared" si="245"/>
        <v>11868</v>
      </c>
      <c r="G372" s="170">
        <f t="shared" si="245"/>
        <v>3376</v>
      </c>
      <c r="H372" s="170"/>
      <c r="I372" s="170"/>
      <c r="J372" s="170">
        <f t="shared" si="303"/>
        <v>0</v>
      </c>
      <c r="K372" s="170"/>
      <c r="L372" s="170"/>
      <c r="M372" s="170">
        <f t="shared" si="261"/>
        <v>0</v>
      </c>
      <c r="N372" s="170">
        <f>12500-2450-1558</f>
        <v>8492</v>
      </c>
      <c r="O372" s="170">
        <f>12500-2450-1558+1876+1500</f>
        <v>11868</v>
      </c>
      <c r="P372" s="170">
        <f t="shared" si="263"/>
        <v>3376</v>
      </c>
      <c r="Q372" s="170"/>
      <c r="R372" s="170"/>
      <c r="S372" s="170">
        <f t="shared" si="265"/>
        <v>0</v>
      </c>
      <c r="T372" s="170"/>
      <c r="U372" s="170"/>
      <c r="V372" s="170">
        <f t="shared" si="267"/>
        <v>0</v>
      </c>
      <c r="W372" s="170"/>
      <c r="X372" s="170"/>
      <c r="Y372" s="170">
        <f t="shared" si="269"/>
        <v>0</v>
      </c>
      <c r="Z372" s="170"/>
      <c r="AA372" s="170"/>
      <c r="AB372" s="170">
        <f t="shared" si="271"/>
        <v>0</v>
      </c>
      <c r="AC372" s="170"/>
      <c r="AD372" s="170"/>
      <c r="AE372" s="170">
        <f t="shared" si="273"/>
        <v>0</v>
      </c>
    </row>
    <row r="373" spans="1:192" s="159" customFormat="1" ht="31.5" x14ac:dyDescent="0.25">
      <c r="A373" s="157" t="s">
        <v>373</v>
      </c>
      <c r="B373" s="166"/>
      <c r="C373" s="166"/>
      <c r="D373" s="166"/>
      <c r="E373" s="158">
        <f t="shared" si="245"/>
        <v>581159</v>
      </c>
      <c r="F373" s="158">
        <f>I373+L373+O373+R373+U373+X373+AD373+AA373</f>
        <v>549814</v>
      </c>
      <c r="G373" s="158">
        <f t="shared" si="245"/>
        <v>-31345</v>
      </c>
      <c r="H373" s="158">
        <f>SUM(H374:H390)</f>
        <v>0</v>
      </c>
      <c r="I373" s="158">
        <f>SUM(I374:I390)</f>
        <v>0</v>
      </c>
      <c r="J373" s="158">
        <f t="shared" si="303"/>
        <v>0</v>
      </c>
      <c r="K373" s="158">
        <f t="shared" ref="K373:L373" si="319">SUM(K374:K390)</f>
        <v>0</v>
      </c>
      <c r="L373" s="158">
        <f t="shared" si="319"/>
        <v>0</v>
      </c>
      <c r="M373" s="158">
        <f t="shared" si="261"/>
        <v>0</v>
      </c>
      <c r="N373" s="158">
        <f t="shared" ref="N373:O373" si="320">SUM(N374:N390)</f>
        <v>222652</v>
      </c>
      <c r="O373" s="158">
        <f t="shared" si="320"/>
        <v>192747</v>
      </c>
      <c r="P373" s="158">
        <f t="shared" si="263"/>
        <v>-29905</v>
      </c>
      <c r="Q373" s="158">
        <f>SUM(Q374:Q390)</f>
        <v>358507</v>
      </c>
      <c r="R373" s="158">
        <f>SUM(R374:R390)</f>
        <v>357067</v>
      </c>
      <c r="S373" s="158">
        <f t="shared" si="265"/>
        <v>-1440</v>
      </c>
      <c r="T373" s="158">
        <f t="shared" ref="T373:U373" si="321">SUM(T374:T390)</f>
        <v>0</v>
      </c>
      <c r="U373" s="158">
        <f t="shared" si="321"/>
        <v>0</v>
      </c>
      <c r="V373" s="158">
        <f t="shared" si="267"/>
        <v>0</v>
      </c>
      <c r="W373" s="158">
        <f t="shared" ref="W373:X373" si="322">SUM(W374:W390)</f>
        <v>0</v>
      </c>
      <c r="X373" s="158">
        <f t="shared" si="322"/>
        <v>0</v>
      </c>
      <c r="Y373" s="158">
        <f t="shared" si="269"/>
        <v>0</v>
      </c>
      <c r="Z373" s="158">
        <f t="shared" ref="Z373:AA373" si="323">SUM(Z374:Z390)</f>
        <v>0</v>
      </c>
      <c r="AA373" s="158">
        <f t="shared" si="323"/>
        <v>0</v>
      </c>
      <c r="AB373" s="158">
        <f t="shared" si="271"/>
        <v>0</v>
      </c>
      <c r="AC373" s="158">
        <f t="shared" ref="AC373:AD373" si="324">SUM(AC374:AC390)</f>
        <v>0</v>
      </c>
      <c r="AD373" s="158">
        <f t="shared" si="324"/>
        <v>0</v>
      </c>
      <c r="AE373" s="158">
        <f t="shared" si="273"/>
        <v>0</v>
      </c>
      <c r="AF373" s="156"/>
      <c r="AG373" s="156"/>
      <c r="AH373" s="156"/>
      <c r="AI373" s="156"/>
      <c r="AJ373" s="156"/>
      <c r="AK373" s="156"/>
      <c r="AL373" s="156"/>
      <c r="AM373" s="156"/>
      <c r="AN373" s="156"/>
      <c r="AO373" s="156"/>
      <c r="AP373" s="156"/>
      <c r="AQ373" s="156"/>
      <c r="AR373" s="156"/>
      <c r="AS373" s="156"/>
      <c r="AT373" s="156"/>
      <c r="AU373" s="156"/>
      <c r="AV373" s="156"/>
      <c r="AW373" s="156"/>
      <c r="AX373" s="156"/>
      <c r="AY373" s="156"/>
      <c r="AZ373" s="156"/>
      <c r="BA373" s="156"/>
      <c r="BB373" s="156"/>
      <c r="BC373" s="156"/>
      <c r="BD373" s="156"/>
      <c r="BE373" s="156"/>
      <c r="BF373" s="156"/>
      <c r="BG373" s="156"/>
      <c r="BH373" s="156"/>
      <c r="BI373" s="156"/>
      <c r="BJ373" s="156"/>
      <c r="BK373" s="156"/>
      <c r="BL373" s="156"/>
      <c r="BM373" s="156"/>
      <c r="BN373" s="156"/>
      <c r="BO373" s="156"/>
      <c r="BP373" s="156"/>
      <c r="BQ373" s="156"/>
      <c r="BR373" s="156"/>
      <c r="BS373" s="156"/>
      <c r="BT373" s="156"/>
      <c r="BU373" s="156"/>
      <c r="BV373" s="156"/>
      <c r="BW373" s="156"/>
      <c r="BX373" s="156"/>
      <c r="BY373" s="156"/>
      <c r="BZ373" s="156"/>
      <c r="CA373" s="156"/>
      <c r="CB373" s="156"/>
      <c r="CC373" s="156"/>
      <c r="CD373" s="156"/>
      <c r="CE373" s="156"/>
      <c r="CF373" s="156"/>
      <c r="CG373" s="156"/>
      <c r="CH373" s="156"/>
      <c r="CI373" s="156"/>
      <c r="CJ373" s="156"/>
      <c r="CK373" s="156"/>
      <c r="CL373" s="156"/>
      <c r="CM373" s="156"/>
      <c r="CN373" s="156"/>
      <c r="CO373" s="156"/>
      <c r="CP373" s="156"/>
      <c r="CQ373" s="156"/>
      <c r="CR373" s="156"/>
      <c r="CS373" s="156"/>
      <c r="CT373" s="156"/>
      <c r="CU373" s="156"/>
      <c r="CV373" s="156"/>
      <c r="CW373" s="156"/>
      <c r="CX373" s="156"/>
      <c r="CY373" s="156"/>
      <c r="CZ373" s="156"/>
      <c r="DA373" s="156"/>
      <c r="DB373" s="156"/>
      <c r="DC373" s="156"/>
      <c r="DD373" s="156"/>
      <c r="DE373" s="156"/>
      <c r="DF373" s="156"/>
      <c r="DG373" s="156"/>
      <c r="DH373" s="156"/>
      <c r="DI373" s="156"/>
      <c r="DJ373" s="156"/>
      <c r="DK373" s="156"/>
      <c r="DL373" s="156"/>
      <c r="DM373" s="156"/>
      <c r="DN373" s="156"/>
      <c r="DO373" s="156"/>
      <c r="DP373" s="156"/>
      <c r="DQ373" s="156"/>
      <c r="DR373" s="156"/>
      <c r="DS373" s="156"/>
      <c r="DT373" s="156"/>
      <c r="DU373" s="156"/>
      <c r="DV373" s="156"/>
      <c r="DW373" s="156"/>
      <c r="DX373" s="156"/>
      <c r="DY373" s="156"/>
      <c r="DZ373" s="156"/>
      <c r="EA373" s="156"/>
      <c r="EB373" s="156"/>
      <c r="EC373" s="156"/>
      <c r="ED373" s="156"/>
      <c r="EE373" s="156"/>
      <c r="EF373" s="156"/>
      <c r="EG373" s="156"/>
      <c r="EH373" s="156"/>
      <c r="EI373" s="156"/>
      <c r="EJ373" s="156"/>
      <c r="EK373" s="156"/>
      <c r="EL373" s="156"/>
      <c r="EM373" s="156"/>
      <c r="EN373" s="156"/>
      <c r="EO373" s="156"/>
      <c r="EP373" s="156"/>
      <c r="EQ373" s="156"/>
      <c r="ER373" s="156"/>
      <c r="ES373" s="156"/>
      <c r="ET373" s="156"/>
      <c r="EU373" s="156"/>
      <c r="EV373" s="156"/>
      <c r="EW373" s="156"/>
      <c r="EX373" s="156"/>
      <c r="EY373" s="156"/>
      <c r="EZ373" s="156"/>
      <c r="FA373" s="156"/>
      <c r="FB373" s="156"/>
      <c r="FC373" s="156"/>
      <c r="FD373" s="156"/>
      <c r="FE373" s="156"/>
      <c r="FF373" s="156"/>
      <c r="FG373" s="156"/>
      <c r="FH373" s="156"/>
      <c r="FI373" s="156"/>
      <c r="FJ373" s="156"/>
      <c r="FK373" s="156"/>
      <c r="FL373" s="156"/>
      <c r="FM373" s="156"/>
      <c r="FN373" s="156"/>
      <c r="FO373" s="156"/>
      <c r="FP373" s="156"/>
      <c r="FQ373" s="156"/>
      <c r="FR373" s="156"/>
      <c r="FS373" s="156"/>
      <c r="FT373" s="156"/>
      <c r="FU373" s="156"/>
      <c r="FV373" s="156"/>
      <c r="FW373" s="156"/>
      <c r="FX373" s="156"/>
      <c r="FY373" s="156"/>
      <c r="FZ373" s="156"/>
      <c r="GA373" s="156"/>
      <c r="GB373" s="156"/>
      <c r="GC373" s="156"/>
      <c r="GD373" s="156"/>
      <c r="GE373" s="156"/>
      <c r="GF373" s="156"/>
      <c r="GG373" s="156"/>
      <c r="GH373" s="156"/>
      <c r="GI373" s="156"/>
      <c r="GJ373" s="156"/>
    </row>
    <row r="374" spans="1:192" s="159" customFormat="1" ht="31.5" x14ac:dyDescent="0.25">
      <c r="A374" s="167" t="s">
        <v>530</v>
      </c>
      <c r="B374" s="168">
        <v>2</v>
      </c>
      <c r="C374" s="168">
        <v>735</v>
      </c>
      <c r="D374" s="168">
        <v>5203</v>
      </c>
      <c r="E374" s="170">
        <f t="shared" si="245"/>
        <v>80535</v>
      </c>
      <c r="F374" s="170">
        <f t="shared" si="245"/>
        <v>80535</v>
      </c>
      <c r="G374" s="170">
        <f t="shared" si="245"/>
        <v>0</v>
      </c>
      <c r="H374" s="170"/>
      <c r="I374" s="170"/>
      <c r="J374" s="170">
        <f t="shared" si="303"/>
        <v>0</v>
      </c>
      <c r="K374" s="170"/>
      <c r="L374" s="170"/>
      <c r="M374" s="170">
        <f t="shared" si="261"/>
        <v>0</v>
      </c>
      <c r="N374" s="170">
        <f>85111-4576</f>
        <v>80535</v>
      </c>
      <c r="O374" s="170">
        <f>85111-4576</f>
        <v>80535</v>
      </c>
      <c r="P374" s="170">
        <f t="shared" si="263"/>
        <v>0</v>
      </c>
      <c r="Q374" s="170"/>
      <c r="R374" s="170"/>
      <c r="S374" s="170">
        <f t="shared" si="265"/>
        <v>0</v>
      </c>
      <c r="T374" s="170"/>
      <c r="U374" s="170"/>
      <c r="V374" s="170">
        <f t="shared" si="267"/>
        <v>0</v>
      </c>
      <c r="W374" s="170"/>
      <c r="X374" s="170"/>
      <c r="Y374" s="170">
        <f t="shared" si="269"/>
        <v>0</v>
      </c>
      <c r="Z374" s="170"/>
      <c r="AA374" s="170"/>
      <c r="AB374" s="170">
        <f t="shared" si="271"/>
        <v>0</v>
      </c>
      <c r="AC374" s="170"/>
      <c r="AD374" s="170"/>
      <c r="AE374" s="170">
        <f t="shared" si="273"/>
        <v>0</v>
      </c>
    </row>
    <row r="375" spans="1:192" s="159" customFormat="1" ht="31.5" x14ac:dyDescent="0.25">
      <c r="A375" s="167" t="s">
        <v>531</v>
      </c>
      <c r="B375" s="168">
        <v>2</v>
      </c>
      <c r="C375" s="168">
        <v>735</v>
      </c>
      <c r="D375" s="168">
        <v>5203</v>
      </c>
      <c r="E375" s="170">
        <f t="shared" si="245"/>
        <v>17948</v>
      </c>
      <c r="F375" s="170">
        <f t="shared" si="245"/>
        <v>17948</v>
      </c>
      <c r="G375" s="170">
        <f t="shared" si="245"/>
        <v>0</v>
      </c>
      <c r="H375" s="170"/>
      <c r="I375" s="170"/>
      <c r="J375" s="170">
        <f t="shared" si="303"/>
        <v>0</v>
      </c>
      <c r="K375" s="170"/>
      <c r="L375" s="170"/>
      <c r="M375" s="170">
        <f t="shared" si="261"/>
        <v>0</v>
      </c>
      <c r="N375" s="170">
        <v>17948</v>
      </c>
      <c r="O375" s="170">
        <v>17948</v>
      </c>
      <c r="P375" s="170">
        <f t="shared" si="263"/>
        <v>0</v>
      </c>
      <c r="Q375" s="170"/>
      <c r="R375" s="170"/>
      <c r="S375" s="170">
        <f t="shared" si="265"/>
        <v>0</v>
      </c>
      <c r="T375" s="170"/>
      <c r="U375" s="170"/>
      <c r="V375" s="170">
        <f t="shared" si="267"/>
        <v>0</v>
      </c>
      <c r="W375" s="170"/>
      <c r="X375" s="170"/>
      <c r="Y375" s="170">
        <f t="shared" si="269"/>
        <v>0</v>
      </c>
      <c r="Z375" s="170"/>
      <c r="AA375" s="170"/>
      <c r="AB375" s="170">
        <f t="shared" si="271"/>
        <v>0</v>
      </c>
      <c r="AC375" s="170"/>
      <c r="AD375" s="170"/>
      <c r="AE375" s="170">
        <f t="shared" si="273"/>
        <v>0</v>
      </c>
    </row>
    <row r="376" spans="1:192" s="159" customFormat="1" ht="63" x14ac:dyDescent="0.25">
      <c r="A376" s="179" t="s">
        <v>532</v>
      </c>
      <c r="B376" s="169"/>
      <c r="C376" s="169"/>
      <c r="D376" s="172"/>
      <c r="E376" s="170">
        <f t="shared" si="245"/>
        <v>1440</v>
      </c>
      <c r="F376" s="170">
        <f t="shared" si="245"/>
        <v>0</v>
      </c>
      <c r="G376" s="170">
        <f t="shared" si="245"/>
        <v>-1440</v>
      </c>
      <c r="H376" s="170"/>
      <c r="I376" s="170"/>
      <c r="J376" s="170">
        <f t="shared" si="303"/>
        <v>0</v>
      </c>
      <c r="K376" s="170"/>
      <c r="L376" s="170"/>
      <c r="M376" s="170">
        <f t="shared" si="261"/>
        <v>0</v>
      </c>
      <c r="N376" s="170"/>
      <c r="O376" s="170"/>
      <c r="P376" s="170">
        <f t="shared" si="263"/>
        <v>0</v>
      </c>
      <c r="Q376" s="170">
        <v>1440</v>
      </c>
      <c r="R376" s="170">
        <v>0</v>
      </c>
      <c r="S376" s="170">
        <f t="shared" si="265"/>
        <v>-1440</v>
      </c>
      <c r="T376" s="170"/>
      <c r="U376" s="170"/>
      <c r="V376" s="170">
        <f t="shared" si="267"/>
        <v>0</v>
      </c>
      <c r="W376" s="170"/>
      <c r="X376" s="170"/>
      <c r="Y376" s="170">
        <f t="shared" si="269"/>
        <v>0</v>
      </c>
      <c r="Z376" s="170"/>
      <c r="AA376" s="170"/>
      <c r="AB376" s="170">
        <f t="shared" si="271"/>
        <v>0</v>
      </c>
      <c r="AC376" s="170"/>
      <c r="AD376" s="170"/>
      <c r="AE376" s="170">
        <f t="shared" si="273"/>
        <v>0</v>
      </c>
    </row>
    <row r="377" spans="1:192" s="159" customFormat="1" ht="47.25" x14ac:dyDescent="0.25">
      <c r="A377" s="179" t="s">
        <v>533</v>
      </c>
      <c r="B377" s="180"/>
      <c r="C377" s="180"/>
      <c r="D377" s="172"/>
      <c r="E377" s="170">
        <f t="shared" si="245"/>
        <v>357067</v>
      </c>
      <c r="F377" s="170">
        <f t="shared" si="245"/>
        <v>357067</v>
      </c>
      <c r="G377" s="170">
        <f t="shared" si="245"/>
        <v>0</v>
      </c>
      <c r="H377" s="170"/>
      <c r="I377" s="170"/>
      <c r="J377" s="170">
        <f t="shared" si="303"/>
        <v>0</v>
      </c>
      <c r="K377" s="170"/>
      <c r="L377" s="170"/>
      <c r="M377" s="170">
        <f t="shared" si="261"/>
        <v>0</v>
      </c>
      <c r="N377" s="170"/>
      <c r="O377" s="170"/>
      <c r="P377" s="170">
        <f t="shared" si="263"/>
        <v>0</v>
      </c>
      <c r="Q377" s="170">
        <v>357067</v>
      </c>
      <c r="R377" s="170">
        <v>357067</v>
      </c>
      <c r="S377" s="170">
        <f t="shared" si="265"/>
        <v>0</v>
      </c>
      <c r="T377" s="170"/>
      <c r="U377" s="170"/>
      <c r="V377" s="170">
        <f t="shared" si="267"/>
        <v>0</v>
      </c>
      <c r="W377" s="170"/>
      <c r="X377" s="170"/>
      <c r="Y377" s="170">
        <f t="shared" si="269"/>
        <v>0</v>
      </c>
      <c r="Z377" s="170"/>
      <c r="AA377" s="170"/>
      <c r="AB377" s="170">
        <f t="shared" si="271"/>
        <v>0</v>
      </c>
      <c r="AC377" s="170"/>
      <c r="AD377" s="170"/>
      <c r="AE377" s="170">
        <f t="shared" si="273"/>
        <v>0</v>
      </c>
    </row>
    <row r="378" spans="1:192" s="159" customFormat="1" x14ac:dyDescent="0.25">
      <c r="A378" s="167" t="s">
        <v>534</v>
      </c>
      <c r="B378" s="168">
        <v>3</v>
      </c>
      <c r="C378" s="168">
        <v>739</v>
      </c>
      <c r="D378" s="168">
        <v>5203</v>
      </c>
      <c r="E378" s="170">
        <f t="shared" si="245"/>
        <v>11100</v>
      </c>
      <c r="F378" s="170">
        <f t="shared" si="245"/>
        <v>11100</v>
      </c>
      <c r="G378" s="170">
        <f t="shared" si="245"/>
        <v>0</v>
      </c>
      <c r="H378" s="170"/>
      <c r="I378" s="170"/>
      <c r="J378" s="170">
        <f t="shared" si="303"/>
        <v>0</v>
      </c>
      <c r="K378" s="170"/>
      <c r="L378" s="170"/>
      <c r="M378" s="170">
        <f t="shared" si="261"/>
        <v>0</v>
      </c>
      <c r="N378" s="170">
        <v>11100</v>
      </c>
      <c r="O378" s="170">
        <v>11100</v>
      </c>
      <c r="P378" s="170">
        <f t="shared" si="263"/>
        <v>0</v>
      </c>
      <c r="Q378" s="170"/>
      <c r="R378" s="170"/>
      <c r="S378" s="170">
        <f t="shared" si="265"/>
        <v>0</v>
      </c>
      <c r="T378" s="170"/>
      <c r="U378" s="170"/>
      <c r="V378" s="170">
        <f t="shared" si="267"/>
        <v>0</v>
      </c>
      <c r="W378" s="170"/>
      <c r="X378" s="170"/>
      <c r="Y378" s="170">
        <f t="shared" si="269"/>
        <v>0</v>
      </c>
      <c r="Z378" s="170"/>
      <c r="AA378" s="170"/>
      <c r="AB378" s="170">
        <f t="shared" si="271"/>
        <v>0</v>
      </c>
      <c r="AC378" s="170"/>
      <c r="AD378" s="170"/>
      <c r="AE378" s="170">
        <f t="shared" si="273"/>
        <v>0</v>
      </c>
    </row>
    <row r="379" spans="1:192" s="159" customFormat="1" x14ac:dyDescent="0.25">
      <c r="A379" s="161" t="s">
        <v>535</v>
      </c>
      <c r="B379" s="162">
        <v>1</v>
      </c>
      <c r="C379" s="162">
        <v>751</v>
      </c>
      <c r="D379" s="162">
        <v>5203</v>
      </c>
      <c r="E379" s="170">
        <f t="shared" si="245"/>
        <v>4450</v>
      </c>
      <c r="F379" s="170">
        <f t="shared" si="245"/>
        <v>4450</v>
      </c>
      <c r="G379" s="170">
        <f t="shared" si="245"/>
        <v>0</v>
      </c>
      <c r="H379" s="170"/>
      <c r="I379" s="170"/>
      <c r="J379" s="170">
        <f t="shared" si="303"/>
        <v>0</v>
      </c>
      <c r="K379" s="170"/>
      <c r="L379" s="170"/>
      <c r="M379" s="170">
        <f t="shared" si="261"/>
        <v>0</v>
      </c>
      <c r="N379" s="170">
        <f>2000+2450</f>
        <v>4450</v>
      </c>
      <c r="O379" s="170">
        <f>2000+2450</f>
        <v>4450</v>
      </c>
      <c r="P379" s="170">
        <f t="shared" si="263"/>
        <v>0</v>
      </c>
      <c r="Q379" s="170"/>
      <c r="R379" s="170"/>
      <c r="S379" s="170">
        <f t="shared" si="265"/>
        <v>0</v>
      </c>
      <c r="T379" s="170"/>
      <c r="U379" s="170"/>
      <c r="V379" s="170">
        <f t="shared" si="267"/>
        <v>0</v>
      </c>
      <c r="W379" s="170"/>
      <c r="X379" s="170"/>
      <c r="Y379" s="170">
        <f t="shared" si="269"/>
        <v>0</v>
      </c>
      <c r="Z379" s="170"/>
      <c r="AA379" s="170"/>
      <c r="AB379" s="170">
        <f t="shared" si="271"/>
        <v>0</v>
      </c>
      <c r="AC379" s="170"/>
      <c r="AD379" s="170"/>
      <c r="AE379" s="170">
        <f t="shared" si="273"/>
        <v>0</v>
      </c>
    </row>
    <row r="380" spans="1:192" s="159" customFormat="1" x14ac:dyDescent="0.25">
      <c r="A380" s="161" t="s">
        <v>536</v>
      </c>
      <c r="B380" s="162">
        <v>3</v>
      </c>
      <c r="C380" s="162">
        <v>739</v>
      </c>
      <c r="D380" s="162">
        <v>5203</v>
      </c>
      <c r="E380" s="170">
        <f t="shared" si="245"/>
        <v>17173</v>
      </c>
      <c r="F380" s="170">
        <f t="shared" si="245"/>
        <v>6900</v>
      </c>
      <c r="G380" s="170">
        <f t="shared" si="245"/>
        <v>-10273</v>
      </c>
      <c r="H380" s="170"/>
      <c r="I380" s="170"/>
      <c r="J380" s="170">
        <f t="shared" si="303"/>
        <v>0</v>
      </c>
      <c r="K380" s="170"/>
      <c r="L380" s="170"/>
      <c r="M380" s="170">
        <f t="shared" si="261"/>
        <v>0</v>
      </c>
      <c r="N380" s="170">
        <f>25980-6507-2300</f>
        <v>17173</v>
      </c>
      <c r="O380" s="170">
        <f>25980-6507-2300-10273</f>
        <v>6900</v>
      </c>
      <c r="P380" s="170">
        <f t="shared" si="263"/>
        <v>-10273</v>
      </c>
      <c r="Q380" s="170"/>
      <c r="R380" s="170"/>
      <c r="S380" s="170">
        <f t="shared" si="265"/>
        <v>0</v>
      </c>
      <c r="T380" s="170"/>
      <c r="U380" s="170"/>
      <c r="V380" s="170">
        <f t="shared" si="267"/>
        <v>0</v>
      </c>
      <c r="W380" s="170"/>
      <c r="X380" s="170"/>
      <c r="Y380" s="170">
        <f t="shared" si="269"/>
        <v>0</v>
      </c>
      <c r="Z380" s="170"/>
      <c r="AA380" s="170"/>
      <c r="AB380" s="170">
        <f t="shared" si="271"/>
        <v>0</v>
      </c>
      <c r="AC380" s="170"/>
      <c r="AD380" s="170"/>
      <c r="AE380" s="170">
        <f t="shared" si="273"/>
        <v>0</v>
      </c>
    </row>
    <row r="381" spans="1:192" s="159" customFormat="1" x14ac:dyDescent="0.25">
      <c r="A381" s="161" t="s">
        <v>537</v>
      </c>
      <c r="B381" s="162">
        <v>3</v>
      </c>
      <c r="C381" s="162">
        <v>739</v>
      </c>
      <c r="D381" s="162">
        <v>5203</v>
      </c>
      <c r="E381" s="170">
        <f t="shared" si="245"/>
        <v>11456</v>
      </c>
      <c r="F381" s="170">
        <f t="shared" si="245"/>
        <v>7400</v>
      </c>
      <c r="G381" s="170">
        <f t="shared" si="245"/>
        <v>-4056</v>
      </c>
      <c r="H381" s="170"/>
      <c r="I381" s="170"/>
      <c r="J381" s="170"/>
      <c r="K381" s="170"/>
      <c r="L381" s="170"/>
      <c r="M381" s="170"/>
      <c r="N381" s="170">
        <f>23400-11944</f>
        <v>11456</v>
      </c>
      <c r="O381" s="170">
        <f>23400-11944-4056</f>
        <v>7400</v>
      </c>
      <c r="P381" s="170">
        <f t="shared" si="263"/>
        <v>-4056</v>
      </c>
      <c r="Q381" s="170"/>
      <c r="R381" s="170"/>
      <c r="S381" s="170"/>
      <c r="T381" s="170"/>
      <c r="U381" s="170"/>
      <c r="V381" s="170"/>
      <c r="W381" s="170"/>
      <c r="X381" s="170"/>
      <c r="Y381" s="170"/>
      <c r="Z381" s="170"/>
      <c r="AA381" s="170"/>
      <c r="AB381" s="170"/>
      <c r="AC381" s="170"/>
      <c r="AD381" s="170"/>
      <c r="AE381" s="170"/>
    </row>
    <row r="382" spans="1:192" s="184" customFormat="1" x14ac:dyDescent="0.25">
      <c r="A382" s="186" t="s">
        <v>538</v>
      </c>
      <c r="B382" s="187">
        <v>2</v>
      </c>
      <c r="C382" s="187">
        <v>759</v>
      </c>
      <c r="D382" s="187">
        <v>5203</v>
      </c>
      <c r="E382" s="183">
        <f t="shared" si="245"/>
        <v>2234</v>
      </c>
      <c r="F382" s="183">
        <f t="shared" si="245"/>
        <v>0</v>
      </c>
      <c r="G382" s="183">
        <f t="shared" si="245"/>
        <v>-2234</v>
      </c>
      <c r="H382" s="183"/>
      <c r="I382" s="183"/>
      <c r="J382" s="183">
        <f t="shared" si="303"/>
        <v>0</v>
      </c>
      <c r="K382" s="183"/>
      <c r="L382" s="183"/>
      <c r="M382" s="183">
        <f t="shared" si="261"/>
        <v>0</v>
      </c>
      <c r="N382" s="183">
        <v>2234</v>
      </c>
      <c r="O382" s="183">
        <f>2234-2234</f>
        <v>0</v>
      </c>
      <c r="P382" s="183">
        <f t="shared" si="263"/>
        <v>-2234</v>
      </c>
      <c r="Q382" s="183"/>
      <c r="R382" s="183"/>
      <c r="S382" s="183">
        <f t="shared" si="265"/>
        <v>0</v>
      </c>
      <c r="T382" s="183"/>
      <c r="U382" s="183"/>
      <c r="V382" s="183">
        <f t="shared" si="267"/>
        <v>0</v>
      </c>
      <c r="W382" s="183"/>
      <c r="X382" s="183"/>
      <c r="Y382" s="183">
        <f t="shared" si="269"/>
        <v>0</v>
      </c>
      <c r="Z382" s="183"/>
      <c r="AA382" s="183"/>
      <c r="AB382" s="183">
        <f t="shared" si="271"/>
        <v>0</v>
      </c>
      <c r="AC382" s="183"/>
      <c r="AD382" s="183"/>
      <c r="AE382" s="183">
        <f t="shared" si="273"/>
        <v>0</v>
      </c>
    </row>
    <row r="383" spans="1:192" s="184" customFormat="1" x14ac:dyDescent="0.25">
      <c r="A383" s="186" t="s">
        <v>539</v>
      </c>
      <c r="B383" s="187">
        <v>2</v>
      </c>
      <c r="C383" s="187">
        <v>759</v>
      </c>
      <c r="D383" s="187">
        <v>5203</v>
      </c>
      <c r="E383" s="183">
        <f t="shared" si="245"/>
        <v>1566</v>
      </c>
      <c r="F383" s="183">
        <f t="shared" si="245"/>
        <v>1565</v>
      </c>
      <c r="G383" s="183">
        <f t="shared" si="245"/>
        <v>-1</v>
      </c>
      <c r="H383" s="183"/>
      <c r="I383" s="183"/>
      <c r="J383" s="183">
        <f t="shared" si="303"/>
        <v>0</v>
      </c>
      <c r="K383" s="183"/>
      <c r="L383" s="183"/>
      <c r="M383" s="183">
        <f t="shared" si="261"/>
        <v>0</v>
      </c>
      <c r="N383" s="183">
        <v>1566</v>
      </c>
      <c r="O383" s="183">
        <f>1566-1</f>
        <v>1565</v>
      </c>
      <c r="P383" s="183">
        <f t="shared" si="263"/>
        <v>-1</v>
      </c>
      <c r="Q383" s="183"/>
      <c r="R383" s="183"/>
      <c r="S383" s="183">
        <f t="shared" si="265"/>
        <v>0</v>
      </c>
      <c r="T383" s="183"/>
      <c r="U383" s="183"/>
      <c r="V383" s="183">
        <f t="shared" si="267"/>
        <v>0</v>
      </c>
      <c r="W383" s="183"/>
      <c r="X383" s="183"/>
      <c r="Y383" s="183">
        <f t="shared" si="269"/>
        <v>0</v>
      </c>
      <c r="Z383" s="183"/>
      <c r="AA383" s="183"/>
      <c r="AB383" s="183">
        <f t="shared" si="271"/>
        <v>0</v>
      </c>
      <c r="AC383" s="183"/>
      <c r="AD383" s="183"/>
      <c r="AE383" s="183">
        <f t="shared" si="273"/>
        <v>0</v>
      </c>
    </row>
    <row r="384" spans="1:192" s="159" customFormat="1" ht="31.5" x14ac:dyDescent="0.25">
      <c r="A384" s="161" t="s">
        <v>540</v>
      </c>
      <c r="B384" s="162">
        <v>2</v>
      </c>
      <c r="C384" s="162">
        <v>759</v>
      </c>
      <c r="D384" s="162">
        <v>5203</v>
      </c>
      <c r="E384" s="170">
        <f t="shared" si="245"/>
        <v>0</v>
      </c>
      <c r="F384" s="170">
        <f t="shared" si="245"/>
        <v>0</v>
      </c>
      <c r="G384" s="170">
        <f t="shared" si="245"/>
        <v>0</v>
      </c>
      <c r="H384" s="170"/>
      <c r="I384" s="170"/>
      <c r="J384" s="170">
        <f t="shared" si="303"/>
        <v>0</v>
      </c>
      <c r="K384" s="170"/>
      <c r="L384" s="170"/>
      <c r="M384" s="170">
        <f t="shared" si="261"/>
        <v>0</v>
      </c>
      <c r="N384" s="170">
        <f>3800-3800</f>
        <v>0</v>
      </c>
      <c r="O384" s="170">
        <f>3800-3800</f>
        <v>0</v>
      </c>
      <c r="P384" s="170">
        <f t="shared" si="263"/>
        <v>0</v>
      </c>
      <c r="Q384" s="170"/>
      <c r="R384" s="170"/>
      <c r="S384" s="170">
        <f t="shared" si="265"/>
        <v>0</v>
      </c>
      <c r="T384" s="170"/>
      <c r="U384" s="170"/>
      <c r="V384" s="170">
        <f t="shared" si="267"/>
        <v>0</v>
      </c>
      <c r="W384" s="170"/>
      <c r="X384" s="170"/>
      <c r="Y384" s="170">
        <f t="shared" si="269"/>
        <v>0</v>
      </c>
      <c r="Z384" s="170"/>
      <c r="AA384" s="170"/>
      <c r="AB384" s="170">
        <f t="shared" si="271"/>
        <v>0</v>
      </c>
      <c r="AC384" s="170"/>
      <c r="AD384" s="170"/>
      <c r="AE384" s="170">
        <f t="shared" si="273"/>
        <v>0</v>
      </c>
    </row>
    <row r="385" spans="1:192" s="159" customFormat="1" ht="31.5" x14ac:dyDescent="0.25">
      <c r="A385" s="167" t="s">
        <v>541</v>
      </c>
      <c r="B385" s="168">
        <v>2</v>
      </c>
      <c r="C385" s="168">
        <v>741</v>
      </c>
      <c r="D385" s="168">
        <v>5203</v>
      </c>
      <c r="E385" s="170">
        <f t="shared" si="245"/>
        <v>3290</v>
      </c>
      <c r="F385" s="170">
        <f t="shared" si="245"/>
        <v>3286</v>
      </c>
      <c r="G385" s="170">
        <f t="shared" si="245"/>
        <v>-4</v>
      </c>
      <c r="H385" s="170"/>
      <c r="I385" s="170"/>
      <c r="J385" s="170">
        <f t="shared" si="303"/>
        <v>0</v>
      </c>
      <c r="K385" s="170"/>
      <c r="L385" s="170"/>
      <c r="M385" s="170">
        <f t="shared" si="261"/>
        <v>0</v>
      </c>
      <c r="N385" s="170">
        <v>3290</v>
      </c>
      <c r="O385" s="170">
        <f>3290-4</f>
        <v>3286</v>
      </c>
      <c r="P385" s="170">
        <f t="shared" si="263"/>
        <v>-4</v>
      </c>
      <c r="Q385" s="170"/>
      <c r="R385" s="170"/>
      <c r="S385" s="170">
        <f t="shared" si="265"/>
        <v>0</v>
      </c>
      <c r="T385" s="170"/>
      <c r="U385" s="170"/>
      <c r="V385" s="170">
        <f t="shared" si="267"/>
        <v>0</v>
      </c>
      <c r="W385" s="170"/>
      <c r="X385" s="170"/>
      <c r="Y385" s="170">
        <f t="shared" si="269"/>
        <v>0</v>
      </c>
      <c r="Z385" s="170"/>
      <c r="AA385" s="170"/>
      <c r="AB385" s="170">
        <f t="shared" si="271"/>
        <v>0</v>
      </c>
      <c r="AC385" s="170"/>
      <c r="AD385" s="170"/>
      <c r="AE385" s="170">
        <f t="shared" si="273"/>
        <v>0</v>
      </c>
    </row>
    <row r="386" spans="1:192" s="159" customFormat="1" x14ac:dyDescent="0.25">
      <c r="A386" s="167" t="s">
        <v>542</v>
      </c>
      <c r="B386" s="168">
        <v>2</v>
      </c>
      <c r="C386" s="168">
        <v>714</v>
      </c>
      <c r="D386" s="168">
        <v>5203</v>
      </c>
      <c r="E386" s="170">
        <f t="shared" si="245"/>
        <v>4000</v>
      </c>
      <c r="F386" s="170">
        <f t="shared" si="245"/>
        <v>0</v>
      </c>
      <c r="G386" s="170">
        <f t="shared" si="245"/>
        <v>-4000</v>
      </c>
      <c r="H386" s="170"/>
      <c r="I386" s="170"/>
      <c r="J386" s="170">
        <f t="shared" si="303"/>
        <v>0</v>
      </c>
      <c r="K386" s="170"/>
      <c r="L386" s="170"/>
      <c r="M386" s="170">
        <f t="shared" si="261"/>
        <v>0</v>
      </c>
      <c r="N386" s="170">
        <v>4000</v>
      </c>
      <c r="O386" s="170">
        <f>4000-4000</f>
        <v>0</v>
      </c>
      <c r="P386" s="170">
        <f t="shared" si="263"/>
        <v>-4000</v>
      </c>
      <c r="Q386" s="170"/>
      <c r="R386" s="170"/>
      <c r="S386" s="170">
        <f t="shared" si="265"/>
        <v>0</v>
      </c>
      <c r="T386" s="170"/>
      <c r="U386" s="170"/>
      <c r="V386" s="170">
        <f t="shared" si="267"/>
        <v>0</v>
      </c>
      <c r="W386" s="170"/>
      <c r="X386" s="170"/>
      <c r="Y386" s="170">
        <f t="shared" si="269"/>
        <v>0</v>
      </c>
      <c r="Z386" s="170"/>
      <c r="AA386" s="170"/>
      <c r="AB386" s="170">
        <f t="shared" si="271"/>
        <v>0</v>
      </c>
      <c r="AC386" s="170"/>
      <c r="AD386" s="170"/>
      <c r="AE386" s="170">
        <f t="shared" si="273"/>
        <v>0</v>
      </c>
    </row>
    <row r="387" spans="1:192" s="159" customFormat="1" x14ac:dyDescent="0.25">
      <c r="A387" s="161" t="s">
        <v>543</v>
      </c>
      <c r="B387" s="162">
        <v>2</v>
      </c>
      <c r="C387" s="162">
        <v>759</v>
      </c>
      <c r="D387" s="162">
        <v>5203</v>
      </c>
      <c r="E387" s="170">
        <f t="shared" si="245"/>
        <v>2800</v>
      </c>
      <c r="F387" s="170">
        <f t="shared" si="245"/>
        <v>0</v>
      </c>
      <c r="G387" s="170">
        <f t="shared" si="245"/>
        <v>-2800</v>
      </c>
      <c r="H387" s="170"/>
      <c r="I387" s="170"/>
      <c r="J387" s="170">
        <f t="shared" si="303"/>
        <v>0</v>
      </c>
      <c r="K387" s="170"/>
      <c r="L387" s="170"/>
      <c r="M387" s="170">
        <f t="shared" si="261"/>
        <v>0</v>
      </c>
      <c r="N387" s="170">
        <v>2800</v>
      </c>
      <c r="O387" s="170">
        <f>2800-2800</f>
        <v>0</v>
      </c>
      <c r="P387" s="170">
        <f t="shared" si="263"/>
        <v>-2800</v>
      </c>
      <c r="Q387" s="170"/>
      <c r="R387" s="170"/>
      <c r="S387" s="170">
        <f t="shared" si="265"/>
        <v>0</v>
      </c>
      <c r="T387" s="170"/>
      <c r="U387" s="170"/>
      <c r="V387" s="170">
        <f t="shared" si="267"/>
        <v>0</v>
      </c>
      <c r="W387" s="170"/>
      <c r="X387" s="170"/>
      <c r="Y387" s="170">
        <f t="shared" si="269"/>
        <v>0</v>
      </c>
      <c r="Z387" s="170"/>
      <c r="AA387" s="170"/>
      <c r="AB387" s="170">
        <f t="shared" si="271"/>
        <v>0</v>
      </c>
      <c r="AC387" s="170"/>
      <c r="AD387" s="170"/>
      <c r="AE387" s="170">
        <f t="shared" si="273"/>
        <v>0</v>
      </c>
    </row>
    <row r="388" spans="1:192" s="159" customFormat="1" ht="31.5" x14ac:dyDescent="0.25">
      <c r="A388" s="161" t="s">
        <v>544</v>
      </c>
      <c r="B388" s="162">
        <v>2</v>
      </c>
      <c r="C388" s="162">
        <v>759</v>
      </c>
      <c r="D388" s="162">
        <v>5203</v>
      </c>
      <c r="E388" s="170">
        <f t="shared" si="245"/>
        <v>0</v>
      </c>
      <c r="F388" s="170">
        <f t="shared" si="245"/>
        <v>0</v>
      </c>
      <c r="G388" s="170">
        <f t="shared" si="245"/>
        <v>0</v>
      </c>
      <c r="H388" s="170"/>
      <c r="I388" s="170"/>
      <c r="J388" s="170">
        <f t="shared" si="303"/>
        <v>0</v>
      </c>
      <c r="K388" s="170"/>
      <c r="L388" s="170"/>
      <c r="M388" s="170">
        <f t="shared" si="261"/>
        <v>0</v>
      </c>
      <c r="N388" s="170">
        <v>0</v>
      </c>
      <c r="O388" s="170">
        <v>0</v>
      </c>
      <c r="P388" s="170">
        <f t="shared" si="263"/>
        <v>0</v>
      </c>
      <c r="Q388" s="170"/>
      <c r="R388" s="170"/>
      <c r="S388" s="170">
        <f t="shared" si="265"/>
        <v>0</v>
      </c>
      <c r="T388" s="170"/>
      <c r="U388" s="170"/>
      <c r="V388" s="170">
        <f t="shared" si="267"/>
        <v>0</v>
      </c>
      <c r="W388" s="170"/>
      <c r="X388" s="170"/>
      <c r="Y388" s="170">
        <f t="shared" si="269"/>
        <v>0</v>
      </c>
      <c r="Z388" s="170"/>
      <c r="AA388" s="170"/>
      <c r="AB388" s="170">
        <f t="shared" si="271"/>
        <v>0</v>
      </c>
      <c r="AC388" s="170"/>
      <c r="AD388" s="170"/>
      <c r="AE388" s="170">
        <f t="shared" si="273"/>
        <v>0</v>
      </c>
    </row>
    <row r="389" spans="1:192" s="159" customFormat="1" ht="47.25" x14ac:dyDescent="0.25">
      <c r="A389" s="167" t="s">
        <v>545</v>
      </c>
      <c r="B389" s="168">
        <v>2</v>
      </c>
      <c r="C389" s="168">
        <v>714</v>
      </c>
      <c r="D389" s="168">
        <v>5203</v>
      </c>
      <c r="E389" s="170">
        <f t="shared" si="245"/>
        <v>62000</v>
      </c>
      <c r="F389" s="170">
        <f t="shared" si="245"/>
        <v>59563</v>
      </c>
      <c r="G389" s="170">
        <f t="shared" si="245"/>
        <v>-2437</v>
      </c>
      <c r="H389" s="170"/>
      <c r="I389" s="170"/>
      <c r="J389" s="170">
        <f t="shared" si="303"/>
        <v>0</v>
      </c>
      <c r="K389" s="170"/>
      <c r="L389" s="170"/>
      <c r="M389" s="170">
        <f t="shared" si="261"/>
        <v>0</v>
      </c>
      <c r="N389" s="170">
        <v>62000</v>
      </c>
      <c r="O389" s="170">
        <f>62000-2437</f>
        <v>59563</v>
      </c>
      <c r="P389" s="170">
        <f t="shared" si="263"/>
        <v>-2437</v>
      </c>
      <c r="Q389" s="170"/>
      <c r="R389" s="170"/>
      <c r="S389" s="170">
        <f t="shared" si="265"/>
        <v>0</v>
      </c>
      <c r="T389" s="170"/>
      <c r="U389" s="170"/>
      <c r="V389" s="170">
        <f t="shared" si="267"/>
        <v>0</v>
      </c>
      <c r="W389" s="170"/>
      <c r="X389" s="170"/>
      <c r="Y389" s="170">
        <f t="shared" si="269"/>
        <v>0</v>
      </c>
      <c r="Z389" s="170"/>
      <c r="AA389" s="170"/>
      <c r="AB389" s="170">
        <f t="shared" si="271"/>
        <v>0</v>
      </c>
      <c r="AC389" s="170"/>
      <c r="AD389" s="170"/>
      <c r="AE389" s="170">
        <f t="shared" si="273"/>
        <v>0</v>
      </c>
      <c r="FQ389" s="156"/>
      <c r="FR389" s="156"/>
      <c r="FS389" s="156"/>
      <c r="FT389" s="156"/>
      <c r="FU389" s="156"/>
      <c r="FV389" s="156"/>
      <c r="FW389" s="156"/>
      <c r="FX389" s="156"/>
      <c r="FY389" s="156"/>
      <c r="FZ389" s="156"/>
      <c r="GA389" s="156"/>
      <c r="GB389" s="156"/>
      <c r="GC389" s="156"/>
      <c r="GD389" s="156"/>
      <c r="GE389" s="156"/>
      <c r="GF389" s="156"/>
      <c r="GG389" s="156"/>
      <c r="GH389" s="156"/>
      <c r="GI389" s="156"/>
      <c r="GJ389" s="156"/>
    </row>
    <row r="390" spans="1:192" s="159" customFormat="1" ht="31.5" x14ac:dyDescent="0.25">
      <c r="A390" s="161" t="s">
        <v>546</v>
      </c>
      <c r="B390" s="162">
        <v>2</v>
      </c>
      <c r="C390" s="162">
        <v>714</v>
      </c>
      <c r="D390" s="162">
        <v>5203</v>
      </c>
      <c r="E390" s="170">
        <f t="shared" si="245"/>
        <v>4100</v>
      </c>
      <c r="F390" s="170">
        <f t="shared" si="245"/>
        <v>0</v>
      </c>
      <c r="G390" s="170">
        <f t="shared" si="245"/>
        <v>-4100</v>
      </c>
      <c r="H390" s="170"/>
      <c r="I390" s="170"/>
      <c r="J390" s="170">
        <f t="shared" si="303"/>
        <v>0</v>
      </c>
      <c r="K390" s="170"/>
      <c r="L390" s="170"/>
      <c r="M390" s="170">
        <f t="shared" si="261"/>
        <v>0</v>
      </c>
      <c r="N390" s="188">
        <v>4100</v>
      </c>
      <c r="O390" s="188">
        <f>4100-4100</f>
        <v>0</v>
      </c>
      <c r="P390" s="170">
        <f t="shared" si="263"/>
        <v>-4100</v>
      </c>
      <c r="Q390" s="170"/>
      <c r="R390" s="170"/>
      <c r="S390" s="170">
        <f t="shared" si="265"/>
        <v>0</v>
      </c>
      <c r="T390" s="170"/>
      <c r="U390" s="170"/>
      <c r="V390" s="170">
        <f t="shared" si="267"/>
        <v>0</v>
      </c>
      <c r="W390" s="170"/>
      <c r="X390" s="170"/>
      <c r="Y390" s="170">
        <f t="shared" si="269"/>
        <v>0</v>
      </c>
      <c r="Z390" s="170"/>
      <c r="AA390" s="170"/>
      <c r="AB390" s="170">
        <f t="shared" si="271"/>
        <v>0</v>
      </c>
      <c r="AC390" s="170"/>
      <c r="AD390" s="170"/>
      <c r="AE390" s="170">
        <f t="shared" si="273"/>
        <v>0</v>
      </c>
    </row>
    <row r="391" spans="1:192" s="159" customFormat="1" x14ac:dyDescent="0.25">
      <c r="A391" s="157" t="s">
        <v>377</v>
      </c>
      <c r="B391" s="166"/>
      <c r="C391" s="166"/>
      <c r="D391" s="166"/>
      <c r="E391" s="158">
        <f t="shared" si="245"/>
        <v>49800</v>
      </c>
      <c r="F391" s="158">
        <f t="shared" si="245"/>
        <v>49800</v>
      </c>
      <c r="G391" s="158">
        <f t="shared" si="245"/>
        <v>0</v>
      </c>
      <c r="H391" s="158">
        <f>SUM(H392:H393)</f>
        <v>0</v>
      </c>
      <c r="I391" s="158">
        <f>SUM(I392:I393)</f>
        <v>0</v>
      </c>
      <c r="J391" s="158">
        <f t="shared" si="303"/>
        <v>0</v>
      </c>
      <c r="K391" s="158">
        <f t="shared" ref="K391:L391" si="325">SUM(K392:K393)</f>
        <v>0</v>
      </c>
      <c r="L391" s="158">
        <f t="shared" si="325"/>
        <v>0</v>
      </c>
      <c r="M391" s="158">
        <f t="shared" si="261"/>
        <v>0</v>
      </c>
      <c r="N391" s="158">
        <f t="shared" ref="N391:O391" si="326">SUM(N392:N393)</f>
        <v>25200</v>
      </c>
      <c r="O391" s="158">
        <f t="shared" si="326"/>
        <v>25200</v>
      </c>
      <c r="P391" s="158">
        <f t="shared" si="263"/>
        <v>0</v>
      </c>
      <c r="Q391" s="158">
        <f t="shared" ref="Q391:R391" si="327">SUM(Q392:Q393)</f>
        <v>0</v>
      </c>
      <c r="R391" s="158">
        <f t="shared" si="327"/>
        <v>0</v>
      </c>
      <c r="S391" s="158">
        <f t="shared" si="265"/>
        <v>0</v>
      </c>
      <c r="T391" s="158">
        <f t="shared" ref="T391:U391" si="328">SUM(T392:T393)</f>
        <v>24600</v>
      </c>
      <c r="U391" s="158">
        <f t="shared" si="328"/>
        <v>24600</v>
      </c>
      <c r="V391" s="158">
        <f t="shared" si="267"/>
        <v>0</v>
      </c>
      <c r="W391" s="158">
        <f t="shared" ref="W391:X391" si="329">SUM(W392:W393)</f>
        <v>0</v>
      </c>
      <c r="X391" s="158">
        <f t="shared" si="329"/>
        <v>0</v>
      </c>
      <c r="Y391" s="158">
        <f t="shared" si="269"/>
        <v>0</v>
      </c>
      <c r="Z391" s="158">
        <f t="shared" ref="Z391:AA391" si="330">SUM(Z392:Z393)</f>
        <v>0</v>
      </c>
      <c r="AA391" s="158">
        <f t="shared" si="330"/>
        <v>0</v>
      </c>
      <c r="AB391" s="158">
        <f t="shared" si="271"/>
        <v>0</v>
      </c>
      <c r="AC391" s="158">
        <f t="shared" ref="AC391:AD391" si="331">SUM(AC392:AC393)</f>
        <v>0</v>
      </c>
      <c r="AD391" s="158">
        <f t="shared" si="331"/>
        <v>0</v>
      </c>
      <c r="AE391" s="158">
        <f t="shared" si="273"/>
        <v>0</v>
      </c>
      <c r="AF391" s="156"/>
      <c r="AG391" s="156"/>
      <c r="AH391" s="156"/>
      <c r="AI391" s="156"/>
      <c r="AJ391" s="156"/>
      <c r="AK391" s="156"/>
      <c r="AL391" s="156"/>
      <c r="AM391" s="156"/>
      <c r="AN391" s="156"/>
      <c r="AO391" s="156"/>
      <c r="AP391" s="156"/>
      <c r="AQ391" s="156"/>
      <c r="AR391" s="156"/>
      <c r="AS391" s="156"/>
      <c r="AT391" s="156"/>
      <c r="AU391" s="156"/>
      <c r="AV391" s="156"/>
      <c r="AW391" s="156"/>
      <c r="AX391" s="156"/>
      <c r="AY391" s="156"/>
      <c r="AZ391" s="156"/>
      <c r="BA391" s="156"/>
      <c r="BB391" s="156"/>
      <c r="BC391" s="156"/>
      <c r="BD391" s="156"/>
      <c r="BE391" s="156"/>
      <c r="BF391" s="156"/>
      <c r="BG391" s="156"/>
      <c r="BH391" s="156"/>
      <c r="BI391" s="156"/>
      <c r="BJ391" s="156"/>
      <c r="BK391" s="156"/>
      <c r="BL391" s="156"/>
      <c r="BM391" s="156"/>
      <c r="BN391" s="156"/>
      <c r="BO391" s="156"/>
      <c r="BP391" s="156"/>
      <c r="BQ391" s="156"/>
      <c r="BR391" s="156"/>
      <c r="BS391" s="156"/>
      <c r="BT391" s="156"/>
      <c r="BU391" s="156"/>
      <c r="BV391" s="156"/>
      <c r="BW391" s="156"/>
      <c r="BX391" s="156"/>
      <c r="BY391" s="156"/>
      <c r="BZ391" s="156"/>
      <c r="CA391" s="156"/>
      <c r="CB391" s="156"/>
      <c r="CC391" s="156"/>
      <c r="CD391" s="156"/>
      <c r="CE391" s="156"/>
      <c r="CF391" s="156"/>
      <c r="CG391" s="156"/>
      <c r="CH391" s="156"/>
      <c r="CI391" s="156"/>
      <c r="CJ391" s="156"/>
      <c r="CK391" s="156"/>
      <c r="CL391" s="156"/>
      <c r="CM391" s="156"/>
      <c r="CN391" s="156"/>
      <c r="CO391" s="156"/>
      <c r="CP391" s="156"/>
      <c r="CQ391" s="156"/>
      <c r="CR391" s="156"/>
      <c r="CS391" s="156"/>
      <c r="CT391" s="156"/>
      <c r="CU391" s="156"/>
      <c r="CV391" s="156"/>
      <c r="CW391" s="156"/>
      <c r="CX391" s="156"/>
      <c r="CY391" s="156"/>
      <c r="CZ391" s="156"/>
      <c r="DA391" s="156"/>
      <c r="DB391" s="156"/>
      <c r="DC391" s="156"/>
      <c r="DD391" s="156"/>
      <c r="DE391" s="156"/>
      <c r="DF391" s="156"/>
      <c r="DG391" s="156"/>
      <c r="DH391" s="156"/>
      <c r="DI391" s="156"/>
      <c r="DJ391" s="156"/>
      <c r="DK391" s="156"/>
      <c r="DL391" s="156"/>
      <c r="DM391" s="156"/>
      <c r="DN391" s="156"/>
      <c r="DO391" s="156"/>
      <c r="DP391" s="156"/>
      <c r="DQ391" s="156"/>
      <c r="DR391" s="156"/>
      <c r="DS391" s="156"/>
      <c r="DT391" s="156"/>
      <c r="DU391" s="156"/>
      <c r="DV391" s="156"/>
      <c r="DW391" s="156"/>
      <c r="DX391" s="156"/>
      <c r="DY391" s="156"/>
      <c r="DZ391" s="156"/>
      <c r="EA391" s="156"/>
      <c r="EB391" s="156"/>
      <c r="EC391" s="156"/>
      <c r="ED391" s="156"/>
      <c r="EE391" s="156"/>
      <c r="EF391" s="156"/>
      <c r="EG391" s="156"/>
      <c r="EH391" s="156"/>
      <c r="EI391" s="156"/>
      <c r="EJ391" s="156"/>
      <c r="EK391" s="156"/>
      <c r="EL391" s="156"/>
      <c r="EM391" s="156"/>
      <c r="EN391" s="156"/>
      <c r="EO391" s="156"/>
      <c r="EP391" s="156"/>
      <c r="EQ391" s="156"/>
      <c r="ER391" s="156"/>
      <c r="ES391" s="156"/>
      <c r="ET391" s="156"/>
      <c r="EU391" s="156"/>
      <c r="EV391" s="156"/>
      <c r="EW391" s="156"/>
      <c r="EX391" s="156"/>
      <c r="EY391" s="156"/>
      <c r="EZ391" s="156"/>
      <c r="FA391" s="156"/>
      <c r="FB391" s="156"/>
      <c r="FC391" s="156"/>
      <c r="FD391" s="156"/>
      <c r="FE391" s="156"/>
      <c r="FF391" s="156"/>
      <c r="FG391" s="156"/>
      <c r="FH391" s="156"/>
      <c r="FI391" s="156"/>
      <c r="FJ391" s="156"/>
      <c r="FK391" s="156"/>
      <c r="FL391" s="156"/>
      <c r="FM391" s="156"/>
      <c r="FN391" s="156"/>
      <c r="FO391" s="156"/>
      <c r="FP391" s="156"/>
      <c r="FQ391" s="156"/>
      <c r="FR391" s="156"/>
      <c r="FS391" s="156"/>
      <c r="FT391" s="156"/>
      <c r="FU391" s="156"/>
      <c r="FV391" s="156"/>
      <c r="FW391" s="156"/>
      <c r="FX391" s="156"/>
      <c r="FY391" s="156"/>
      <c r="FZ391" s="156"/>
      <c r="GA391" s="156"/>
      <c r="GB391" s="156"/>
      <c r="GC391" s="156"/>
      <c r="GD391" s="156"/>
      <c r="GE391" s="156"/>
      <c r="GF391" s="156"/>
      <c r="GG391" s="156"/>
      <c r="GH391" s="156"/>
      <c r="GI391" s="156"/>
      <c r="GJ391" s="156"/>
    </row>
    <row r="392" spans="1:192" s="159" customFormat="1" x14ac:dyDescent="0.25">
      <c r="A392" s="167" t="s">
        <v>547</v>
      </c>
      <c r="B392" s="168">
        <v>1</v>
      </c>
      <c r="C392" s="168">
        <v>739</v>
      </c>
      <c r="D392" s="168">
        <v>5204</v>
      </c>
      <c r="E392" s="170">
        <f t="shared" si="245"/>
        <v>24600</v>
      </c>
      <c r="F392" s="170">
        <f t="shared" si="245"/>
        <v>24600</v>
      </c>
      <c r="G392" s="170">
        <f t="shared" si="245"/>
        <v>0</v>
      </c>
      <c r="H392" s="170"/>
      <c r="I392" s="170"/>
      <c r="J392" s="170">
        <f t="shared" si="303"/>
        <v>0</v>
      </c>
      <c r="K392" s="170"/>
      <c r="L392" s="170"/>
      <c r="M392" s="170">
        <f t="shared" si="261"/>
        <v>0</v>
      </c>
      <c r="N392" s="170"/>
      <c r="O392" s="170"/>
      <c r="P392" s="170">
        <f t="shared" si="263"/>
        <v>0</v>
      </c>
      <c r="Q392" s="170"/>
      <c r="R392" s="170"/>
      <c r="S392" s="170">
        <f t="shared" si="265"/>
        <v>0</v>
      </c>
      <c r="T392" s="170">
        <f>55000+1000-31400</f>
        <v>24600</v>
      </c>
      <c r="U392" s="170">
        <f>55000+1000-31400</f>
        <v>24600</v>
      </c>
      <c r="V392" s="170">
        <f t="shared" si="267"/>
        <v>0</v>
      </c>
      <c r="W392" s="170"/>
      <c r="X392" s="170"/>
      <c r="Y392" s="170">
        <f t="shared" si="269"/>
        <v>0</v>
      </c>
      <c r="Z392" s="170"/>
      <c r="AA392" s="170"/>
      <c r="AB392" s="170">
        <f t="shared" si="271"/>
        <v>0</v>
      </c>
      <c r="AC392" s="170"/>
      <c r="AD392" s="170"/>
      <c r="AE392" s="170">
        <f t="shared" si="273"/>
        <v>0</v>
      </c>
    </row>
    <row r="393" spans="1:192" s="159" customFormat="1" ht="31.5" x14ac:dyDescent="0.25">
      <c r="A393" s="167" t="s">
        <v>548</v>
      </c>
      <c r="B393" s="168">
        <v>2</v>
      </c>
      <c r="C393" s="168">
        <v>714</v>
      </c>
      <c r="D393" s="168">
        <v>5204</v>
      </c>
      <c r="E393" s="170">
        <f t="shared" si="245"/>
        <v>25200</v>
      </c>
      <c r="F393" s="170">
        <f t="shared" si="245"/>
        <v>25200</v>
      </c>
      <c r="G393" s="170">
        <f t="shared" si="245"/>
        <v>0</v>
      </c>
      <c r="H393" s="170"/>
      <c r="I393" s="170"/>
      <c r="J393" s="170">
        <f t="shared" si="303"/>
        <v>0</v>
      </c>
      <c r="K393" s="170"/>
      <c r="L393" s="170"/>
      <c r="M393" s="170">
        <f t="shared" si="261"/>
        <v>0</v>
      </c>
      <c r="N393" s="170">
        <v>25200</v>
      </c>
      <c r="O393" s="170">
        <v>25200</v>
      </c>
      <c r="P393" s="170">
        <f t="shared" si="263"/>
        <v>0</v>
      </c>
      <c r="Q393" s="170"/>
      <c r="R393" s="170"/>
      <c r="S393" s="170">
        <f t="shared" si="265"/>
        <v>0</v>
      </c>
      <c r="T393" s="170"/>
      <c r="U393" s="170"/>
      <c r="V393" s="170">
        <f t="shared" si="267"/>
        <v>0</v>
      </c>
      <c r="W393" s="170"/>
      <c r="X393" s="170"/>
      <c r="Y393" s="170">
        <f t="shared" si="269"/>
        <v>0</v>
      </c>
      <c r="Z393" s="170"/>
      <c r="AA393" s="170"/>
      <c r="AB393" s="170">
        <f t="shared" si="271"/>
        <v>0</v>
      </c>
      <c r="AC393" s="170"/>
      <c r="AD393" s="170"/>
      <c r="AE393" s="170">
        <f t="shared" si="273"/>
        <v>0</v>
      </c>
    </row>
    <row r="394" spans="1:192" s="159" customFormat="1" x14ac:dyDescent="0.25">
      <c r="A394" s="157" t="s">
        <v>379</v>
      </c>
      <c r="B394" s="166"/>
      <c r="C394" s="166"/>
      <c r="D394" s="166"/>
      <c r="E394" s="158">
        <f t="shared" si="245"/>
        <v>309935</v>
      </c>
      <c r="F394" s="158">
        <f t="shared" si="245"/>
        <v>323885</v>
      </c>
      <c r="G394" s="158">
        <f t="shared" si="245"/>
        <v>13950</v>
      </c>
      <c r="H394" s="158">
        <f>SUM(H395:H402)</f>
        <v>0</v>
      </c>
      <c r="I394" s="158">
        <f>SUM(I395:I402)</f>
        <v>0</v>
      </c>
      <c r="J394" s="158">
        <f t="shared" si="303"/>
        <v>0</v>
      </c>
      <c r="K394" s="158">
        <f t="shared" ref="K394:L394" si="332">SUM(K395:K402)</f>
        <v>0</v>
      </c>
      <c r="L394" s="158">
        <f t="shared" si="332"/>
        <v>0</v>
      </c>
      <c r="M394" s="158">
        <f t="shared" si="261"/>
        <v>0</v>
      </c>
      <c r="N394" s="158">
        <f t="shared" ref="N394:O394" si="333">SUM(N395:N402)</f>
        <v>12841</v>
      </c>
      <c r="O394" s="158">
        <f t="shared" si="333"/>
        <v>26791</v>
      </c>
      <c r="P394" s="158">
        <f t="shared" si="263"/>
        <v>13950</v>
      </c>
      <c r="Q394" s="158">
        <f t="shared" ref="Q394:R394" si="334">SUM(Q395:Q402)</f>
        <v>297094</v>
      </c>
      <c r="R394" s="158">
        <f t="shared" si="334"/>
        <v>297094</v>
      </c>
      <c r="S394" s="158">
        <f t="shared" si="265"/>
        <v>0</v>
      </c>
      <c r="T394" s="158">
        <f t="shared" ref="T394:U394" si="335">SUM(T395:T402)</f>
        <v>0</v>
      </c>
      <c r="U394" s="158">
        <f t="shared" si="335"/>
        <v>0</v>
      </c>
      <c r="V394" s="158">
        <f t="shared" si="267"/>
        <v>0</v>
      </c>
      <c r="W394" s="158">
        <f t="shared" ref="W394:X394" si="336">SUM(W395:W402)</f>
        <v>0</v>
      </c>
      <c r="X394" s="158">
        <f t="shared" si="336"/>
        <v>0</v>
      </c>
      <c r="Y394" s="158">
        <f t="shared" si="269"/>
        <v>0</v>
      </c>
      <c r="Z394" s="158">
        <f t="shared" ref="Z394:AA394" si="337">SUM(Z395:Z402)</f>
        <v>0</v>
      </c>
      <c r="AA394" s="158">
        <f t="shared" si="337"/>
        <v>0</v>
      </c>
      <c r="AB394" s="158">
        <f t="shared" si="271"/>
        <v>0</v>
      </c>
      <c r="AC394" s="158">
        <f t="shared" ref="AC394:AD394" si="338">SUM(AC395:AC402)</f>
        <v>0</v>
      </c>
      <c r="AD394" s="158">
        <f t="shared" si="338"/>
        <v>0</v>
      </c>
      <c r="AE394" s="158">
        <f t="shared" si="273"/>
        <v>0</v>
      </c>
      <c r="AF394" s="156"/>
      <c r="AG394" s="156"/>
      <c r="AH394" s="156"/>
      <c r="AI394" s="156"/>
      <c r="AJ394" s="156"/>
      <c r="AK394" s="156"/>
      <c r="AL394" s="156"/>
      <c r="AM394" s="156"/>
      <c r="AN394" s="156"/>
      <c r="AO394" s="156"/>
      <c r="AP394" s="156"/>
      <c r="AQ394" s="156"/>
      <c r="AR394" s="156"/>
      <c r="AS394" s="156"/>
      <c r="AT394" s="156"/>
      <c r="AU394" s="156"/>
      <c r="AV394" s="156"/>
      <c r="AW394" s="156"/>
      <c r="AX394" s="156"/>
      <c r="AY394" s="156"/>
      <c r="AZ394" s="156"/>
      <c r="BA394" s="156"/>
      <c r="BB394" s="156"/>
      <c r="BC394" s="156"/>
      <c r="BD394" s="156"/>
      <c r="BE394" s="156"/>
      <c r="BF394" s="156"/>
      <c r="BG394" s="156"/>
      <c r="BH394" s="156"/>
      <c r="BI394" s="156"/>
      <c r="BJ394" s="156"/>
      <c r="BK394" s="156"/>
      <c r="BL394" s="156"/>
      <c r="BM394" s="156"/>
      <c r="BN394" s="156"/>
      <c r="BO394" s="156"/>
      <c r="BP394" s="156"/>
      <c r="BQ394" s="156"/>
      <c r="BR394" s="156"/>
      <c r="BS394" s="156"/>
      <c r="BT394" s="156"/>
      <c r="BU394" s="156"/>
      <c r="BV394" s="156"/>
      <c r="BW394" s="156"/>
      <c r="BX394" s="156"/>
      <c r="BY394" s="156"/>
      <c r="BZ394" s="156"/>
      <c r="CA394" s="156"/>
      <c r="CB394" s="156"/>
      <c r="CC394" s="156"/>
      <c r="CD394" s="156"/>
      <c r="CE394" s="156"/>
      <c r="CF394" s="156"/>
      <c r="CG394" s="156"/>
      <c r="CH394" s="156"/>
      <c r="CI394" s="156"/>
      <c r="CJ394" s="156"/>
      <c r="CK394" s="156"/>
      <c r="CL394" s="156"/>
      <c r="CM394" s="156"/>
      <c r="CN394" s="156"/>
      <c r="CO394" s="156"/>
      <c r="CP394" s="156"/>
      <c r="CQ394" s="156"/>
      <c r="CR394" s="156"/>
      <c r="CS394" s="156"/>
      <c r="CT394" s="156"/>
      <c r="CU394" s="156"/>
      <c r="CV394" s="156"/>
      <c r="CW394" s="156"/>
      <c r="CX394" s="156"/>
      <c r="CY394" s="156"/>
      <c r="CZ394" s="156"/>
      <c r="DA394" s="156"/>
      <c r="DB394" s="156"/>
      <c r="DC394" s="156"/>
      <c r="DD394" s="156"/>
      <c r="DE394" s="156"/>
      <c r="DF394" s="156"/>
      <c r="DG394" s="156"/>
      <c r="DH394" s="156"/>
      <c r="DI394" s="156"/>
      <c r="DJ394" s="156"/>
      <c r="DK394" s="156"/>
      <c r="DL394" s="156"/>
      <c r="DM394" s="156"/>
      <c r="DN394" s="156"/>
      <c r="DO394" s="156"/>
      <c r="DP394" s="156"/>
      <c r="DQ394" s="156"/>
      <c r="DR394" s="156"/>
      <c r="DS394" s="156"/>
      <c r="DT394" s="156"/>
      <c r="DU394" s="156"/>
      <c r="DV394" s="156"/>
      <c r="DW394" s="156"/>
      <c r="DX394" s="156"/>
      <c r="DY394" s="156"/>
      <c r="DZ394" s="156"/>
      <c r="EA394" s="156"/>
      <c r="EB394" s="156"/>
      <c r="EC394" s="156"/>
      <c r="ED394" s="156"/>
      <c r="EE394" s="156"/>
      <c r="EF394" s="156"/>
      <c r="EG394" s="156"/>
      <c r="EH394" s="156"/>
      <c r="EI394" s="156"/>
      <c r="EJ394" s="156"/>
      <c r="EK394" s="156"/>
      <c r="EL394" s="156"/>
      <c r="EM394" s="156"/>
      <c r="EN394" s="156"/>
      <c r="EO394" s="156"/>
      <c r="EP394" s="156"/>
      <c r="EQ394" s="156"/>
      <c r="ER394" s="156"/>
      <c r="ES394" s="156"/>
      <c r="ET394" s="156"/>
      <c r="EU394" s="156"/>
      <c r="EV394" s="156"/>
      <c r="EW394" s="156"/>
      <c r="EX394" s="156"/>
      <c r="EY394" s="156"/>
      <c r="EZ394" s="156"/>
      <c r="FA394" s="156"/>
      <c r="FB394" s="156"/>
      <c r="FC394" s="156"/>
      <c r="FD394" s="156"/>
      <c r="FE394" s="156"/>
      <c r="FF394" s="156"/>
      <c r="FG394" s="156"/>
      <c r="FH394" s="156"/>
      <c r="FI394" s="156"/>
      <c r="FJ394" s="156"/>
      <c r="FK394" s="156"/>
      <c r="FL394" s="156"/>
      <c r="FM394" s="156"/>
      <c r="FN394" s="156"/>
      <c r="FO394" s="156"/>
      <c r="FP394" s="156"/>
      <c r="FQ394" s="156"/>
      <c r="FR394" s="156"/>
      <c r="FS394" s="156"/>
      <c r="FT394" s="156"/>
      <c r="FU394" s="156"/>
      <c r="FV394" s="156"/>
      <c r="FW394" s="156"/>
      <c r="FX394" s="156"/>
      <c r="FY394" s="156"/>
      <c r="FZ394" s="156"/>
      <c r="GA394" s="156"/>
      <c r="GB394" s="156"/>
      <c r="GC394" s="156"/>
      <c r="GD394" s="156"/>
      <c r="GE394" s="156"/>
      <c r="GF394" s="156"/>
      <c r="GG394" s="156"/>
      <c r="GH394" s="156"/>
      <c r="GI394" s="156"/>
      <c r="GJ394" s="156"/>
    </row>
    <row r="395" spans="1:192" s="159" customFormat="1" ht="63" x14ac:dyDescent="0.25">
      <c r="A395" s="179" t="s">
        <v>549</v>
      </c>
      <c r="B395" s="169"/>
      <c r="C395" s="169"/>
      <c r="D395" s="172"/>
      <c r="E395" s="170">
        <f t="shared" si="245"/>
        <v>297094</v>
      </c>
      <c r="F395" s="170">
        <f t="shared" si="245"/>
        <v>297094</v>
      </c>
      <c r="G395" s="170">
        <f t="shared" si="245"/>
        <v>0</v>
      </c>
      <c r="H395" s="170"/>
      <c r="I395" s="170"/>
      <c r="J395" s="170">
        <f t="shared" si="303"/>
        <v>0</v>
      </c>
      <c r="K395" s="170"/>
      <c r="L395" s="170"/>
      <c r="M395" s="170">
        <f t="shared" si="261"/>
        <v>0</v>
      </c>
      <c r="N395" s="170"/>
      <c r="O395" s="170"/>
      <c r="P395" s="170">
        <f t="shared" si="263"/>
        <v>0</v>
      </c>
      <c r="Q395" s="170">
        <f>170764+126330</f>
        <v>297094</v>
      </c>
      <c r="R395" s="170">
        <f>170764+126330</f>
        <v>297094</v>
      </c>
      <c r="S395" s="170">
        <f t="shared" si="265"/>
        <v>0</v>
      </c>
      <c r="T395" s="170"/>
      <c r="U395" s="170"/>
      <c r="V395" s="170">
        <f t="shared" si="267"/>
        <v>0</v>
      </c>
      <c r="W395" s="170"/>
      <c r="X395" s="170"/>
      <c r="Y395" s="170">
        <f t="shared" si="269"/>
        <v>0</v>
      </c>
      <c r="Z395" s="170"/>
      <c r="AA395" s="170"/>
      <c r="AB395" s="170">
        <f t="shared" si="271"/>
        <v>0</v>
      </c>
      <c r="AC395" s="170"/>
      <c r="AD395" s="170"/>
      <c r="AE395" s="170">
        <f t="shared" si="273"/>
        <v>0</v>
      </c>
    </row>
    <row r="396" spans="1:192" s="159" customFormat="1" x14ac:dyDescent="0.25">
      <c r="A396" s="161" t="s">
        <v>550</v>
      </c>
      <c r="B396" s="162">
        <v>3</v>
      </c>
      <c r="C396" s="162">
        <v>751</v>
      </c>
      <c r="D396" s="168">
        <v>5205</v>
      </c>
      <c r="E396" s="170">
        <f t="shared" si="245"/>
        <v>0</v>
      </c>
      <c r="F396" s="170">
        <f t="shared" si="245"/>
        <v>16500</v>
      </c>
      <c r="G396" s="170">
        <f t="shared" si="245"/>
        <v>16500</v>
      </c>
      <c r="H396" s="170"/>
      <c r="I396" s="170"/>
      <c r="J396" s="170">
        <f t="shared" si="303"/>
        <v>0</v>
      </c>
      <c r="K396" s="170"/>
      <c r="L396" s="170"/>
      <c r="M396" s="170">
        <f t="shared" si="261"/>
        <v>0</v>
      </c>
      <c r="N396" s="170"/>
      <c r="O396" s="170">
        <v>16500</v>
      </c>
      <c r="P396" s="170">
        <f t="shared" si="263"/>
        <v>16500</v>
      </c>
      <c r="Q396" s="170"/>
      <c r="R396" s="170"/>
      <c r="S396" s="170">
        <f t="shared" si="265"/>
        <v>0</v>
      </c>
      <c r="T396" s="170"/>
      <c r="U396" s="170"/>
      <c r="V396" s="170">
        <f t="shared" si="267"/>
        <v>0</v>
      </c>
      <c r="W396" s="170"/>
      <c r="X396" s="170"/>
      <c r="Y396" s="170">
        <f t="shared" si="269"/>
        <v>0</v>
      </c>
      <c r="Z396" s="170"/>
      <c r="AA396" s="170"/>
      <c r="AB396" s="170">
        <f t="shared" si="271"/>
        <v>0</v>
      </c>
      <c r="AC396" s="170"/>
      <c r="AD396" s="170"/>
      <c r="AE396" s="170">
        <f t="shared" si="273"/>
        <v>0</v>
      </c>
    </row>
    <row r="397" spans="1:192" s="159" customFormat="1" x14ac:dyDescent="0.25">
      <c r="A397" s="161" t="s">
        <v>551</v>
      </c>
      <c r="B397" s="162">
        <v>1</v>
      </c>
      <c r="C397" s="162">
        <v>739</v>
      </c>
      <c r="D397" s="168">
        <v>5205</v>
      </c>
      <c r="E397" s="170">
        <f t="shared" si="245"/>
        <v>0</v>
      </c>
      <c r="F397" s="170">
        <f t="shared" si="245"/>
        <v>2450</v>
      </c>
      <c r="G397" s="170">
        <f t="shared" si="245"/>
        <v>2450</v>
      </c>
      <c r="H397" s="170"/>
      <c r="I397" s="170"/>
      <c r="J397" s="170">
        <f t="shared" si="303"/>
        <v>0</v>
      </c>
      <c r="K397" s="170"/>
      <c r="L397" s="170"/>
      <c r="M397" s="170">
        <f t="shared" si="261"/>
        <v>0</v>
      </c>
      <c r="N397" s="170"/>
      <c r="O397" s="170">
        <v>2450</v>
      </c>
      <c r="P397" s="170">
        <f t="shared" si="263"/>
        <v>2450</v>
      </c>
      <c r="Q397" s="170"/>
      <c r="R397" s="170"/>
      <c r="S397" s="170">
        <f t="shared" si="265"/>
        <v>0</v>
      </c>
      <c r="T397" s="170"/>
      <c r="U397" s="170"/>
      <c r="V397" s="170">
        <f t="shared" si="267"/>
        <v>0</v>
      </c>
      <c r="W397" s="170"/>
      <c r="X397" s="170"/>
      <c r="Y397" s="170">
        <f t="shared" si="269"/>
        <v>0</v>
      </c>
      <c r="Z397" s="170"/>
      <c r="AA397" s="170"/>
      <c r="AB397" s="170">
        <f t="shared" si="271"/>
        <v>0</v>
      </c>
      <c r="AC397" s="170"/>
      <c r="AD397" s="170"/>
      <c r="AE397" s="170">
        <f t="shared" si="273"/>
        <v>0</v>
      </c>
    </row>
    <row r="398" spans="1:192" s="159" customFormat="1" x14ac:dyDescent="0.25">
      <c r="A398" s="161" t="s">
        <v>552</v>
      </c>
      <c r="B398" s="162">
        <v>3</v>
      </c>
      <c r="C398" s="162">
        <v>739</v>
      </c>
      <c r="D398" s="162">
        <v>5205</v>
      </c>
      <c r="E398" s="170">
        <f t="shared" si="245"/>
        <v>3831</v>
      </c>
      <c r="F398" s="170">
        <f t="shared" si="245"/>
        <v>3831</v>
      </c>
      <c r="G398" s="170">
        <f t="shared" si="245"/>
        <v>0</v>
      </c>
      <c r="H398" s="170"/>
      <c r="I398" s="170"/>
      <c r="J398" s="170">
        <f t="shared" si="303"/>
        <v>0</v>
      </c>
      <c r="K398" s="170"/>
      <c r="L398" s="170"/>
      <c r="M398" s="170">
        <f t="shared" si="261"/>
        <v>0</v>
      </c>
      <c r="N398" s="170">
        <f>3866-35</f>
        <v>3831</v>
      </c>
      <c r="O398" s="170">
        <f>3866-35</f>
        <v>3831</v>
      </c>
      <c r="P398" s="170">
        <f t="shared" si="263"/>
        <v>0</v>
      </c>
      <c r="Q398" s="170"/>
      <c r="R398" s="170"/>
      <c r="S398" s="170">
        <f t="shared" si="265"/>
        <v>0</v>
      </c>
      <c r="T398" s="170"/>
      <c r="U398" s="170"/>
      <c r="V398" s="170">
        <f t="shared" si="267"/>
        <v>0</v>
      </c>
      <c r="W398" s="170"/>
      <c r="X398" s="170"/>
      <c r="Y398" s="170">
        <f t="shared" si="269"/>
        <v>0</v>
      </c>
      <c r="Z398" s="170"/>
      <c r="AA398" s="170"/>
      <c r="AB398" s="170">
        <f t="shared" si="271"/>
        <v>0</v>
      </c>
      <c r="AC398" s="170"/>
      <c r="AD398" s="170"/>
      <c r="AE398" s="170">
        <f t="shared" si="273"/>
        <v>0</v>
      </c>
    </row>
    <row r="399" spans="1:192" s="159" customFormat="1" x14ac:dyDescent="0.25">
      <c r="A399" s="161" t="s">
        <v>553</v>
      </c>
      <c r="B399" s="162">
        <v>3</v>
      </c>
      <c r="C399" s="162">
        <v>739</v>
      </c>
      <c r="D399" s="162">
        <v>5205</v>
      </c>
      <c r="E399" s="170">
        <f t="shared" si="245"/>
        <v>1324</v>
      </c>
      <c r="F399" s="170">
        <f t="shared" si="245"/>
        <v>1324</v>
      </c>
      <c r="G399" s="170">
        <f t="shared" si="245"/>
        <v>0</v>
      </c>
      <c r="H399" s="170"/>
      <c r="I399" s="170"/>
      <c r="J399" s="170">
        <f t="shared" si="303"/>
        <v>0</v>
      </c>
      <c r="K399" s="170"/>
      <c r="L399" s="170"/>
      <c r="M399" s="170">
        <f t="shared" si="261"/>
        <v>0</v>
      </c>
      <c r="N399" s="170">
        <v>1324</v>
      </c>
      <c r="O399" s="170">
        <v>1324</v>
      </c>
      <c r="P399" s="170">
        <f t="shared" si="263"/>
        <v>0</v>
      </c>
      <c r="Q399" s="170"/>
      <c r="R399" s="170"/>
      <c r="S399" s="170">
        <f t="shared" si="265"/>
        <v>0</v>
      </c>
      <c r="T399" s="170"/>
      <c r="U399" s="170"/>
      <c r="V399" s="170">
        <f t="shared" si="267"/>
        <v>0</v>
      </c>
      <c r="W399" s="170"/>
      <c r="X399" s="170"/>
      <c r="Y399" s="170">
        <f t="shared" si="269"/>
        <v>0</v>
      </c>
      <c r="Z399" s="170"/>
      <c r="AA399" s="170"/>
      <c r="AB399" s="170">
        <f t="shared" si="271"/>
        <v>0</v>
      </c>
      <c r="AC399" s="170"/>
      <c r="AD399" s="170"/>
      <c r="AE399" s="170">
        <f t="shared" si="273"/>
        <v>0</v>
      </c>
    </row>
    <row r="400" spans="1:192" s="159" customFormat="1" x14ac:dyDescent="0.25">
      <c r="A400" s="161" t="s">
        <v>554</v>
      </c>
      <c r="B400" s="162">
        <v>2</v>
      </c>
      <c r="C400" s="162">
        <v>714</v>
      </c>
      <c r="D400" s="168">
        <v>5205</v>
      </c>
      <c r="E400" s="170">
        <f t="shared" si="245"/>
        <v>1336</v>
      </c>
      <c r="F400" s="170">
        <f t="shared" si="245"/>
        <v>1336</v>
      </c>
      <c r="G400" s="170">
        <f t="shared" si="245"/>
        <v>0</v>
      </c>
      <c r="H400" s="170"/>
      <c r="I400" s="170"/>
      <c r="J400" s="170">
        <f t="shared" si="303"/>
        <v>0</v>
      </c>
      <c r="K400" s="170"/>
      <c r="L400" s="170"/>
      <c r="M400" s="170">
        <f t="shared" si="261"/>
        <v>0</v>
      </c>
      <c r="N400" s="170">
        <v>1336</v>
      </c>
      <c r="O400" s="170">
        <v>1336</v>
      </c>
      <c r="P400" s="170">
        <f t="shared" si="263"/>
        <v>0</v>
      </c>
      <c r="Q400" s="170"/>
      <c r="R400" s="170"/>
      <c r="S400" s="170">
        <f t="shared" si="265"/>
        <v>0</v>
      </c>
      <c r="T400" s="170"/>
      <c r="U400" s="170"/>
      <c r="V400" s="170">
        <f t="shared" si="267"/>
        <v>0</v>
      </c>
      <c r="W400" s="170"/>
      <c r="X400" s="170"/>
      <c r="Y400" s="170">
        <f t="shared" si="269"/>
        <v>0</v>
      </c>
      <c r="Z400" s="170"/>
      <c r="AA400" s="170"/>
      <c r="AB400" s="170">
        <f t="shared" si="271"/>
        <v>0</v>
      </c>
      <c r="AC400" s="170"/>
      <c r="AD400" s="170"/>
      <c r="AE400" s="170">
        <f t="shared" si="273"/>
        <v>0</v>
      </c>
    </row>
    <row r="401" spans="1:192" s="159" customFormat="1" ht="31.5" x14ac:dyDescent="0.25">
      <c r="A401" s="161" t="s">
        <v>555</v>
      </c>
      <c r="B401" s="162">
        <v>1</v>
      </c>
      <c r="C401" s="162">
        <v>713</v>
      </c>
      <c r="D401" s="168">
        <v>5205</v>
      </c>
      <c r="E401" s="170">
        <f t="shared" si="245"/>
        <v>1350</v>
      </c>
      <c r="F401" s="170">
        <f t="shared" si="245"/>
        <v>1350</v>
      </c>
      <c r="G401" s="170">
        <f t="shared" si="245"/>
        <v>0</v>
      </c>
      <c r="H401" s="170"/>
      <c r="I401" s="170"/>
      <c r="J401" s="170">
        <f t="shared" si="303"/>
        <v>0</v>
      </c>
      <c r="K401" s="170"/>
      <c r="L401" s="170"/>
      <c r="M401" s="170">
        <f t="shared" si="261"/>
        <v>0</v>
      </c>
      <c r="N401" s="170">
        <v>1350</v>
      </c>
      <c r="O401" s="170">
        <v>1350</v>
      </c>
      <c r="P401" s="170">
        <f t="shared" si="263"/>
        <v>0</v>
      </c>
      <c r="Q401" s="170"/>
      <c r="R401" s="170"/>
      <c r="S401" s="170">
        <f t="shared" si="265"/>
        <v>0</v>
      </c>
      <c r="T401" s="170"/>
      <c r="U401" s="170"/>
      <c r="V401" s="170">
        <f t="shared" si="267"/>
        <v>0</v>
      </c>
      <c r="W401" s="170"/>
      <c r="X401" s="170"/>
      <c r="Y401" s="170">
        <f t="shared" si="269"/>
        <v>0</v>
      </c>
      <c r="Z401" s="170"/>
      <c r="AA401" s="170"/>
      <c r="AB401" s="170">
        <f t="shared" si="271"/>
        <v>0</v>
      </c>
      <c r="AC401" s="170"/>
      <c r="AD401" s="170"/>
      <c r="AE401" s="170">
        <f t="shared" si="273"/>
        <v>0</v>
      </c>
    </row>
    <row r="402" spans="1:192" s="159" customFormat="1" ht="31.5" x14ac:dyDescent="0.25">
      <c r="A402" s="161" t="s">
        <v>556</v>
      </c>
      <c r="B402" s="162">
        <v>2</v>
      </c>
      <c r="C402" s="162">
        <v>714</v>
      </c>
      <c r="D402" s="168">
        <v>5205</v>
      </c>
      <c r="E402" s="170">
        <f t="shared" si="245"/>
        <v>5000</v>
      </c>
      <c r="F402" s="170">
        <f t="shared" si="245"/>
        <v>0</v>
      </c>
      <c r="G402" s="170">
        <f t="shared" si="245"/>
        <v>-5000</v>
      </c>
      <c r="H402" s="170"/>
      <c r="I402" s="170"/>
      <c r="J402" s="170">
        <f t="shared" si="303"/>
        <v>0</v>
      </c>
      <c r="K402" s="170"/>
      <c r="L402" s="170"/>
      <c r="M402" s="170">
        <f t="shared" si="261"/>
        <v>0</v>
      </c>
      <c r="N402" s="170">
        <v>5000</v>
      </c>
      <c r="O402" s="170">
        <f>5000-5000</f>
        <v>0</v>
      </c>
      <c r="P402" s="170">
        <f t="shared" si="263"/>
        <v>-5000</v>
      </c>
      <c r="Q402" s="170"/>
      <c r="R402" s="170"/>
      <c r="S402" s="170">
        <f t="shared" si="265"/>
        <v>0</v>
      </c>
      <c r="T402" s="170"/>
      <c r="U402" s="170"/>
      <c r="V402" s="170">
        <f t="shared" si="267"/>
        <v>0</v>
      </c>
      <c r="W402" s="170"/>
      <c r="X402" s="170"/>
      <c r="Y402" s="170">
        <f t="shared" si="269"/>
        <v>0</v>
      </c>
      <c r="Z402" s="170"/>
      <c r="AA402" s="170"/>
      <c r="AB402" s="170">
        <f t="shared" si="271"/>
        <v>0</v>
      </c>
      <c r="AC402" s="170"/>
      <c r="AD402" s="170"/>
      <c r="AE402" s="170">
        <f t="shared" si="273"/>
        <v>0</v>
      </c>
    </row>
    <row r="403" spans="1:192" s="159" customFormat="1" x14ac:dyDescent="0.25">
      <c r="A403" s="157" t="s">
        <v>386</v>
      </c>
      <c r="B403" s="166"/>
      <c r="C403" s="166"/>
      <c r="D403" s="166"/>
      <c r="E403" s="158">
        <f t="shared" si="245"/>
        <v>447000</v>
      </c>
      <c r="F403" s="158">
        <f t="shared" ref="E403:G440" si="339">I403+L403+O403+R403+U403+X403+AD403+AA403</f>
        <v>196063</v>
      </c>
      <c r="G403" s="158">
        <f t="shared" si="339"/>
        <v>-250937</v>
      </c>
      <c r="H403" s="158">
        <f t="shared" ref="H403:AD403" si="340">SUM(H404:H408)</f>
        <v>177000</v>
      </c>
      <c r="I403" s="158">
        <f t="shared" si="340"/>
        <v>177000</v>
      </c>
      <c r="J403" s="158">
        <f t="shared" si="303"/>
        <v>0</v>
      </c>
      <c r="K403" s="158">
        <f t="shared" ref="K403" si="341">SUM(K404:K408)</f>
        <v>0</v>
      </c>
      <c r="L403" s="158">
        <f t="shared" si="340"/>
        <v>0</v>
      </c>
      <c r="M403" s="158">
        <f t="shared" si="261"/>
        <v>0</v>
      </c>
      <c r="N403" s="158">
        <f t="shared" ref="N403" si="342">SUM(N404:N408)</f>
        <v>91200</v>
      </c>
      <c r="O403" s="158">
        <f t="shared" si="340"/>
        <v>19063</v>
      </c>
      <c r="P403" s="158">
        <f t="shared" si="263"/>
        <v>-72137</v>
      </c>
      <c r="Q403" s="158">
        <f t="shared" ref="Q403" si="343">SUM(Q404:Q408)</f>
        <v>0</v>
      </c>
      <c r="R403" s="158">
        <f t="shared" si="340"/>
        <v>0</v>
      </c>
      <c r="S403" s="158">
        <f t="shared" si="265"/>
        <v>0</v>
      </c>
      <c r="T403" s="158">
        <f t="shared" ref="T403" si="344">SUM(T404:T408)</f>
        <v>0</v>
      </c>
      <c r="U403" s="158">
        <f t="shared" si="340"/>
        <v>0</v>
      </c>
      <c r="V403" s="158">
        <f t="shared" si="267"/>
        <v>0</v>
      </c>
      <c r="W403" s="158">
        <f t="shared" ref="W403" si="345">SUM(W404:W408)</f>
        <v>0</v>
      </c>
      <c r="X403" s="158">
        <f t="shared" si="340"/>
        <v>0</v>
      </c>
      <c r="Y403" s="158">
        <f t="shared" si="269"/>
        <v>0</v>
      </c>
      <c r="Z403" s="158">
        <f t="shared" ref="Z403" si="346">SUM(Z404:Z408)</f>
        <v>0</v>
      </c>
      <c r="AA403" s="158">
        <f t="shared" si="340"/>
        <v>0</v>
      </c>
      <c r="AB403" s="158">
        <f t="shared" si="271"/>
        <v>0</v>
      </c>
      <c r="AC403" s="158">
        <f t="shared" ref="AC403" si="347">SUM(AC404:AC408)</f>
        <v>178800</v>
      </c>
      <c r="AD403" s="158">
        <f t="shared" si="340"/>
        <v>0</v>
      </c>
      <c r="AE403" s="158">
        <f t="shared" si="273"/>
        <v>-178800</v>
      </c>
      <c r="AF403" s="156"/>
      <c r="AG403" s="156"/>
      <c r="AH403" s="156"/>
      <c r="AI403" s="156"/>
      <c r="AJ403" s="156"/>
      <c r="AK403" s="156"/>
      <c r="AL403" s="156"/>
      <c r="AM403" s="156"/>
      <c r="AN403" s="156"/>
      <c r="AO403" s="156"/>
      <c r="AP403" s="156"/>
      <c r="AQ403" s="156"/>
      <c r="AR403" s="156"/>
      <c r="AS403" s="156"/>
      <c r="AT403" s="156"/>
      <c r="AU403" s="156"/>
      <c r="AV403" s="156"/>
      <c r="AW403" s="156"/>
      <c r="AX403" s="156"/>
      <c r="AY403" s="156"/>
      <c r="AZ403" s="156"/>
      <c r="BA403" s="156"/>
      <c r="BB403" s="156"/>
      <c r="BC403" s="156"/>
      <c r="BD403" s="156"/>
      <c r="BE403" s="156"/>
      <c r="BF403" s="156"/>
      <c r="BG403" s="156"/>
      <c r="BH403" s="156"/>
      <c r="BI403" s="156"/>
      <c r="BJ403" s="156"/>
      <c r="BK403" s="156"/>
      <c r="BL403" s="156"/>
      <c r="BM403" s="156"/>
      <c r="BN403" s="156"/>
      <c r="BO403" s="156"/>
      <c r="BP403" s="156"/>
      <c r="BQ403" s="156"/>
      <c r="BR403" s="156"/>
      <c r="BS403" s="156"/>
      <c r="BT403" s="156"/>
      <c r="BU403" s="156"/>
      <c r="BV403" s="156"/>
      <c r="BW403" s="156"/>
      <c r="BX403" s="156"/>
      <c r="BY403" s="156"/>
      <c r="BZ403" s="156"/>
      <c r="CA403" s="156"/>
      <c r="CB403" s="156"/>
      <c r="CC403" s="156"/>
      <c r="CD403" s="156"/>
      <c r="CE403" s="156"/>
      <c r="CF403" s="156"/>
      <c r="CG403" s="156"/>
      <c r="CH403" s="156"/>
      <c r="CI403" s="156"/>
      <c r="CJ403" s="156"/>
      <c r="CK403" s="156"/>
      <c r="CL403" s="156"/>
      <c r="CM403" s="156"/>
      <c r="CN403" s="156"/>
      <c r="CO403" s="156"/>
      <c r="CP403" s="156"/>
      <c r="CQ403" s="156"/>
      <c r="CR403" s="156"/>
      <c r="CS403" s="156"/>
      <c r="CT403" s="156"/>
      <c r="CU403" s="156"/>
      <c r="CV403" s="156"/>
      <c r="CW403" s="156"/>
      <c r="CX403" s="156"/>
      <c r="CY403" s="156"/>
      <c r="CZ403" s="156"/>
      <c r="DA403" s="156"/>
      <c r="DB403" s="156"/>
      <c r="DC403" s="156"/>
      <c r="DD403" s="156"/>
      <c r="DE403" s="156"/>
      <c r="DF403" s="156"/>
      <c r="DG403" s="156"/>
      <c r="DH403" s="156"/>
      <c r="DI403" s="156"/>
      <c r="DJ403" s="156"/>
      <c r="DK403" s="156"/>
      <c r="DL403" s="156"/>
      <c r="DM403" s="156"/>
      <c r="DN403" s="156"/>
      <c r="DO403" s="156"/>
      <c r="DP403" s="156"/>
      <c r="DQ403" s="156"/>
      <c r="DR403" s="156"/>
      <c r="DS403" s="156"/>
      <c r="DT403" s="156"/>
      <c r="DU403" s="156"/>
      <c r="DV403" s="156"/>
      <c r="DW403" s="156"/>
      <c r="DX403" s="156"/>
      <c r="DY403" s="156"/>
      <c r="DZ403" s="156"/>
      <c r="EA403" s="156"/>
      <c r="EB403" s="156"/>
      <c r="EC403" s="156"/>
      <c r="ED403" s="156"/>
      <c r="EE403" s="156"/>
      <c r="EF403" s="156"/>
      <c r="EG403" s="156"/>
      <c r="EH403" s="156"/>
      <c r="EI403" s="156"/>
      <c r="EJ403" s="156"/>
      <c r="EK403" s="156"/>
      <c r="EL403" s="156"/>
      <c r="EM403" s="156"/>
      <c r="EN403" s="156"/>
      <c r="EO403" s="156"/>
      <c r="EP403" s="156"/>
      <c r="EQ403" s="156"/>
      <c r="ER403" s="156"/>
      <c r="ES403" s="156"/>
      <c r="ET403" s="156"/>
      <c r="EU403" s="156"/>
      <c r="EV403" s="156"/>
      <c r="EW403" s="156"/>
      <c r="EX403" s="156"/>
      <c r="EY403" s="156"/>
      <c r="EZ403" s="156"/>
      <c r="FA403" s="156"/>
      <c r="FB403" s="156"/>
      <c r="FC403" s="156"/>
      <c r="FD403" s="156"/>
      <c r="FE403" s="156"/>
      <c r="FF403" s="156"/>
      <c r="FG403" s="156"/>
      <c r="FH403" s="156"/>
      <c r="FI403" s="156"/>
      <c r="FJ403" s="156"/>
      <c r="FK403" s="156"/>
      <c r="FL403" s="156"/>
      <c r="FM403" s="156"/>
      <c r="FN403" s="156"/>
      <c r="FO403" s="156"/>
      <c r="FP403" s="156"/>
      <c r="FQ403" s="156"/>
      <c r="FR403" s="156"/>
      <c r="FS403" s="156"/>
      <c r="FT403" s="156"/>
      <c r="FU403" s="156"/>
      <c r="FV403" s="156"/>
      <c r="FW403" s="156"/>
      <c r="FX403" s="156"/>
      <c r="FY403" s="156"/>
      <c r="FZ403" s="156"/>
      <c r="GA403" s="156"/>
      <c r="GB403" s="156"/>
      <c r="GC403" s="156"/>
      <c r="GD403" s="156"/>
      <c r="GE403" s="156"/>
      <c r="GF403" s="156"/>
      <c r="GG403" s="156"/>
      <c r="GH403" s="156"/>
      <c r="GI403" s="156"/>
      <c r="GJ403" s="156"/>
    </row>
    <row r="404" spans="1:192" s="159" customFormat="1" ht="31.5" x14ac:dyDescent="0.25">
      <c r="A404" s="167" t="s">
        <v>557</v>
      </c>
      <c r="B404" s="168">
        <v>2</v>
      </c>
      <c r="C404" s="168">
        <v>714</v>
      </c>
      <c r="D404" s="168">
        <v>5206</v>
      </c>
      <c r="E404" s="170">
        <f t="shared" si="339"/>
        <v>5500</v>
      </c>
      <c r="F404" s="170">
        <f t="shared" si="339"/>
        <v>5500</v>
      </c>
      <c r="G404" s="170">
        <f t="shared" si="339"/>
        <v>0</v>
      </c>
      <c r="H404" s="170"/>
      <c r="I404" s="170"/>
      <c r="J404" s="170">
        <f t="shared" si="303"/>
        <v>0</v>
      </c>
      <c r="K404" s="170"/>
      <c r="L404" s="170"/>
      <c r="M404" s="170">
        <f t="shared" si="261"/>
        <v>0</v>
      </c>
      <c r="N404" s="170">
        <v>5500</v>
      </c>
      <c r="O404" s="170">
        <v>5500</v>
      </c>
      <c r="P404" s="170">
        <f t="shared" si="263"/>
        <v>0</v>
      </c>
      <c r="Q404" s="170"/>
      <c r="R404" s="170"/>
      <c r="S404" s="170">
        <f t="shared" si="265"/>
        <v>0</v>
      </c>
      <c r="T404" s="170"/>
      <c r="U404" s="170"/>
      <c r="V404" s="170">
        <f t="shared" si="267"/>
        <v>0</v>
      </c>
      <c r="W404" s="170"/>
      <c r="X404" s="170"/>
      <c r="Y404" s="170">
        <f t="shared" si="269"/>
        <v>0</v>
      </c>
      <c r="Z404" s="170"/>
      <c r="AA404" s="170"/>
      <c r="AB404" s="170">
        <f t="shared" si="271"/>
        <v>0</v>
      </c>
      <c r="AC404" s="170"/>
      <c r="AD404" s="170"/>
      <c r="AE404" s="170">
        <f t="shared" si="273"/>
        <v>0</v>
      </c>
      <c r="FQ404" s="156"/>
      <c r="FR404" s="156"/>
      <c r="FS404" s="156"/>
      <c r="FT404" s="156"/>
      <c r="FU404" s="156"/>
      <c r="FV404" s="156"/>
      <c r="FW404" s="156"/>
      <c r="FX404" s="156"/>
      <c r="FY404" s="156"/>
      <c r="FZ404" s="156"/>
      <c r="GA404" s="156"/>
      <c r="GB404" s="156"/>
      <c r="GC404" s="156"/>
      <c r="GD404" s="156"/>
      <c r="GE404" s="156"/>
      <c r="GF404" s="156"/>
      <c r="GG404" s="156"/>
      <c r="GH404" s="156"/>
      <c r="GI404" s="156"/>
      <c r="GJ404" s="156"/>
    </row>
    <row r="405" spans="1:192" s="159" customFormat="1" ht="31.5" x14ac:dyDescent="0.25">
      <c r="A405" s="167" t="s">
        <v>558</v>
      </c>
      <c r="B405" s="168">
        <v>2</v>
      </c>
      <c r="C405" s="168">
        <v>759</v>
      </c>
      <c r="D405" s="168">
        <v>5206</v>
      </c>
      <c r="E405" s="170">
        <f t="shared" si="339"/>
        <v>0</v>
      </c>
      <c r="F405" s="170">
        <f t="shared" si="339"/>
        <v>13563</v>
      </c>
      <c r="G405" s="170">
        <f t="shared" si="339"/>
        <v>13563</v>
      </c>
      <c r="H405" s="170"/>
      <c r="I405" s="170"/>
      <c r="J405" s="170">
        <f t="shared" si="303"/>
        <v>0</v>
      </c>
      <c r="K405" s="170"/>
      <c r="L405" s="170"/>
      <c r="M405" s="170">
        <f t="shared" si="261"/>
        <v>0</v>
      </c>
      <c r="N405" s="170"/>
      <c r="O405" s="170">
        <v>13563</v>
      </c>
      <c r="P405" s="170">
        <f t="shared" si="263"/>
        <v>13563</v>
      </c>
      <c r="Q405" s="170"/>
      <c r="R405" s="170"/>
      <c r="S405" s="170">
        <f t="shared" si="265"/>
        <v>0</v>
      </c>
      <c r="T405" s="170"/>
      <c r="U405" s="170"/>
      <c r="V405" s="170">
        <f t="shared" si="267"/>
        <v>0</v>
      </c>
      <c r="W405" s="170"/>
      <c r="X405" s="170"/>
      <c r="Y405" s="170">
        <f t="shared" si="269"/>
        <v>0</v>
      </c>
      <c r="Z405" s="170"/>
      <c r="AA405" s="170"/>
      <c r="AB405" s="170">
        <f t="shared" si="271"/>
        <v>0</v>
      </c>
      <c r="AC405" s="170"/>
      <c r="AD405" s="170"/>
      <c r="AE405" s="170">
        <f t="shared" si="273"/>
        <v>0</v>
      </c>
      <c r="FQ405" s="156"/>
      <c r="FR405" s="156"/>
      <c r="FS405" s="156"/>
      <c r="FT405" s="156"/>
      <c r="FU405" s="156"/>
      <c r="FV405" s="156"/>
      <c r="FW405" s="156"/>
      <c r="FX405" s="156"/>
      <c r="FY405" s="156"/>
      <c r="FZ405" s="156"/>
      <c r="GA405" s="156"/>
      <c r="GB405" s="156"/>
      <c r="GC405" s="156"/>
      <c r="GD405" s="156"/>
      <c r="GE405" s="156"/>
      <c r="GF405" s="156"/>
      <c r="GG405" s="156"/>
      <c r="GH405" s="156"/>
      <c r="GI405" s="156"/>
      <c r="GJ405" s="156"/>
    </row>
    <row r="406" spans="1:192" s="159" customFormat="1" ht="31.5" x14ac:dyDescent="0.25">
      <c r="A406" s="167" t="s">
        <v>559</v>
      </c>
      <c r="B406" s="168">
        <v>2</v>
      </c>
      <c r="C406" s="168">
        <v>714</v>
      </c>
      <c r="D406" s="168">
        <v>5206</v>
      </c>
      <c r="E406" s="170">
        <f t="shared" si="339"/>
        <v>36700</v>
      </c>
      <c r="F406" s="170">
        <f t="shared" si="339"/>
        <v>0</v>
      </c>
      <c r="G406" s="170">
        <f t="shared" si="339"/>
        <v>-36700</v>
      </c>
      <c r="H406" s="170"/>
      <c r="I406" s="170"/>
      <c r="J406" s="170">
        <f t="shared" si="303"/>
        <v>0</v>
      </c>
      <c r="K406" s="170"/>
      <c r="L406" s="170"/>
      <c r="M406" s="170">
        <f t="shared" si="261"/>
        <v>0</v>
      </c>
      <c r="N406" s="170">
        <v>36700</v>
      </c>
      <c r="O406" s="170">
        <f>36700-36700</f>
        <v>0</v>
      </c>
      <c r="P406" s="170">
        <f t="shared" si="263"/>
        <v>-36700</v>
      </c>
      <c r="Q406" s="170"/>
      <c r="R406" s="170"/>
      <c r="S406" s="170">
        <f t="shared" si="265"/>
        <v>0</v>
      </c>
      <c r="T406" s="170"/>
      <c r="U406" s="170"/>
      <c r="V406" s="170">
        <f t="shared" si="267"/>
        <v>0</v>
      </c>
      <c r="W406" s="170"/>
      <c r="X406" s="170"/>
      <c r="Y406" s="170">
        <f t="shared" si="269"/>
        <v>0</v>
      </c>
      <c r="Z406" s="170"/>
      <c r="AA406" s="170"/>
      <c r="AB406" s="170">
        <f t="shared" si="271"/>
        <v>0</v>
      </c>
      <c r="AC406" s="170"/>
      <c r="AD406" s="170"/>
      <c r="AE406" s="170">
        <f t="shared" si="273"/>
        <v>0</v>
      </c>
      <c r="FQ406" s="156"/>
      <c r="FR406" s="156"/>
      <c r="FS406" s="156"/>
      <c r="FT406" s="156"/>
      <c r="FU406" s="156"/>
      <c r="FV406" s="156"/>
      <c r="FW406" s="156"/>
      <c r="FX406" s="156"/>
      <c r="FY406" s="156"/>
      <c r="FZ406" s="156"/>
      <c r="GA406" s="156"/>
      <c r="GB406" s="156"/>
      <c r="GC406" s="156"/>
      <c r="GD406" s="156"/>
      <c r="GE406" s="156"/>
      <c r="GF406" s="156"/>
      <c r="GG406" s="156"/>
      <c r="GH406" s="156"/>
      <c r="GI406" s="156"/>
      <c r="GJ406" s="156"/>
    </row>
    <row r="407" spans="1:192" s="159" customFormat="1" ht="31.5" x14ac:dyDescent="0.25">
      <c r="A407" s="167" t="s">
        <v>560</v>
      </c>
      <c r="B407" s="168">
        <v>2</v>
      </c>
      <c r="C407" s="168">
        <v>714</v>
      </c>
      <c r="D407" s="168">
        <v>5206</v>
      </c>
      <c r="E407" s="170">
        <f t="shared" si="339"/>
        <v>355800</v>
      </c>
      <c r="F407" s="170">
        <f t="shared" si="339"/>
        <v>177000</v>
      </c>
      <c r="G407" s="170">
        <f t="shared" si="339"/>
        <v>-178800</v>
      </c>
      <c r="H407" s="170">
        <v>177000</v>
      </c>
      <c r="I407" s="170">
        <v>177000</v>
      </c>
      <c r="J407" s="170">
        <f t="shared" si="303"/>
        <v>0</v>
      </c>
      <c r="K407" s="170"/>
      <c r="L407" s="170"/>
      <c r="M407" s="170">
        <f t="shared" si="261"/>
        <v>0</v>
      </c>
      <c r="N407" s="170"/>
      <c r="O407" s="170"/>
      <c r="P407" s="170">
        <f t="shared" si="263"/>
        <v>0</v>
      </c>
      <c r="Q407" s="170"/>
      <c r="R407" s="170"/>
      <c r="S407" s="170">
        <f t="shared" si="265"/>
        <v>0</v>
      </c>
      <c r="T407" s="170"/>
      <c r="U407" s="170"/>
      <c r="V407" s="170">
        <f t="shared" si="267"/>
        <v>0</v>
      </c>
      <c r="W407" s="170"/>
      <c r="X407" s="170"/>
      <c r="Y407" s="170">
        <f t="shared" si="269"/>
        <v>0</v>
      </c>
      <c r="Z407" s="170"/>
      <c r="AA407" s="170"/>
      <c r="AB407" s="170">
        <f t="shared" si="271"/>
        <v>0</v>
      </c>
      <c r="AC407" s="170">
        <v>178800</v>
      </c>
      <c r="AD407" s="170"/>
      <c r="AE407" s="170">
        <f t="shared" si="273"/>
        <v>-178800</v>
      </c>
      <c r="FQ407" s="156"/>
      <c r="FR407" s="156"/>
      <c r="FS407" s="156"/>
      <c r="FT407" s="156"/>
      <c r="FU407" s="156"/>
      <c r="FV407" s="156"/>
      <c r="FW407" s="156"/>
      <c r="FX407" s="156"/>
      <c r="FY407" s="156"/>
      <c r="FZ407" s="156"/>
      <c r="GA407" s="156"/>
      <c r="GB407" s="156"/>
      <c r="GC407" s="156"/>
      <c r="GD407" s="156"/>
      <c r="GE407" s="156"/>
      <c r="GF407" s="156"/>
      <c r="GG407" s="156"/>
      <c r="GH407" s="156"/>
      <c r="GI407" s="156"/>
      <c r="GJ407" s="156"/>
    </row>
    <row r="408" spans="1:192" s="159" customFormat="1" ht="31.5" x14ac:dyDescent="0.25">
      <c r="A408" s="167" t="s">
        <v>561</v>
      </c>
      <c r="B408" s="168">
        <v>3</v>
      </c>
      <c r="C408" s="168">
        <v>739</v>
      </c>
      <c r="D408" s="168">
        <v>5206</v>
      </c>
      <c r="E408" s="170">
        <f t="shared" si="339"/>
        <v>49000</v>
      </c>
      <c r="F408" s="170">
        <f t="shared" si="339"/>
        <v>0</v>
      </c>
      <c r="G408" s="170">
        <f t="shared" si="339"/>
        <v>-49000</v>
      </c>
      <c r="H408" s="170"/>
      <c r="I408" s="170"/>
      <c r="J408" s="170">
        <f t="shared" si="303"/>
        <v>0</v>
      </c>
      <c r="K408" s="170"/>
      <c r="L408" s="170"/>
      <c r="M408" s="170">
        <f t="shared" si="261"/>
        <v>0</v>
      </c>
      <c r="N408" s="170">
        <v>49000</v>
      </c>
      <c r="O408" s="170">
        <f>49000-49000</f>
        <v>0</v>
      </c>
      <c r="P408" s="170">
        <f t="shared" si="263"/>
        <v>-49000</v>
      </c>
      <c r="Q408" s="170"/>
      <c r="R408" s="170"/>
      <c r="S408" s="170">
        <f t="shared" si="265"/>
        <v>0</v>
      </c>
      <c r="T408" s="170"/>
      <c r="U408" s="170"/>
      <c r="V408" s="170">
        <f t="shared" si="267"/>
        <v>0</v>
      </c>
      <c r="W408" s="170"/>
      <c r="X408" s="170"/>
      <c r="Y408" s="170">
        <f t="shared" si="269"/>
        <v>0</v>
      </c>
      <c r="Z408" s="170"/>
      <c r="AA408" s="170"/>
      <c r="AB408" s="170">
        <f t="shared" si="271"/>
        <v>0</v>
      </c>
      <c r="AC408" s="170"/>
      <c r="AD408" s="170"/>
      <c r="AE408" s="170">
        <f t="shared" si="273"/>
        <v>0</v>
      </c>
      <c r="FQ408" s="156"/>
      <c r="FR408" s="156"/>
      <c r="FS408" s="156"/>
      <c r="FT408" s="156"/>
      <c r="FU408" s="156"/>
      <c r="FV408" s="156"/>
      <c r="FW408" s="156"/>
      <c r="FX408" s="156"/>
      <c r="FY408" s="156"/>
      <c r="FZ408" s="156"/>
      <c r="GA408" s="156"/>
      <c r="GB408" s="156"/>
      <c r="GC408" s="156"/>
      <c r="GD408" s="156"/>
      <c r="GE408" s="156"/>
      <c r="GF408" s="156"/>
      <c r="GG408" s="156"/>
      <c r="GH408" s="156"/>
      <c r="GI408" s="156"/>
      <c r="GJ408" s="156"/>
    </row>
    <row r="409" spans="1:192" s="159" customFormat="1" x14ac:dyDescent="0.25">
      <c r="A409" s="157" t="s">
        <v>357</v>
      </c>
      <c r="B409" s="166"/>
      <c r="C409" s="166"/>
      <c r="D409" s="166"/>
      <c r="E409" s="158">
        <f t="shared" si="339"/>
        <v>2400593</v>
      </c>
      <c r="F409" s="158">
        <f t="shared" si="339"/>
        <v>1242084</v>
      </c>
      <c r="G409" s="158">
        <f t="shared" si="339"/>
        <v>-1158509</v>
      </c>
      <c r="H409" s="158">
        <f>SUM(H410,H413,H415,H417)</f>
        <v>0</v>
      </c>
      <c r="I409" s="158">
        <f>SUM(I410,I413,I415,I417)</f>
        <v>0</v>
      </c>
      <c r="J409" s="158">
        <f t="shared" si="303"/>
        <v>0</v>
      </c>
      <c r="K409" s="158">
        <f t="shared" ref="K409:L409" si="348">SUM(K410,K413,K415,K417)</f>
        <v>0</v>
      </c>
      <c r="L409" s="158">
        <f t="shared" si="348"/>
        <v>0</v>
      </c>
      <c r="M409" s="158">
        <f t="shared" si="261"/>
        <v>0</v>
      </c>
      <c r="N409" s="158">
        <f t="shared" ref="N409:O409" si="349">SUM(N410,N413,N415,N417)</f>
        <v>3318</v>
      </c>
      <c r="O409" s="158">
        <f t="shared" si="349"/>
        <v>918</v>
      </c>
      <c r="P409" s="158">
        <f t="shared" si="263"/>
        <v>-2400</v>
      </c>
      <c r="Q409" s="158">
        <f t="shared" ref="Q409:R409" si="350">SUM(Q410,Q413,Q415,Q417)</f>
        <v>2397275</v>
      </c>
      <c r="R409" s="158">
        <f t="shared" si="350"/>
        <v>1241166</v>
      </c>
      <c r="S409" s="158">
        <f t="shared" si="265"/>
        <v>-1156109</v>
      </c>
      <c r="T409" s="158">
        <f t="shared" ref="T409:U409" si="351">SUM(T410,T413,T415,T417)</f>
        <v>0</v>
      </c>
      <c r="U409" s="158">
        <f t="shared" si="351"/>
        <v>0</v>
      </c>
      <c r="V409" s="158">
        <f t="shared" si="267"/>
        <v>0</v>
      </c>
      <c r="W409" s="158">
        <f t="shared" ref="W409:X409" si="352">SUM(W410,W413,W415,W417)</f>
        <v>0</v>
      </c>
      <c r="X409" s="158">
        <f t="shared" si="352"/>
        <v>0</v>
      </c>
      <c r="Y409" s="158">
        <f t="shared" si="269"/>
        <v>0</v>
      </c>
      <c r="Z409" s="158">
        <f t="shared" ref="Z409:AA409" si="353">SUM(Z410,Z413,Z415,Z417)</f>
        <v>0</v>
      </c>
      <c r="AA409" s="158">
        <f t="shared" si="353"/>
        <v>0</v>
      </c>
      <c r="AB409" s="158">
        <f t="shared" si="271"/>
        <v>0</v>
      </c>
      <c r="AC409" s="158">
        <f t="shared" ref="AC409:AD409" si="354">SUM(AC410,AC413,AC415,AC417)</f>
        <v>0</v>
      </c>
      <c r="AD409" s="158">
        <f t="shared" si="354"/>
        <v>0</v>
      </c>
      <c r="AE409" s="158">
        <f t="shared" si="273"/>
        <v>0</v>
      </c>
      <c r="FQ409" s="156"/>
      <c r="FR409" s="156"/>
      <c r="FS409" s="156"/>
      <c r="FT409" s="156"/>
      <c r="FU409" s="156"/>
      <c r="FV409" s="156"/>
      <c r="FW409" s="156"/>
      <c r="FX409" s="156"/>
      <c r="FY409" s="156"/>
      <c r="FZ409" s="156"/>
      <c r="GA409" s="156"/>
      <c r="GB409" s="156"/>
      <c r="GC409" s="156"/>
      <c r="GD409" s="156"/>
      <c r="GE409" s="156"/>
      <c r="GF409" s="156"/>
      <c r="GG409" s="156"/>
      <c r="GH409" s="156"/>
      <c r="GI409" s="156"/>
      <c r="GJ409" s="156"/>
    </row>
    <row r="410" spans="1:192" s="159" customFormat="1" x14ac:dyDescent="0.25">
      <c r="A410" s="157" t="s">
        <v>364</v>
      </c>
      <c r="B410" s="166"/>
      <c r="C410" s="166"/>
      <c r="D410" s="166"/>
      <c r="E410" s="158">
        <f t="shared" si="339"/>
        <v>3318</v>
      </c>
      <c r="F410" s="158">
        <f t="shared" si="339"/>
        <v>918</v>
      </c>
      <c r="G410" s="158">
        <f t="shared" si="339"/>
        <v>-2400</v>
      </c>
      <c r="H410" s="158">
        <f t="shared" ref="H410:I410" si="355">SUM(H411:H412)</f>
        <v>0</v>
      </c>
      <c r="I410" s="158">
        <f t="shared" si="355"/>
        <v>0</v>
      </c>
      <c r="J410" s="158">
        <f t="shared" si="303"/>
        <v>0</v>
      </c>
      <c r="K410" s="158">
        <f t="shared" ref="K410:AD410" si="356">SUM(K411:K412)</f>
        <v>0</v>
      </c>
      <c r="L410" s="158">
        <f t="shared" si="356"/>
        <v>0</v>
      </c>
      <c r="M410" s="158">
        <f t="shared" si="261"/>
        <v>0</v>
      </c>
      <c r="N410" s="158">
        <f t="shared" ref="N410" si="357">SUM(N411:N412)</f>
        <v>3318</v>
      </c>
      <c r="O410" s="158">
        <f t="shared" si="356"/>
        <v>918</v>
      </c>
      <c r="P410" s="158">
        <f t="shared" si="263"/>
        <v>-2400</v>
      </c>
      <c r="Q410" s="158">
        <f t="shared" ref="Q410" si="358">SUM(Q411:Q412)</f>
        <v>0</v>
      </c>
      <c r="R410" s="158">
        <f t="shared" si="356"/>
        <v>0</v>
      </c>
      <c r="S410" s="158">
        <f t="shared" si="265"/>
        <v>0</v>
      </c>
      <c r="T410" s="158">
        <f t="shared" ref="T410" si="359">SUM(T411:T412)</f>
        <v>0</v>
      </c>
      <c r="U410" s="158">
        <f t="shared" si="356"/>
        <v>0</v>
      </c>
      <c r="V410" s="158">
        <f t="shared" si="267"/>
        <v>0</v>
      </c>
      <c r="W410" s="158">
        <f t="shared" ref="W410" si="360">SUM(W411:W412)</f>
        <v>0</v>
      </c>
      <c r="X410" s="158">
        <f t="shared" si="356"/>
        <v>0</v>
      </c>
      <c r="Y410" s="158">
        <f t="shared" si="269"/>
        <v>0</v>
      </c>
      <c r="Z410" s="158">
        <f t="shared" ref="Z410" si="361">SUM(Z411:Z412)</f>
        <v>0</v>
      </c>
      <c r="AA410" s="158">
        <f t="shared" si="356"/>
        <v>0</v>
      </c>
      <c r="AB410" s="158">
        <f t="shared" si="271"/>
        <v>0</v>
      </c>
      <c r="AC410" s="158">
        <f t="shared" ref="AC410" si="362">SUM(AC411:AC412)</f>
        <v>0</v>
      </c>
      <c r="AD410" s="158">
        <f t="shared" si="356"/>
        <v>0</v>
      </c>
      <c r="AE410" s="158">
        <f t="shared" si="273"/>
        <v>0</v>
      </c>
      <c r="AF410" s="156"/>
      <c r="AG410" s="156"/>
      <c r="AH410" s="156"/>
      <c r="AI410" s="156"/>
      <c r="AJ410" s="156"/>
      <c r="AK410" s="156"/>
      <c r="AL410" s="156"/>
      <c r="AM410" s="156"/>
      <c r="AN410" s="156"/>
      <c r="AO410" s="156"/>
      <c r="AP410" s="156"/>
      <c r="AQ410" s="156"/>
      <c r="AR410" s="156"/>
      <c r="AS410" s="156"/>
      <c r="AT410" s="156"/>
      <c r="AU410" s="156"/>
      <c r="AV410" s="156"/>
      <c r="AW410" s="156"/>
      <c r="AX410" s="156"/>
      <c r="AY410" s="156"/>
      <c r="AZ410" s="156"/>
      <c r="BA410" s="156"/>
      <c r="BB410" s="156"/>
      <c r="BC410" s="156"/>
      <c r="BD410" s="156"/>
      <c r="BE410" s="156"/>
      <c r="BF410" s="156"/>
      <c r="BG410" s="156"/>
      <c r="BH410" s="156"/>
      <c r="BI410" s="156"/>
      <c r="BJ410" s="156"/>
      <c r="BK410" s="156"/>
      <c r="BL410" s="156"/>
      <c r="BM410" s="156"/>
      <c r="BN410" s="156"/>
      <c r="BO410" s="156"/>
      <c r="BP410" s="156"/>
      <c r="BQ410" s="156"/>
      <c r="BR410" s="156"/>
      <c r="BS410" s="156"/>
      <c r="BT410" s="156"/>
      <c r="BU410" s="156"/>
      <c r="BV410" s="156"/>
      <c r="BW410" s="156"/>
      <c r="BX410" s="156"/>
      <c r="BY410" s="156"/>
      <c r="BZ410" s="156"/>
      <c r="CA410" s="156"/>
      <c r="CB410" s="156"/>
      <c r="CC410" s="156"/>
      <c r="CD410" s="156"/>
      <c r="CE410" s="156"/>
      <c r="CF410" s="156"/>
      <c r="CG410" s="156"/>
      <c r="CH410" s="156"/>
      <c r="CI410" s="156"/>
      <c r="CJ410" s="156"/>
      <c r="CK410" s="156"/>
      <c r="CL410" s="156"/>
      <c r="CM410" s="156"/>
      <c r="CN410" s="156"/>
      <c r="CO410" s="156"/>
      <c r="CP410" s="156"/>
      <c r="CQ410" s="156"/>
      <c r="CR410" s="156"/>
      <c r="CS410" s="156"/>
      <c r="CT410" s="156"/>
      <c r="CU410" s="156"/>
      <c r="CV410" s="156"/>
      <c r="CW410" s="156"/>
      <c r="CX410" s="156"/>
      <c r="CY410" s="156"/>
      <c r="CZ410" s="156"/>
      <c r="DA410" s="156"/>
      <c r="DB410" s="156"/>
      <c r="DC410" s="156"/>
      <c r="DD410" s="156"/>
      <c r="DE410" s="156"/>
      <c r="DF410" s="156"/>
      <c r="DG410" s="156"/>
      <c r="DH410" s="156"/>
      <c r="DI410" s="156"/>
      <c r="DJ410" s="156"/>
      <c r="DK410" s="156"/>
      <c r="DL410" s="156"/>
      <c r="DM410" s="156"/>
      <c r="DN410" s="156"/>
      <c r="DO410" s="156"/>
      <c r="DP410" s="156"/>
      <c r="DQ410" s="156"/>
      <c r="DR410" s="156"/>
      <c r="DS410" s="156"/>
      <c r="DT410" s="156"/>
      <c r="DU410" s="156"/>
      <c r="DV410" s="156"/>
      <c r="DW410" s="156"/>
      <c r="DX410" s="156"/>
      <c r="DY410" s="156"/>
      <c r="DZ410" s="156"/>
      <c r="EA410" s="156"/>
      <c r="EB410" s="156"/>
      <c r="EC410" s="156"/>
      <c r="ED410" s="156"/>
      <c r="EE410" s="156"/>
      <c r="EF410" s="156"/>
      <c r="EG410" s="156"/>
      <c r="EH410" s="156"/>
      <c r="EI410" s="156"/>
      <c r="EJ410" s="156"/>
      <c r="EK410" s="156"/>
      <c r="EL410" s="156"/>
      <c r="EM410" s="156"/>
      <c r="EN410" s="156"/>
      <c r="EO410" s="156"/>
      <c r="EP410" s="156"/>
      <c r="EQ410" s="156"/>
      <c r="ER410" s="156"/>
      <c r="ES410" s="156"/>
      <c r="ET410" s="156"/>
      <c r="EU410" s="156"/>
      <c r="EV410" s="156"/>
      <c r="EW410" s="156"/>
      <c r="EX410" s="156"/>
      <c r="EY410" s="156"/>
      <c r="EZ410" s="156"/>
      <c r="FA410" s="156"/>
      <c r="FB410" s="156"/>
      <c r="FC410" s="156"/>
      <c r="FD410" s="156"/>
      <c r="FE410" s="156"/>
      <c r="FF410" s="156"/>
      <c r="FG410" s="156"/>
      <c r="FH410" s="156"/>
      <c r="FI410" s="156"/>
      <c r="FJ410" s="156"/>
      <c r="FK410" s="156"/>
      <c r="FL410" s="156"/>
      <c r="FM410" s="156"/>
      <c r="FN410" s="156"/>
      <c r="FO410" s="156"/>
      <c r="FP410" s="156"/>
    </row>
    <row r="411" spans="1:192" s="159" customFormat="1" ht="31.5" x14ac:dyDescent="0.25">
      <c r="A411" s="167" t="s">
        <v>562</v>
      </c>
      <c r="B411" s="168">
        <v>2</v>
      </c>
      <c r="C411" s="168">
        <v>898</v>
      </c>
      <c r="D411" s="168">
        <v>5201</v>
      </c>
      <c r="E411" s="170">
        <f t="shared" si="339"/>
        <v>2400</v>
      </c>
      <c r="F411" s="170">
        <f t="shared" si="339"/>
        <v>0</v>
      </c>
      <c r="G411" s="170">
        <f t="shared" si="339"/>
        <v>-2400</v>
      </c>
      <c r="H411" s="170"/>
      <c r="I411" s="170"/>
      <c r="J411" s="170">
        <f t="shared" si="303"/>
        <v>0</v>
      </c>
      <c r="K411" s="170"/>
      <c r="L411" s="170"/>
      <c r="M411" s="170">
        <f t="shared" si="261"/>
        <v>0</v>
      </c>
      <c r="N411" s="170">
        <v>2400</v>
      </c>
      <c r="O411" s="170">
        <f>2400-2400</f>
        <v>0</v>
      </c>
      <c r="P411" s="170">
        <f t="shared" si="263"/>
        <v>-2400</v>
      </c>
      <c r="Q411" s="170"/>
      <c r="R411" s="170"/>
      <c r="S411" s="170">
        <f t="shared" si="265"/>
        <v>0</v>
      </c>
      <c r="T411" s="170"/>
      <c r="U411" s="170"/>
      <c r="V411" s="170">
        <f t="shared" si="267"/>
        <v>0</v>
      </c>
      <c r="W411" s="170"/>
      <c r="X411" s="170"/>
      <c r="Y411" s="170">
        <f t="shared" si="269"/>
        <v>0</v>
      </c>
      <c r="Z411" s="170"/>
      <c r="AA411" s="170"/>
      <c r="AB411" s="170">
        <f t="shared" si="271"/>
        <v>0</v>
      </c>
      <c r="AC411" s="170"/>
      <c r="AD411" s="170"/>
      <c r="AE411" s="170">
        <f t="shared" si="273"/>
        <v>0</v>
      </c>
      <c r="FQ411" s="156"/>
      <c r="FR411" s="156"/>
      <c r="FS411" s="156"/>
      <c r="FT411" s="156"/>
      <c r="FU411" s="156"/>
      <c r="FV411" s="156"/>
      <c r="FW411" s="156"/>
      <c r="FX411" s="156"/>
      <c r="FY411" s="156"/>
      <c r="FZ411" s="156"/>
      <c r="GA411" s="156"/>
      <c r="GB411" s="156"/>
      <c r="GC411" s="156"/>
      <c r="GD411" s="156"/>
      <c r="GE411" s="156"/>
      <c r="GF411" s="156"/>
      <c r="GG411" s="156"/>
      <c r="GH411" s="156"/>
      <c r="GI411" s="156"/>
      <c r="GJ411" s="156"/>
    </row>
    <row r="412" spans="1:192" s="159" customFormat="1" ht="31.5" x14ac:dyDescent="0.25">
      <c r="A412" s="167" t="s">
        <v>563</v>
      </c>
      <c r="B412" s="168">
        <v>2</v>
      </c>
      <c r="C412" s="168">
        <v>878</v>
      </c>
      <c r="D412" s="168">
        <v>5201</v>
      </c>
      <c r="E412" s="170">
        <f t="shared" si="339"/>
        <v>918</v>
      </c>
      <c r="F412" s="170">
        <f t="shared" si="339"/>
        <v>918</v>
      </c>
      <c r="G412" s="170">
        <f t="shared" si="339"/>
        <v>0</v>
      </c>
      <c r="H412" s="170"/>
      <c r="I412" s="170"/>
      <c r="J412" s="170">
        <f t="shared" si="303"/>
        <v>0</v>
      </c>
      <c r="K412" s="170"/>
      <c r="L412" s="170"/>
      <c r="M412" s="170">
        <f t="shared" si="261"/>
        <v>0</v>
      </c>
      <c r="N412" s="170">
        <v>918</v>
      </c>
      <c r="O412" s="170">
        <v>918</v>
      </c>
      <c r="P412" s="170">
        <f t="shared" si="263"/>
        <v>0</v>
      </c>
      <c r="Q412" s="170"/>
      <c r="R412" s="170"/>
      <c r="S412" s="170">
        <f t="shared" si="265"/>
        <v>0</v>
      </c>
      <c r="T412" s="170"/>
      <c r="U412" s="170"/>
      <c r="V412" s="170">
        <f t="shared" si="267"/>
        <v>0</v>
      </c>
      <c r="W412" s="170"/>
      <c r="X412" s="170"/>
      <c r="Y412" s="170">
        <f t="shared" si="269"/>
        <v>0</v>
      </c>
      <c r="Z412" s="170"/>
      <c r="AA412" s="170"/>
      <c r="AB412" s="170">
        <f t="shared" si="271"/>
        <v>0</v>
      </c>
      <c r="AC412" s="170"/>
      <c r="AD412" s="170"/>
      <c r="AE412" s="170">
        <f t="shared" si="273"/>
        <v>0</v>
      </c>
      <c r="FQ412" s="156"/>
      <c r="FR412" s="156"/>
      <c r="FS412" s="156"/>
      <c r="FT412" s="156"/>
      <c r="FU412" s="156"/>
      <c r="FV412" s="156"/>
      <c r="FW412" s="156"/>
      <c r="FX412" s="156"/>
      <c r="FY412" s="156"/>
      <c r="FZ412" s="156"/>
      <c r="GA412" s="156"/>
      <c r="GB412" s="156"/>
      <c r="GC412" s="156"/>
      <c r="GD412" s="156"/>
      <c r="GE412" s="156"/>
      <c r="GF412" s="156"/>
      <c r="GG412" s="156"/>
      <c r="GH412" s="156"/>
      <c r="GI412" s="156"/>
      <c r="GJ412" s="156"/>
    </row>
    <row r="413" spans="1:192" s="159" customFormat="1" ht="31.5" x14ac:dyDescent="0.25">
      <c r="A413" s="157" t="s">
        <v>373</v>
      </c>
      <c r="B413" s="166"/>
      <c r="C413" s="166"/>
      <c r="D413" s="166"/>
      <c r="E413" s="158">
        <f t="shared" si="339"/>
        <v>997275</v>
      </c>
      <c r="F413" s="158">
        <f t="shared" si="339"/>
        <v>817512</v>
      </c>
      <c r="G413" s="158">
        <f t="shared" si="339"/>
        <v>-179763</v>
      </c>
      <c r="H413" s="158">
        <f t="shared" ref="H413:AD413" si="363">SUM(H414:H414)</f>
        <v>0</v>
      </c>
      <c r="I413" s="158">
        <f t="shared" si="363"/>
        <v>0</v>
      </c>
      <c r="J413" s="158">
        <f t="shared" si="303"/>
        <v>0</v>
      </c>
      <c r="K413" s="158">
        <f t="shared" si="363"/>
        <v>0</v>
      </c>
      <c r="L413" s="158">
        <f t="shared" si="363"/>
        <v>0</v>
      </c>
      <c r="M413" s="158">
        <f t="shared" si="261"/>
        <v>0</v>
      </c>
      <c r="N413" s="158">
        <f t="shared" si="363"/>
        <v>0</v>
      </c>
      <c r="O413" s="158">
        <f t="shared" si="363"/>
        <v>0</v>
      </c>
      <c r="P413" s="158">
        <f t="shared" si="263"/>
        <v>0</v>
      </c>
      <c r="Q413" s="158">
        <f t="shared" si="363"/>
        <v>997275</v>
      </c>
      <c r="R413" s="158">
        <f t="shared" si="363"/>
        <v>817512</v>
      </c>
      <c r="S413" s="158">
        <f t="shared" si="265"/>
        <v>-179763</v>
      </c>
      <c r="T413" s="158">
        <f t="shared" si="363"/>
        <v>0</v>
      </c>
      <c r="U413" s="158">
        <f t="shared" si="363"/>
        <v>0</v>
      </c>
      <c r="V413" s="158">
        <f t="shared" si="267"/>
        <v>0</v>
      </c>
      <c r="W413" s="158">
        <f t="shared" si="363"/>
        <v>0</v>
      </c>
      <c r="X413" s="158">
        <f t="shared" si="363"/>
        <v>0</v>
      </c>
      <c r="Y413" s="158">
        <f t="shared" si="269"/>
        <v>0</v>
      </c>
      <c r="Z413" s="158">
        <f t="shared" si="363"/>
        <v>0</v>
      </c>
      <c r="AA413" s="158">
        <f t="shared" si="363"/>
        <v>0</v>
      </c>
      <c r="AB413" s="158">
        <f t="shared" si="271"/>
        <v>0</v>
      </c>
      <c r="AC413" s="158">
        <f t="shared" si="363"/>
        <v>0</v>
      </c>
      <c r="AD413" s="158">
        <f t="shared" si="363"/>
        <v>0</v>
      </c>
      <c r="AE413" s="158">
        <f t="shared" si="273"/>
        <v>0</v>
      </c>
      <c r="AF413" s="156"/>
      <c r="AG413" s="156"/>
      <c r="AH413" s="156"/>
      <c r="AI413" s="156"/>
      <c r="AJ413" s="156"/>
      <c r="AK413" s="156"/>
      <c r="AL413" s="156"/>
      <c r="AM413" s="156"/>
      <c r="AN413" s="156"/>
      <c r="AO413" s="156"/>
      <c r="AP413" s="156"/>
      <c r="AQ413" s="156"/>
      <c r="AR413" s="156"/>
      <c r="AS413" s="156"/>
      <c r="AT413" s="156"/>
      <c r="AU413" s="156"/>
      <c r="AV413" s="156"/>
      <c r="AW413" s="156"/>
      <c r="AX413" s="156"/>
      <c r="AY413" s="156"/>
      <c r="AZ413" s="156"/>
      <c r="BA413" s="156"/>
      <c r="BB413" s="156"/>
      <c r="BC413" s="156"/>
      <c r="BD413" s="156"/>
      <c r="BE413" s="156"/>
      <c r="BF413" s="156"/>
      <c r="BG413" s="156"/>
      <c r="BH413" s="156"/>
      <c r="BI413" s="156"/>
      <c r="BJ413" s="156"/>
      <c r="BK413" s="156"/>
      <c r="BL413" s="156"/>
      <c r="BM413" s="156"/>
      <c r="BN413" s="156"/>
      <c r="BO413" s="156"/>
      <c r="BP413" s="156"/>
      <c r="BQ413" s="156"/>
      <c r="BR413" s="156"/>
      <c r="BS413" s="156"/>
      <c r="BT413" s="156"/>
      <c r="BU413" s="156"/>
      <c r="BV413" s="156"/>
      <c r="BW413" s="156"/>
      <c r="BX413" s="156"/>
      <c r="BY413" s="156"/>
      <c r="BZ413" s="156"/>
      <c r="CA413" s="156"/>
      <c r="CB413" s="156"/>
      <c r="CC413" s="156"/>
      <c r="CD413" s="156"/>
      <c r="CE413" s="156"/>
      <c r="CF413" s="156"/>
      <c r="CG413" s="156"/>
      <c r="CH413" s="156"/>
      <c r="CI413" s="156"/>
      <c r="CJ413" s="156"/>
      <c r="CK413" s="156"/>
      <c r="CL413" s="156"/>
      <c r="CM413" s="156"/>
      <c r="CN413" s="156"/>
      <c r="CO413" s="156"/>
      <c r="CP413" s="156"/>
      <c r="CQ413" s="156"/>
      <c r="CR413" s="156"/>
      <c r="CS413" s="156"/>
      <c r="CT413" s="156"/>
      <c r="CU413" s="156"/>
      <c r="CV413" s="156"/>
      <c r="CW413" s="156"/>
      <c r="CX413" s="156"/>
      <c r="CY413" s="156"/>
      <c r="CZ413" s="156"/>
      <c r="DA413" s="156"/>
      <c r="DB413" s="156"/>
      <c r="DC413" s="156"/>
      <c r="DD413" s="156"/>
      <c r="DE413" s="156"/>
      <c r="DF413" s="156"/>
      <c r="DG413" s="156"/>
      <c r="DH413" s="156"/>
      <c r="DI413" s="156"/>
      <c r="DJ413" s="156"/>
      <c r="DK413" s="156"/>
      <c r="DL413" s="156"/>
      <c r="DM413" s="156"/>
      <c r="DN413" s="156"/>
      <c r="DO413" s="156"/>
      <c r="DP413" s="156"/>
      <c r="DQ413" s="156"/>
      <c r="DR413" s="156"/>
      <c r="DS413" s="156"/>
      <c r="DT413" s="156"/>
      <c r="DU413" s="156"/>
      <c r="DV413" s="156"/>
      <c r="DW413" s="156"/>
      <c r="DX413" s="156"/>
      <c r="DY413" s="156"/>
      <c r="DZ413" s="156"/>
      <c r="EA413" s="156"/>
      <c r="EB413" s="156"/>
      <c r="EC413" s="156"/>
      <c r="ED413" s="156"/>
      <c r="EE413" s="156"/>
      <c r="EF413" s="156"/>
      <c r="EG413" s="156"/>
      <c r="EH413" s="156"/>
      <c r="EI413" s="156"/>
      <c r="EJ413" s="156"/>
      <c r="EK413" s="156"/>
      <c r="EL413" s="156"/>
      <c r="EM413" s="156"/>
      <c r="EN413" s="156"/>
      <c r="EO413" s="156"/>
      <c r="EP413" s="156"/>
      <c r="EQ413" s="156"/>
      <c r="ER413" s="156"/>
      <c r="ES413" s="156"/>
      <c r="ET413" s="156"/>
      <c r="EU413" s="156"/>
      <c r="EV413" s="156"/>
      <c r="EW413" s="156"/>
      <c r="EX413" s="156"/>
      <c r="EY413" s="156"/>
      <c r="EZ413" s="156"/>
      <c r="FA413" s="156"/>
      <c r="FB413" s="156"/>
      <c r="FC413" s="156"/>
      <c r="FD413" s="156"/>
      <c r="FE413" s="156"/>
      <c r="FF413" s="156"/>
      <c r="FG413" s="156"/>
      <c r="FH413" s="156"/>
      <c r="FI413" s="156"/>
      <c r="FJ413" s="156"/>
      <c r="FK413" s="156"/>
      <c r="FL413" s="156"/>
      <c r="FM413" s="156"/>
      <c r="FN413" s="156"/>
      <c r="FO413" s="156"/>
      <c r="FP413" s="156"/>
    </row>
    <row r="414" spans="1:192" s="159" customFormat="1" ht="78.75" x14ac:dyDescent="0.25">
      <c r="A414" s="167" t="s">
        <v>564</v>
      </c>
      <c r="B414" s="168"/>
      <c r="C414" s="168"/>
      <c r="D414" s="172"/>
      <c r="E414" s="170">
        <f t="shared" si="339"/>
        <v>997275</v>
      </c>
      <c r="F414" s="170">
        <f t="shared" si="339"/>
        <v>817512</v>
      </c>
      <c r="G414" s="170">
        <f t="shared" si="339"/>
        <v>-179763</v>
      </c>
      <c r="H414" s="170"/>
      <c r="I414" s="170"/>
      <c r="J414" s="170">
        <f t="shared" si="303"/>
        <v>0</v>
      </c>
      <c r="K414" s="170"/>
      <c r="L414" s="170"/>
      <c r="M414" s="170">
        <f t="shared" si="261"/>
        <v>0</v>
      </c>
      <c r="N414" s="170"/>
      <c r="O414" s="170"/>
      <c r="P414" s="170">
        <f t="shared" si="263"/>
        <v>0</v>
      </c>
      <c r="Q414" s="170">
        <v>997275</v>
      </c>
      <c r="R414" s="170">
        <v>817512</v>
      </c>
      <c r="S414" s="170">
        <f t="shared" si="265"/>
        <v>-179763</v>
      </c>
      <c r="T414" s="170"/>
      <c r="U414" s="170"/>
      <c r="V414" s="170">
        <f t="shared" si="267"/>
        <v>0</v>
      </c>
      <c r="W414" s="170"/>
      <c r="X414" s="170"/>
      <c r="Y414" s="170">
        <f t="shared" si="269"/>
        <v>0</v>
      </c>
      <c r="Z414" s="170"/>
      <c r="AA414" s="170"/>
      <c r="AB414" s="170">
        <f t="shared" si="271"/>
        <v>0</v>
      </c>
      <c r="AC414" s="170"/>
      <c r="AD414" s="170"/>
      <c r="AE414" s="170">
        <f t="shared" si="273"/>
        <v>0</v>
      </c>
      <c r="FQ414" s="156"/>
      <c r="FR414" s="156"/>
      <c r="FS414" s="156"/>
      <c r="FT414" s="156"/>
      <c r="FU414" s="156"/>
      <c r="FV414" s="156"/>
      <c r="FW414" s="156"/>
      <c r="FX414" s="156"/>
      <c r="FY414" s="156"/>
      <c r="FZ414" s="156"/>
      <c r="GA414" s="156"/>
      <c r="GB414" s="156"/>
      <c r="GC414" s="156"/>
      <c r="GD414" s="156"/>
      <c r="GE414" s="156"/>
      <c r="GF414" s="156"/>
      <c r="GG414" s="156"/>
      <c r="GH414" s="156"/>
      <c r="GI414" s="156"/>
      <c r="GJ414" s="156"/>
    </row>
    <row r="415" spans="1:192" s="159" customFormat="1" x14ac:dyDescent="0.25">
      <c r="A415" s="157" t="s">
        <v>386</v>
      </c>
      <c r="B415" s="166"/>
      <c r="C415" s="166"/>
      <c r="D415" s="166"/>
      <c r="E415" s="158">
        <f t="shared" si="339"/>
        <v>700000</v>
      </c>
      <c r="F415" s="158">
        <f t="shared" si="339"/>
        <v>423654</v>
      </c>
      <c r="G415" s="158">
        <f t="shared" si="339"/>
        <v>-276346</v>
      </c>
      <c r="H415" s="158">
        <f t="shared" ref="H415:AD415" si="364">SUM(H416:H416)</f>
        <v>0</v>
      </c>
      <c r="I415" s="158">
        <f t="shared" si="364"/>
        <v>0</v>
      </c>
      <c r="J415" s="158">
        <f t="shared" si="303"/>
        <v>0</v>
      </c>
      <c r="K415" s="158">
        <f t="shared" si="364"/>
        <v>0</v>
      </c>
      <c r="L415" s="158">
        <f t="shared" si="364"/>
        <v>0</v>
      </c>
      <c r="M415" s="158">
        <f t="shared" si="261"/>
        <v>0</v>
      </c>
      <c r="N415" s="158">
        <f t="shared" si="364"/>
        <v>0</v>
      </c>
      <c r="O415" s="158">
        <f t="shared" si="364"/>
        <v>0</v>
      </c>
      <c r="P415" s="158">
        <f t="shared" si="263"/>
        <v>0</v>
      </c>
      <c r="Q415" s="158">
        <f t="shared" si="364"/>
        <v>700000</v>
      </c>
      <c r="R415" s="158">
        <f t="shared" si="364"/>
        <v>423654</v>
      </c>
      <c r="S415" s="158">
        <f t="shared" si="265"/>
        <v>-276346</v>
      </c>
      <c r="T415" s="158">
        <f t="shared" si="364"/>
        <v>0</v>
      </c>
      <c r="U415" s="158">
        <f t="shared" si="364"/>
        <v>0</v>
      </c>
      <c r="V415" s="158">
        <f t="shared" si="267"/>
        <v>0</v>
      </c>
      <c r="W415" s="158">
        <f t="shared" si="364"/>
        <v>0</v>
      </c>
      <c r="X415" s="158">
        <f t="shared" si="364"/>
        <v>0</v>
      </c>
      <c r="Y415" s="158">
        <f t="shared" si="269"/>
        <v>0</v>
      </c>
      <c r="Z415" s="158">
        <f t="shared" si="364"/>
        <v>0</v>
      </c>
      <c r="AA415" s="158">
        <f t="shared" si="364"/>
        <v>0</v>
      </c>
      <c r="AB415" s="158">
        <f t="shared" si="271"/>
        <v>0</v>
      </c>
      <c r="AC415" s="158">
        <f t="shared" si="364"/>
        <v>0</v>
      </c>
      <c r="AD415" s="158">
        <f t="shared" si="364"/>
        <v>0</v>
      </c>
      <c r="AE415" s="158">
        <f t="shared" si="273"/>
        <v>0</v>
      </c>
      <c r="AF415" s="156"/>
      <c r="AG415" s="156"/>
      <c r="AH415" s="156"/>
      <c r="AI415" s="156"/>
      <c r="AJ415" s="156"/>
      <c r="AK415" s="156"/>
      <c r="AL415" s="156"/>
      <c r="AM415" s="156"/>
      <c r="AN415" s="156"/>
      <c r="AO415" s="156"/>
      <c r="AP415" s="156"/>
      <c r="AQ415" s="156"/>
      <c r="AR415" s="156"/>
      <c r="AS415" s="156"/>
      <c r="AT415" s="156"/>
      <c r="AU415" s="156"/>
      <c r="AV415" s="156"/>
      <c r="AW415" s="156"/>
      <c r="AX415" s="156"/>
      <c r="AY415" s="156"/>
      <c r="AZ415" s="156"/>
      <c r="BA415" s="156"/>
      <c r="BB415" s="156"/>
      <c r="BC415" s="156"/>
      <c r="BD415" s="156"/>
      <c r="BE415" s="156"/>
      <c r="BF415" s="156"/>
      <c r="BG415" s="156"/>
      <c r="BH415" s="156"/>
      <c r="BI415" s="156"/>
      <c r="BJ415" s="156"/>
      <c r="BK415" s="156"/>
      <c r="BL415" s="156"/>
      <c r="BM415" s="156"/>
      <c r="BN415" s="156"/>
      <c r="BO415" s="156"/>
      <c r="BP415" s="156"/>
      <c r="BQ415" s="156"/>
      <c r="BR415" s="156"/>
      <c r="BS415" s="156"/>
      <c r="BT415" s="156"/>
      <c r="BU415" s="156"/>
      <c r="BV415" s="156"/>
      <c r="BW415" s="156"/>
      <c r="BX415" s="156"/>
      <c r="BY415" s="156"/>
      <c r="BZ415" s="156"/>
      <c r="CA415" s="156"/>
      <c r="CB415" s="156"/>
      <c r="CC415" s="156"/>
      <c r="CD415" s="156"/>
      <c r="CE415" s="156"/>
      <c r="CF415" s="156"/>
      <c r="CG415" s="156"/>
      <c r="CH415" s="156"/>
      <c r="CI415" s="156"/>
      <c r="CJ415" s="156"/>
      <c r="CK415" s="156"/>
      <c r="CL415" s="156"/>
      <c r="CM415" s="156"/>
      <c r="CN415" s="156"/>
      <c r="CO415" s="156"/>
      <c r="CP415" s="156"/>
      <c r="CQ415" s="156"/>
      <c r="CR415" s="156"/>
      <c r="CS415" s="156"/>
      <c r="CT415" s="156"/>
      <c r="CU415" s="156"/>
      <c r="CV415" s="156"/>
      <c r="CW415" s="156"/>
      <c r="CX415" s="156"/>
      <c r="CY415" s="156"/>
      <c r="CZ415" s="156"/>
      <c r="DA415" s="156"/>
      <c r="DB415" s="156"/>
      <c r="DC415" s="156"/>
      <c r="DD415" s="156"/>
      <c r="DE415" s="156"/>
      <c r="DF415" s="156"/>
      <c r="DG415" s="156"/>
      <c r="DH415" s="156"/>
      <c r="DI415" s="156"/>
      <c r="DJ415" s="156"/>
      <c r="DK415" s="156"/>
      <c r="DL415" s="156"/>
      <c r="DM415" s="156"/>
      <c r="DN415" s="156"/>
      <c r="DO415" s="156"/>
      <c r="DP415" s="156"/>
      <c r="DQ415" s="156"/>
      <c r="DR415" s="156"/>
      <c r="DS415" s="156"/>
      <c r="DT415" s="156"/>
      <c r="DU415" s="156"/>
      <c r="DV415" s="156"/>
      <c r="DW415" s="156"/>
      <c r="DX415" s="156"/>
      <c r="DY415" s="156"/>
      <c r="DZ415" s="156"/>
      <c r="EA415" s="156"/>
      <c r="EB415" s="156"/>
      <c r="EC415" s="156"/>
      <c r="ED415" s="156"/>
      <c r="EE415" s="156"/>
      <c r="EF415" s="156"/>
      <c r="EG415" s="156"/>
      <c r="EH415" s="156"/>
      <c r="EI415" s="156"/>
      <c r="EJ415" s="156"/>
      <c r="EK415" s="156"/>
      <c r="EL415" s="156"/>
      <c r="EM415" s="156"/>
      <c r="EN415" s="156"/>
      <c r="EO415" s="156"/>
      <c r="EP415" s="156"/>
      <c r="EQ415" s="156"/>
      <c r="ER415" s="156"/>
      <c r="ES415" s="156"/>
      <c r="ET415" s="156"/>
      <c r="EU415" s="156"/>
      <c r="EV415" s="156"/>
      <c r="EW415" s="156"/>
      <c r="EX415" s="156"/>
      <c r="EY415" s="156"/>
      <c r="EZ415" s="156"/>
      <c r="FA415" s="156"/>
      <c r="FB415" s="156"/>
      <c r="FC415" s="156"/>
      <c r="FD415" s="156"/>
      <c r="FE415" s="156"/>
      <c r="FF415" s="156"/>
      <c r="FG415" s="156"/>
      <c r="FH415" s="156"/>
      <c r="FI415" s="156"/>
      <c r="FJ415" s="156"/>
      <c r="FK415" s="156"/>
      <c r="FL415" s="156"/>
      <c r="FM415" s="156"/>
      <c r="FN415" s="156"/>
      <c r="FO415" s="156"/>
      <c r="FP415" s="156"/>
      <c r="FQ415" s="156"/>
      <c r="FR415" s="156"/>
      <c r="FS415" s="156"/>
      <c r="FT415" s="156"/>
      <c r="FU415" s="156"/>
      <c r="FV415" s="156"/>
      <c r="FW415" s="156"/>
      <c r="FX415" s="156"/>
      <c r="FY415" s="156"/>
      <c r="FZ415" s="156"/>
      <c r="GA415" s="156"/>
      <c r="GB415" s="156"/>
      <c r="GC415" s="156"/>
      <c r="GD415" s="156"/>
      <c r="GE415" s="156"/>
      <c r="GF415" s="156"/>
      <c r="GG415" s="156"/>
      <c r="GH415" s="156"/>
      <c r="GI415" s="156"/>
      <c r="GJ415" s="156"/>
    </row>
    <row r="416" spans="1:192" s="159" customFormat="1" ht="94.5" x14ac:dyDescent="0.25">
      <c r="A416" s="167" t="s">
        <v>565</v>
      </c>
      <c r="B416" s="168"/>
      <c r="C416" s="168"/>
      <c r="D416" s="172"/>
      <c r="E416" s="170">
        <f t="shared" si="339"/>
        <v>700000</v>
      </c>
      <c r="F416" s="170">
        <f t="shared" si="339"/>
        <v>423654</v>
      </c>
      <c r="G416" s="170">
        <f t="shared" si="339"/>
        <v>-276346</v>
      </c>
      <c r="H416" s="170"/>
      <c r="I416" s="170"/>
      <c r="J416" s="170">
        <f t="shared" si="303"/>
        <v>0</v>
      </c>
      <c r="K416" s="170"/>
      <c r="L416" s="170"/>
      <c r="M416" s="170">
        <f t="shared" si="261"/>
        <v>0</v>
      </c>
      <c r="N416" s="170"/>
      <c r="O416" s="170"/>
      <c r="P416" s="170">
        <f t="shared" si="263"/>
        <v>0</v>
      </c>
      <c r="Q416" s="170">
        <v>700000</v>
      </c>
      <c r="R416" s="170">
        <v>423654</v>
      </c>
      <c r="S416" s="170">
        <f t="shared" si="265"/>
        <v>-276346</v>
      </c>
      <c r="T416" s="170"/>
      <c r="U416" s="170"/>
      <c r="V416" s="170">
        <f t="shared" si="267"/>
        <v>0</v>
      </c>
      <c r="W416" s="170"/>
      <c r="X416" s="170"/>
      <c r="Y416" s="170">
        <f t="shared" si="269"/>
        <v>0</v>
      </c>
      <c r="Z416" s="170"/>
      <c r="AA416" s="170"/>
      <c r="AB416" s="170">
        <f t="shared" si="271"/>
        <v>0</v>
      </c>
      <c r="AC416" s="170"/>
      <c r="AD416" s="170"/>
      <c r="AE416" s="170">
        <f t="shared" si="273"/>
        <v>0</v>
      </c>
      <c r="FQ416" s="156"/>
      <c r="FR416" s="156"/>
      <c r="FS416" s="156"/>
      <c r="FT416" s="156"/>
      <c r="FU416" s="156"/>
      <c r="FV416" s="156"/>
      <c r="FW416" s="156"/>
      <c r="FX416" s="156"/>
      <c r="FY416" s="156"/>
      <c r="FZ416" s="156"/>
      <c r="GA416" s="156"/>
      <c r="GB416" s="156"/>
      <c r="GC416" s="156"/>
      <c r="GD416" s="156"/>
      <c r="GE416" s="156"/>
      <c r="GF416" s="156"/>
      <c r="GG416" s="156"/>
      <c r="GH416" s="156"/>
      <c r="GI416" s="156"/>
      <c r="GJ416" s="156"/>
    </row>
    <row r="417" spans="1:192" s="159" customFormat="1" x14ac:dyDescent="0.25">
      <c r="A417" s="157" t="s">
        <v>520</v>
      </c>
      <c r="B417" s="166"/>
      <c r="C417" s="166"/>
      <c r="D417" s="166"/>
      <c r="E417" s="158">
        <f t="shared" si="339"/>
        <v>700000</v>
      </c>
      <c r="F417" s="158">
        <f t="shared" si="339"/>
        <v>0</v>
      </c>
      <c r="G417" s="158">
        <f t="shared" si="339"/>
        <v>-700000</v>
      </c>
      <c r="H417" s="158">
        <f t="shared" ref="H417:AD417" si="365">SUM(H418:H418)</f>
        <v>0</v>
      </c>
      <c r="I417" s="158">
        <f t="shared" si="365"/>
        <v>0</v>
      </c>
      <c r="J417" s="158">
        <f t="shared" si="303"/>
        <v>0</v>
      </c>
      <c r="K417" s="158">
        <f t="shared" si="365"/>
        <v>0</v>
      </c>
      <c r="L417" s="158">
        <f t="shared" si="365"/>
        <v>0</v>
      </c>
      <c r="M417" s="158">
        <f t="shared" si="261"/>
        <v>0</v>
      </c>
      <c r="N417" s="158">
        <f t="shared" si="365"/>
        <v>0</v>
      </c>
      <c r="O417" s="158">
        <f t="shared" si="365"/>
        <v>0</v>
      </c>
      <c r="P417" s="158">
        <f t="shared" si="263"/>
        <v>0</v>
      </c>
      <c r="Q417" s="158">
        <f t="shared" si="365"/>
        <v>700000</v>
      </c>
      <c r="R417" s="158">
        <f t="shared" si="365"/>
        <v>0</v>
      </c>
      <c r="S417" s="158">
        <f t="shared" si="265"/>
        <v>-700000</v>
      </c>
      <c r="T417" s="158">
        <f t="shared" si="365"/>
        <v>0</v>
      </c>
      <c r="U417" s="158">
        <f t="shared" si="365"/>
        <v>0</v>
      </c>
      <c r="V417" s="158">
        <f t="shared" si="267"/>
        <v>0</v>
      </c>
      <c r="W417" s="158">
        <f t="shared" si="365"/>
        <v>0</v>
      </c>
      <c r="X417" s="158">
        <f t="shared" si="365"/>
        <v>0</v>
      </c>
      <c r="Y417" s="158">
        <f t="shared" si="269"/>
        <v>0</v>
      </c>
      <c r="Z417" s="158">
        <f t="shared" si="365"/>
        <v>0</v>
      </c>
      <c r="AA417" s="158">
        <f t="shared" si="365"/>
        <v>0</v>
      </c>
      <c r="AB417" s="158">
        <f t="shared" si="271"/>
        <v>0</v>
      </c>
      <c r="AC417" s="158">
        <f t="shared" si="365"/>
        <v>0</v>
      </c>
      <c r="AD417" s="158">
        <f t="shared" si="365"/>
        <v>0</v>
      </c>
      <c r="AE417" s="158">
        <f t="shared" si="273"/>
        <v>0</v>
      </c>
      <c r="AF417" s="156"/>
      <c r="AG417" s="156"/>
      <c r="AH417" s="156"/>
      <c r="AI417" s="156"/>
      <c r="AJ417" s="156"/>
      <c r="AK417" s="156"/>
      <c r="AL417" s="156"/>
      <c r="AM417" s="156"/>
      <c r="AN417" s="156"/>
      <c r="AO417" s="156"/>
      <c r="AP417" s="156"/>
      <c r="AQ417" s="156"/>
      <c r="AR417" s="156"/>
      <c r="AS417" s="156"/>
      <c r="AT417" s="156"/>
      <c r="AU417" s="156"/>
      <c r="AV417" s="156"/>
      <c r="AW417" s="156"/>
      <c r="AX417" s="156"/>
      <c r="AY417" s="156"/>
      <c r="AZ417" s="156"/>
      <c r="BA417" s="156"/>
      <c r="BB417" s="156"/>
      <c r="BC417" s="156"/>
      <c r="BD417" s="156"/>
      <c r="BE417" s="156"/>
      <c r="BF417" s="156"/>
      <c r="BG417" s="156"/>
      <c r="BH417" s="156"/>
      <c r="BI417" s="156"/>
      <c r="BJ417" s="156"/>
      <c r="BK417" s="156"/>
      <c r="BL417" s="156"/>
      <c r="BM417" s="156"/>
      <c r="BN417" s="156"/>
      <c r="BO417" s="156"/>
      <c r="BP417" s="156"/>
      <c r="BQ417" s="156"/>
      <c r="BR417" s="156"/>
      <c r="BS417" s="156"/>
      <c r="BT417" s="156"/>
      <c r="BU417" s="156"/>
      <c r="BV417" s="156"/>
      <c r="BW417" s="156"/>
      <c r="BX417" s="156"/>
      <c r="BY417" s="156"/>
      <c r="BZ417" s="156"/>
      <c r="CA417" s="156"/>
      <c r="CB417" s="156"/>
      <c r="CC417" s="156"/>
      <c r="CD417" s="156"/>
      <c r="CE417" s="156"/>
      <c r="CF417" s="156"/>
      <c r="CG417" s="156"/>
      <c r="CH417" s="156"/>
      <c r="CI417" s="156"/>
      <c r="CJ417" s="156"/>
      <c r="CK417" s="156"/>
      <c r="CL417" s="156"/>
      <c r="CM417" s="156"/>
      <c r="CN417" s="156"/>
      <c r="CO417" s="156"/>
      <c r="CP417" s="156"/>
      <c r="CQ417" s="156"/>
      <c r="CR417" s="156"/>
      <c r="CS417" s="156"/>
      <c r="CT417" s="156"/>
      <c r="CU417" s="156"/>
      <c r="CV417" s="156"/>
      <c r="CW417" s="156"/>
      <c r="CX417" s="156"/>
      <c r="CY417" s="156"/>
      <c r="CZ417" s="156"/>
      <c r="DA417" s="156"/>
      <c r="DB417" s="156"/>
      <c r="DC417" s="156"/>
      <c r="DD417" s="156"/>
      <c r="DE417" s="156"/>
      <c r="DF417" s="156"/>
      <c r="DG417" s="156"/>
      <c r="DH417" s="156"/>
      <c r="DI417" s="156"/>
      <c r="DJ417" s="156"/>
      <c r="DK417" s="156"/>
      <c r="DL417" s="156"/>
      <c r="DM417" s="156"/>
      <c r="DN417" s="156"/>
      <c r="DO417" s="156"/>
      <c r="DP417" s="156"/>
      <c r="DQ417" s="156"/>
      <c r="DR417" s="156"/>
      <c r="DS417" s="156"/>
      <c r="DT417" s="156"/>
      <c r="DU417" s="156"/>
      <c r="DV417" s="156"/>
      <c r="DW417" s="156"/>
      <c r="DX417" s="156"/>
      <c r="DY417" s="156"/>
      <c r="DZ417" s="156"/>
      <c r="EA417" s="156"/>
      <c r="EB417" s="156"/>
      <c r="EC417" s="156"/>
      <c r="ED417" s="156"/>
      <c r="EE417" s="156"/>
      <c r="EF417" s="156"/>
      <c r="EG417" s="156"/>
      <c r="EH417" s="156"/>
      <c r="EI417" s="156"/>
      <c r="EJ417" s="156"/>
      <c r="EK417" s="156"/>
      <c r="EL417" s="156"/>
      <c r="EM417" s="156"/>
      <c r="EN417" s="156"/>
      <c r="EO417" s="156"/>
      <c r="EP417" s="156"/>
      <c r="EQ417" s="156"/>
      <c r="ER417" s="156"/>
      <c r="ES417" s="156"/>
      <c r="ET417" s="156"/>
      <c r="EU417" s="156"/>
      <c r="EV417" s="156"/>
      <c r="EW417" s="156"/>
      <c r="EX417" s="156"/>
      <c r="EY417" s="156"/>
      <c r="EZ417" s="156"/>
      <c r="FA417" s="156"/>
      <c r="FB417" s="156"/>
      <c r="FC417" s="156"/>
      <c r="FD417" s="156"/>
      <c r="FE417" s="156"/>
      <c r="FF417" s="156"/>
      <c r="FG417" s="156"/>
      <c r="FH417" s="156"/>
      <c r="FI417" s="156"/>
      <c r="FJ417" s="156"/>
      <c r="FK417" s="156"/>
      <c r="FL417" s="156"/>
      <c r="FM417" s="156"/>
      <c r="FN417" s="156"/>
      <c r="FO417" s="156"/>
      <c r="FP417" s="156"/>
      <c r="FQ417" s="156"/>
      <c r="FR417" s="156"/>
      <c r="FS417" s="156"/>
      <c r="FT417" s="156"/>
      <c r="FU417" s="156"/>
      <c r="FV417" s="156"/>
      <c r="FW417" s="156"/>
      <c r="FX417" s="156"/>
      <c r="FY417" s="156"/>
      <c r="FZ417" s="156"/>
      <c r="GA417" s="156"/>
      <c r="GB417" s="156"/>
      <c r="GC417" s="156"/>
      <c r="GD417" s="156"/>
      <c r="GE417" s="156"/>
      <c r="GF417" s="156"/>
      <c r="GG417" s="156"/>
      <c r="GH417" s="156"/>
      <c r="GI417" s="156"/>
      <c r="GJ417" s="156"/>
    </row>
    <row r="418" spans="1:192" s="159" customFormat="1" ht="78.75" x14ac:dyDescent="0.25">
      <c r="A418" s="167" t="s">
        <v>566</v>
      </c>
      <c r="B418" s="168"/>
      <c r="C418" s="168"/>
      <c r="D418" s="172"/>
      <c r="E418" s="170">
        <f t="shared" si="339"/>
        <v>700000</v>
      </c>
      <c r="F418" s="170">
        <f t="shared" si="339"/>
        <v>0</v>
      </c>
      <c r="G418" s="170">
        <f t="shared" si="339"/>
        <v>-700000</v>
      </c>
      <c r="H418" s="170"/>
      <c r="I418" s="170"/>
      <c r="J418" s="170">
        <f t="shared" si="303"/>
        <v>0</v>
      </c>
      <c r="K418" s="170"/>
      <c r="L418" s="170"/>
      <c r="M418" s="170">
        <f t="shared" si="261"/>
        <v>0</v>
      </c>
      <c r="N418" s="170"/>
      <c r="O418" s="170"/>
      <c r="P418" s="170">
        <f t="shared" si="263"/>
        <v>0</v>
      </c>
      <c r="Q418" s="170">
        <v>700000</v>
      </c>
      <c r="R418" s="170">
        <v>0</v>
      </c>
      <c r="S418" s="170">
        <f t="shared" si="265"/>
        <v>-700000</v>
      </c>
      <c r="T418" s="170"/>
      <c r="U418" s="170"/>
      <c r="V418" s="170">
        <f t="shared" si="267"/>
        <v>0</v>
      </c>
      <c r="W418" s="170"/>
      <c r="X418" s="170"/>
      <c r="Y418" s="170">
        <f t="shared" si="269"/>
        <v>0</v>
      </c>
      <c r="Z418" s="170"/>
      <c r="AA418" s="170"/>
      <c r="AB418" s="170">
        <f t="shared" si="271"/>
        <v>0</v>
      </c>
      <c r="AC418" s="170"/>
      <c r="AD418" s="170"/>
      <c r="AE418" s="170">
        <f t="shared" si="273"/>
        <v>0</v>
      </c>
      <c r="FQ418" s="156"/>
      <c r="FR418" s="156"/>
      <c r="FS418" s="156"/>
      <c r="FT418" s="156"/>
      <c r="FU418" s="156"/>
      <c r="FV418" s="156"/>
      <c r="FW418" s="156"/>
      <c r="FX418" s="156"/>
      <c r="FY418" s="156"/>
      <c r="FZ418" s="156"/>
      <c r="GA418" s="156"/>
      <c r="GB418" s="156"/>
      <c r="GC418" s="156"/>
      <c r="GD418" s="156"/>
      <c r="GE418" s="156"/>
      <c r="GF418" s="156"/>
      <c r="GG418" s="156"/>
      <c r="GH418" s="156"/>
      <c r="GI418" s="156"/>
      <c r="GJ418" s="156"/>
    </row>
    <row r="419" spans="1:192" s="156" customFormat="1" x14ac:dyDescent="0.25">
      <c r="A419" s="157" t="s">
        <v>567</v>
      </c>
      <c r="B419" s="166"/>
      <c r="C419" s="166"/>
      <c r="D419" s="166"/>
      <c r="E419" s="158">
        <f t="shared" si="339"/>
        <v>98251</v>
      </c>
      <c r="F419" s="158">
        <f t="shared" si="339"/>
        <v>26303</v>
      </c>
      <c r="G419" s="158">
        <f t="shared" si="339"/>
        <v>-71948</v>
      </c>
      <c r="H419" s="158">
        <f>SUM(H420,H425,H433)</f>
        <v>0</v>
      </c>
      <c r="I419" s="158">
        <f>SUM(I420,I425,I433)</f>
        <v>0</v>
      </c>
      <c r="J419" s="158">
        <f t="shared" si="303"/>
        <v>0</v>
      </c>
      <c r="K419" s="158">
        <f t="shared" ref="K419:L419" si="366">SUM(K420,K425,K433)</f>
        <v>0</v>
      </c>
      <c r="L419" s="158">
        <f t="shared" si="366"/>
        <v>0</v>
      </c>
      <c r="M419" s="158">
        <f t="shared" si="261"/>
        <v>0</v>
      </c>
      <c r="N419" s="158">
        <f t="shared" ref="N419:O419" si="367">SUM(N420,N425,N433)</f>
        <v>61984</v>
      </c>
      <c r="O419" s="158">
        <f t="shared" si="367"/>
        <v>10984</v>
      </c>
      <c r="P419" s="158">
        <f t="shared" si="263"/>
        <v>-51000</v>
      </c>
      <c r="Q419" s="158">
        <f t="shared" ref="Q419:R419" si="368">SUM(Q420,Q425,Q433)</f>
        <v>996</v>
      </c>
      <c r="R419" s="158">
        <f t="shared" si="368"/>
        <v>996</v>
      </c>
      <c r="S419" s="158">
        <f t="shared" si="265"/>
        <v>0</v>
      </c>
      <c r="T419" s="158">
        <f t="shared" ref="T419:U419" si="369">SUM(T420,T425,T433)</f>
        <v>12396</v>
      </c>
      <c r="U419" s="158">
        <f t="shared" si="369"/>
        <v>12388</v>
      </c>
      <c r="V419" s="158">
        <f t="shared" si="267"/>
        <v>-8</v>
      </c>
      <c r="W419" s="158">
        <f t="shared" ref="W419:X419" si="370">SUM(W420,W425,W433)</f>
        <v>0</v>
      </c>
      <c r="X419" s="158">
        <f t="shared" si="370"/>
        <v>0</v>
      </c>
      <c r="Y419" s="158">
        <f t="shared" si="269"/>
        <v>0</v>
      </c>
      <c r="Z419" s="158">
        <f t="shared" ref="Z419:AA419" si="371">SUM(Z420,Z425,Z433)</f>
        <v>1935</v>
      </c>
      <c r="AA419" s="158">
        <f t="shared" si="371"/>
        <v>1935</v>
      </c>
      <c r="AB419" s="158">
        <f t="shared" si="271"/>
        <v>0</v>
      </c>
      <c r="AC419" s="158">
        <f t="shared" ref="AC419:AD419" si="372">SUM(AC420,AC425,AC433)</f>
        <v>20940</v>
      </c>
      <c r="AD419" s="158">
        <f t="shared" si="372"/>
        <v>0</v>
      </c>
      <c r="AE419" s="158">
        <f t="shared" si="273"/>
        <v>-20940</v>
      </c>
      <c r="FQ419" s="159"/>
      <c r="FR419" s="159"/>
      <c r="FS419" s="159"/>
      <c r="FT419" s="159"/>
      <c r="FU419" s="159"/>
      <c r="FV419" s="159"/>
      <c r="FW419" s="159"/>
      <c r="FX419" s="159"/>
      <c r="FY419" s="159"/>
      <c r="FZ419" s="159"/>
      <c r="GA419" s="159"/>
      <c r="GB419" s="159"/>
      <c r="GC419" s="159"/>
      <c r="GD419" s="159"/>
      <c r="GE419" s="159"/>
      <c r="GF419" s="159"/>
      <c r="GG419" s="159"/>
      <c r="GH419" s="159"/>
      <c r="GI419" s="159"/>
      <c r="GJ419" s="159"/>
    </row>
    <row r="420" spans="1:192" s="159" customFormat="1" x14ac:dyDescent="0.25">
      <c r="A420" s="157" t="s">
        <v>217</v>
      </c>
      <c r="B420" s="166"/>
      <c r="C420" s="166"/>
      <c r="D420" s="166"/>
      <c r="E420" s="158">
        <f t="shared" si="339"/>
        <v>71940</v>
      </c>
      <c r="F420" s="158">
        <f t="shared" si="339"/>
        <v>0</v>
      </c>
      <c r="G420" s="158">
        <f t="shared" si="339"/>
        <v>-71940</v>
      </c>
      <c r="H420" s="158">
        <f>SUM(H421)</f>
        <v>0</v>
      </c>
      <c r="I420" s="158">
        <f>SUM(I421)</f>
        <v>0</v>
      </c>
      <c r="J420" s="158">
        <f t="shared" si="303"/>
        <v>0</v>
      </c>
      <c r="K420" s="158">
        <f t="shared" ref="K420:L420" si="373">SUM(K421)</f>
        <v>0</v>
      </c>
      <c r="L420" s="158">
        <f t="shared" si="373"/>
        <v>0</v>
      </c>
      <c r="M420" s="158">
        <f t="shared" si="261"/>
        <v>0</v>
      </c>
      <c r="N420" s="158">
        <f t="shared" ref="N420:O420" si="374">SUM(N421)</f>
        <v>51000</v>
      </c>
      <c r="O420" s="158">
        <f t="shared" si="374"/>
        <v>0</v>
      </c>
      <c r="P420" s="158">
        <f t="shared" si="263"/>
        <v>-51000</v>
      </c>
      <c r="Q420" s="158">
        <f t="shared" ref="Q420:R420" si="375">SUM(Q421)</f>
        <v>0</v>
      </c>
      <c r="R420" s="158">
        <f t="shared" si="375"/>
        <v>0</v>
      </c>
      <c r="S420" s="158">
        <f t="shared" si="265"/>
        <v>0</v>
      </c>
      <c r="T420" s="158">
        <f t="shared" ref="T420:U420" si="376">SUM(T421)</f>
        <v>0</v>
      </c>
      <c r="U420" s="158">
        <f t="shared" si="376"/>
        <v>0</v>
      </c>
      <c r="V420" s="158">
        <f t="shared" si="267"/>
        <v>0</v>
      </c>
      <c r="W420" s="158">
        <f t="shared" ref="W420:X420" si="377">SUM(W421)</f>
        <v>0</v>
      </c>
      <c r="X420" s="158">
        <f t="shared" si="377"/>
        <v>0</v>
      </c>
      <c r="Y420" s="158">
        <f t="shared" si="269"/>
        <v>0</v>
      </c>
      <c r="Z420" s="158">
        <f t="shared" ref="Z420:AA420" si="378">SUM(Z421)</f>
        <v>0</v>
      </c>
      <c r="AA420" s="158">
        <f t="shared" si="378"/>
        <v>0</v>
      </c>
      <c r="AB420" s="158">
        <f t="shared" si="271"/>
        <v>0</v>
      </c>
      <c r="AC420" s="158">
        <f t="shared" ref="AC420:AD420" si="379">SUM(AC421)</f>
        <v>20940</v>
      </c>
      <c r="AD420" s="158">
        <f t="shared" si="379"/>
        <v>0</v>
      </c>
      <c r="AE420" s="158">
        <f t="shared" si="273"/>
        <v>-20940</v>
      </c>
    </row>
    <row r="421" spans="1:192" s="159" customFormat="1" ht="31.5" x14ac:dyDescent="0.25">
      <c r="A421" s="157" t="s">
        <v>568</v>
      </c>
      <c r="B421" s="166"/>
      <c r="C421" s="166"/>
      <c r="D421" s="166"/>
      <c r="E421" s="158">
        <f t="shared" si="339"/>
        <v>71940</v>
      </c>
      <c r="F421" s="158">
        <f t="shared" si="339"/>
        <v>0</v>
      </c>
      <c r="G421" s="158">
        <f t="shared" si="339"/>
        <v>-71940</v>
      </c>
      <c r="H421" s="158">
        <f t="shared" ref="H421:I421" si="380">SUM(H422:H424)</f>
        <v>0</v>
      </c>
      <c r="I421" s="158">
        <f t="shared" si="380"/>
        <v>0</v>
      </c>
      <c r="J421" s="158">
        <f t="shared" si="303"/>
        <v>0</v>
      </c>
      <c r="K421" s="158">
        <f t="shared" ref="K421:AD421" si="381">SUM(K422:K424)</f>
        <v>0</v>
      </c>
      <c r="L421" s="158">
        <f t="shared" si="381"/>
        <v>0</v>
      </c>
      <c r="M421" s="158">
        <f t="shared" si="261"/>
        <v>0</v>
      </c>
      <c r="N421" s="158">
        <f t="shared" ref="N421" si="382">SUM(N422:N424)</f>
        <v>51000</v>
      </c>
      <c r="O421" s="158">
        <f t="shared" si="381"/>
        <v>0</v>
      </c>
      <c r="P421" s="158">
        <f t="shared" si="263"/>
        <v>-51000</v>
      </c>
      <c r="Q421" s="158">
        <f t="shared" ref="Q421" si="383">SUM(Q422:Q424)</f>
        <v>0</v>
      </c>
      <c r="R421" s="158">
        <f t="shared" si="381"/>
        <v>0</v>
      </c>
      <c r="S421" s="158">
        <f t="shared" si="265"/>
        <v>0</v>
      </c>
      <c r="T421" s="158">
        <f t="shared" ref="T421" si="384">SUM(T422:T424)</f>
        <v>0</v>
      </c>
      <c r="U421" s="158">
        <f t="shared" si="381"/>
        <v>0</v>
      </c>
      <c r="V421" s="158">
        <f t="shared" si="267"/>
        <v>0</v>
      </c>
      <c r="W421" s="158">
        <f t="shared" ref="W421" si="385">SUM(W422:W424)</f>
        <v>0</v>
      </c>
      <c r="X421" s="158">
        <f t="shared" si="381"/>
        <v>0</v>
      </c>
      <c r="Y421" s="158">
        <f t="shared" si="269"/>
        <v>0</v>
      </c>
      <c r="Z421" s="158">
        <f t="shared" ref="Z421" si="386">SUM(Z422:Z424)</f>
        <v>0</v>
      </c>
      <c r="AA421" s="158">
        <f t="shared" si="381"/>
        <v>0</v>
      </c>
      <c r="AB421" s="158">
        <f t="shared" si="271"/>
        <v>0</v>
      </c>
      <c r="AC421" s="158">
        <f t="shared" ref="AC421" si="387">SUM(AC422:AC424)</f>
        <v>20940</v>
      </c>
      <c r="AD421" s="158">
        <f t="shared" si="381"/>
        <v>0</v>
      </c>
      <c r="AE421" s="158">
        <f t="shared" si="273"/>
        <v>-20940</v>
      </c>
    </row>
    <row r="422" spans="1:192" s="159" customFormat="1" ht="78.75" x14ac:dyDescent="0.25">
      <c r="A422" s="178" t="s">
        <v>569</v>
      </c>
      <c r="B422" s="168">
        <v>2</v>
      </c>
      <c r="C422" s="168">
        <v>122</v>
      </c>
      <c r="D422" s="168">
        <v>5301</v>
      </c>
      <c r="E422" s="163">
        <f t="shared" si="339"/>
        <v>35940</v>
      </c>
      <c r="F422" s="163">
        <f t="shared" si="339"/>
        <v>0</v>
      </c>
      <c r="G422" s="163">
        <f t="shared" si="339"/>
        <v>-35940</v>
      </c>
      <c r="H422" s="163"/>
      <c r="I422" s="163"/>
      <c r="J422" s="163">
        <f t="shared" si="303"/>
        <v>0</v>
      </c>
      <c r="K422" s="163"/>
      <c r="L422" s="163"/>
      <c r="M422" s="163">
        <f t="shared" si="261"/>
        <v>0</v>
      </c>
      <c r="N422" s="163">
        <v>15000</v>
      </c>
      <c r="O422" s="163">
        <f>15000-15000</f>
        <v>0</v>
      </c>
      <c r="P422" s="163">
        <f t="shared" si="263"/>
        <v>-15000</v>
      </c>
      <c r="Q422" s="163"/>
      <c r="R422" s="163"/>
      <c r="S422" s="163">
        <f t="shared" si="265"/>
        <v>0</v>
      </c>
      <c r="T422" s="163">
        <v>0</v>
      </c>
      <c r="U422" s="163">
        <v>0</v>
      </c>
      <c r="V422" s="163">
        <f t="shared" si="267"/>
        <v>0</v>
      </c>
      <c r="W422" s="163"/>
      <c r="X422" s="163"/>
      <c r="Y422" s="163">
        <f t="shared" si="269"/>
        <v>0</v>
      </c>
      <c r="Z422" s="163"/>
      <c r="AA422" s="163"/>
      <c r="AB422" s="163">
        <f t="shared" si="271"/>
        <v>0</v>
      </c>
      <c r="AC422" s="163">
        <v>20940</v>
      </c>
      <c r="AD422" s="163"/>
      <c r="AE422" s="163">
        <f t="shared" si="273"/>
        <v>-20940</v>
      </c>
    </row>
    <row r="423" spans="1:192" s="159" customFormat="1" ht="31.5" x14ac:dyDescent="0.25">
      <c r="A423" s="178" t="s">
        <v>570</v>
      </c>
      <c r="B423" s="168">
        <v>2</v>
      </c>
      <c r="C423" s="168">
        <v>122</v>
      </c>
      <c r="D423" s="168">
        <v>5301</v>
      </c>
      <c r="E423" s="163">
        <f t="shared" si="339"/>
        <v>36000</v>
      </c>
      <c r="F423" s="163">
        <f t="shared" si="339"/>
        <v>0</v>
      </c>
      <c r="G423" s="163">
        <f t="shared" si="339"/>
        <v>-36000</v>
      </c>
      <c r="H423" s="163"/>
      <c r="I423" s="163"/>
      <c r="J423" s="163">
        <f t="shared" si="303"/>
        <v>0</v>
      </c>
      <c r="K423" s="163"/>
      <c r="L423" s="163"/>
      <c r="M423" s="163">
        <f t="shared" si="261"/>
        <v>0</v>
      </c>
      <c r="N423" s="163">
        <v>36000</v>
      </c>
      <c r="O423" s="163">
        <f>36000-36000</f>
        <v>0</v>
      </c>
      <c r="P423" s="163">
        <f t="shared" si="263"/>
        <v>-36000</v>
      </c>
      <c r="Q423" s="163"/>
      <c r="R423" s="163"/>
      <c r="S423" s="163">
        <f t="shared" si="265"/>
        <v>0</v>
      </c>
      <c r="T423" s="163">
        <v>0</v>
      </c>
      <c r="U423" s="163">
        <v>0</v>
      </c>
      <c r="V423" s="163">
        <f t="shared" si="267"/>
        <v>0</v>
      </c>
      <c r="W423" s="163"/>
      <c r="X423" s="163"/>
      <c r="Y423" s="163">
        <f t="shared" si="269"/>
        <v>0</v>
      </c>
      <c r="Z423" s="163"/>
      <c r="AA423" s="163"/>
      <c r="AB423" s="163">
        <f t="shared" si="271"/>
        <v>0</v>
      </c>
      <c r="AC423" s="163"/>
      <c r="AD423" s="163"/>
      <c r="AE423" s="163">
        <f t="shared" si="273"/>
        <v>0</v>
      </c>
    </row>
    <row r="424" spans="1:192" s="159" customFormat="1" ht="31.5" x14ac:dyDescent="0.25">
      <c r="A424" s="173" t="s">
        <v>571</v>
      </c>
      <c r="B424" s="172">
        <v>2</v>
      </c>
      <c r="C424" s="172">
        <v>122</v>
      </c>
      <c r="D424" s="172">
        <v>5301</v>
      </c>
      <c r="E424" s="170">
        <f t="shared" si="339"/>
        <v>0</v>
      </c>
      <c r="F424" s="170">
        <f t="shared" si="339"/>
        <v>0</v>
      </c>
      <c r="G424" s="170">
        <f t="shared" si="339"/>
        <v>0</v>
      </c>
      <c r="H424" s="170"/>
      <c r="I424" s="170"/>
      <c r="J424" s="170">
        <f t="shared" si="303"/>
        <v>0</v>
      </c>
      <c r="K424" s="170"/>
      <c r="L424" s="170"/>
      <c r="M424" s="170">
        <f t="shared" si="261"/>
        <v>0</v>
      </c>
      <c r="N424" s="170">
        <v>0</v>
      </c>
      <c r="O424" s="170">
        <v>0</v>
      </c>
      <c r="P424" s="170">
        <f t="shared" si="263"/>
        <v>0</v>
      </c>
      <c r="Q424" s="170"/>
      <c r="R424" s="170"/>
      <c r="S424" s="170">
        <f t="shared" si="265"/>
        <v>0</v>
      </c>
      <c r="T424" s="170">
        <v>0</v>
      </c>
      <c r="U424" s="170">
        <v>0</v>
      </c>
      <c r="V424" s="170">
        <f t="shared" si="267"/>
        <v>0</v>
      </c>
      <c r="W424" s="170"/>
      <c r="X424" s="170"/>
      <c r="Y424" s="170">
        <f t="shared" si="269"/>
        <v>0</v>
      </c>
      <c r="Z424" s="170"/>
      <c r="AA424" s="170"/>
      <c r="AB424" s="170">
        <f t="shared" si="271"/>
        <v>0</v>
      </c>
      <c r="AC424" s="170"/>
      <c r="AD424" s="170"/>
      <c r="AE424" s="170">
        <f t="shared" si="273"/>
        <v>0</v>
      </c>
    </row>
    <row r="425" spans="1:192" s="159" customFormat="1" x14ac:dyDescent="0.25">
      <c r="A425" s="157" t="s">
        <v>243</v>
      </c>
      <c r="B425" s="166"/>
      <c r="C425" s="166"/>
      <c r="D425" s="166"/>
      <c r="E425" s="158">
        <f t="shared" si="339"/>
        <v>15327</v>
      </c>
      <c r="F425" s="158">
        <f t="shared" si="339"/>
        <v>15319</v>
      </c>
      <c r="G425" s="158">
        <f t="shared" si="339"/>
        <v>-8</v>
      </c>
      <c r="H425" s="158">
        <f>SUM(H426,H431)</f>
        <v>0</v>
      </c>
      <c r="I425" s="158">
        <f>SUM(I426,I431)</f>
        <v>0</v>
      </c>
      <c r="J425" s="158">
        <f t="shared" si="303"/>
        <v>0</v>
      </c>
      <c r="K425" s="158">
        <f t="shared" ref="K425:L425" si="388">SUM(K426,K431)</f>
        <v>0</v>
      </c>
      <c r="L425" s="158">
        <f t="shared" si="388"/>
        <v>0</v>
      </c>
      <c r="M425" s="158">
        <f t="shared" si="261"/>
        <v>0</v>
      </c>
      <c r="N425" s="158">
        <f t="shared" ref="N425:O425" si="389">SUM(N426,N431)</f>
        <v>0</v>
      </c>
      <c r="O425" s="158">
        <f t="shared" si="389"/>
        <v>0</v>
      </c>
      <c r="P425" s="158">
        <f t="shared" si="263"/>
        <v>0</v>
      </c>
      <c r="Q425" s="158">
        <f t="shared" ref="Q425:R425" si="390">SUM(Q426,Q431)</f>
        <v>996</v>
      </c>
      <c r="R425" s="158">
        <f t="shared" si="390"/>
        <v>996</v>
      </c>
      <c r="S425" s="158">
        <f t="shared" si="265"/>
        <v>0</v>
      </c>
      <c r="T425" s="158">
        <f t="shared" ref="T425:U425" si="391">SUM(T426,T431)</f>
        <v>12396</v>
      </c>
      <c r="U425" s="158">
        <f t="shared" si="391"/>
        <v>12388</v>
      </c>
      <c r="V425" s="158">
        <f t="shared" si="267"/>
        <v>-8</v>
      </c>
      <c r="W425" s="158">
        <f t="shared" ref="W425:X425" si="392">SUM(W426,W431)</f>
        <v>0</v>
      </c>
      <c r="X425" s="158">
        <f t="shared" si="392"/>
        <v>0</v>
      </c>
      <c r="Y425" s="158">
        <f t="shared" si="269"/>
        <v>0</v>
      </c>
      <c r="Z425" s="158">
        <f t="shared" ref="Z425:AA425" si="393">SUM(Z426,Z431)</f>
        <v>1935</v>
      </c>
      <c r="AA425" s="158">
        <f t="shared" si="393"/>
        <v>1935</v>
      </c>
      <c r="AB425" s="158">
        <f t="shared" si="271"/>
        <v>0</v>
      </c>
      <c r="AC425" s="158">
        <f t="shared" ref="AC425:AD425" si="394">SUM(AC426,AC431)</f>
        <v>0</v>
      </c>
      <c r="AD425" s="158">
        <f t="shared" si="394"/>
        <v>0</v>
      </c>
      <c r="AE425" s="158">
        <f t="shared" si="273"/>
        <v>0</v>
      </c>
    </row>
    <row r="426" spans="1:192" s="159" customFormat="1" ht="31.5" x14ac:dyDescent="0.25">
      <c r="A426" s="157" t="s">
        <v>568</v>
      </c>
      <c r="B426" s="166"/>
      <c r="C426" s="166"/>
      <c r="D426" s="166"/>
      <c r="E426" s="158">
        <f t="shared" si="339"/>
        <v>14331</v>
      </c>
      <c r="F426" s="158">
        <f t="shared" si="339"/>
        <v>14323</v>
      </c>
      <c r="G426" s="158">
        <f t="shared" si="339"/>
        <v>-8</v>
      </c>
      <c r="H426" s="158">
        <f>SUM(H427:H430)</f>
        <v>0</v>
      </c>
      <c r="I426" s="158">
        <f>SUM(I427:I430)</f>
        <v>0</v>
      </c>
      <c r="J426" s="158">
        <f t="shared" si="303"/>
        <v>0</v>
      </c>
      <c r="K426" s="158">
        <f t="shared" ref="K426:L426" si="395">SUM(K427:K430)</f>
        <v>0</v>
      </c>
      <c r="L426" s="158">
        <f t="shared" si="395"/>
        <v>0</v>
      </c>
      <c r="M426" s="158">
        <f t="shared" ref="M426:M444" si="396">L426-K426</f>
        <v>0</v>
      </c>
      <c r="N426" s="158">
        <f t="shared" ref="N426:O426" si="397">SUM(N427:N430)</f>
        <v>0</v>
      </c>
      <c r="O426" s="158">
        <f t="shared" si="397"/>
        <v>0</v>
      </c>
      <c r="P426" s="158">
        <f t="shared" ref="P426:P444" si="398">O426-N426</f>
        <v>0</v>
      </c>
      <c r="Q426" s="158">
        <f t="shared" ref="Q426:R426" si="399">SUM(Q427:Q430)</f>
        <v>0</v>
      </c>
      <c r="R426" s="158">
        <f t="shared" si="399"/>
        <v>0</v>
      </c>
      <c r="S426" s="158">
        <f t="shared" ref="S426:S444" si="400">R426-Q426</f>
        <v>0</v>
      </c>
      <c r="T426" s="158">
        <f t="shared" ref="T426:U426" si="401">SUM(T427:T430)</f>
        <v>12396</v>
      </c>
      <c r="U426" s="158">
        <f t="shared" si="401"/>
        <v>12388</v>
      </c>
      <c r="V426" s="158">
        <f t="shared" ref="V426:V444" si="402">U426-T426</f>
        <v>-8</v>
      </c>
      <c r="W426" s="158">
        <f t="shared" ref="W426:X426" si="403">SUM(W427:W430)</f>
        <v>0</v>
      </c>
      <c r="X426" s="158">
        <f t="shared" si="403"/>
        <v>0</v>
      </c>
      <c r="Y426" s="158">
        <f t="shared" ref="Y426:Y444" si="404">X426-W426</f>
        <v>0</v>
      </c>
      <c r="Z426" s="158">
        <f t="shared" ref="Z426:AA426" si="405">SUM(Z427:Z430)</f>
        <v>1935</v>
      </c>
      <c r="AA426" s="158">
        <f t="shared" si="405"/>
        <v>1935</v>
      </c>
      <c r="AB426" s="158">
        <f t="shared" ref="AB426:AB444" si="406">AA426-Z426</f>
        <v>0</v>
      </c>
      <c r="AC426" s="158">
        <f t="shared" ref="AC426:AD426" si="407">SUM(AC427:AC430)</f>
        <v>0</v>
      </c>
      <c r="AD426" s="158">
        <f t="shared" si="407"/>
        <v>0</v>
      </c>
      <c r="AE426" s="158">
        <f t="shared" ref="AE426:AE444" si="408">AD426-AC426</f>
        <v>0</v>
      </c>
    </row>
    <row r="427" spans="1:192" s="159" customFormat="1" ht="47.25" x14ac:dyDescent="0.25">
      <c r="A427" s="167" t="s">
        <v>572</v>
      </c>
      <c r="B427" s="168">
        <v>1</v>
      </c>
      <c r="C427" s="168">
        <v>322</v>
      </c>
      <c r="D427" s="168">
        <v>5301</v>
      </c>
      <c r="E427" s="170">
        <f t="shared" si="339"/>
        <v>1940</v>
      </c>
      <c r="F427" s="170">
        <f t="shared" si="339"/>
        <v>1940</v>
      </c>
      <c r="G427" s="170">
        <f t="shared" si="339"/>
        <v>0</v>
      </c>
      <c r="H427" s="170"/>
      <c r="I427" s="170"/>
      <c r="J427" s="170">
        <f t="shared" si="303"/>
        <v>0</v>
      </c>
      <c r="K427" s="170"/>
      <c r="L427" s="170"/>
      <c r="M427" s="170">
        <f t="shared" si="396"/>
        <v>0</v>
      </c>
      <c r="N427" s="170"/>
      <c r="O427" s="170"/>
      <c r="P427" s="170">
        <f t="shared" si="398"/>
        <v>0</v>
      </c>
      <c r="Q427" s="170"/>
      <c r="R427" s="170"/>
      <c r="S427" s="170">
        <f t="shared" si="400"/>
        <v>0</v>
      </c>
      <c r="T427" s="170">
        <v>1940</v>
      </c>
      <c r="U427" s="170">
        <v>1940</v>
      </c>
      <c r="V427" s="170">
        <f t="shared" si="402"/>
        <v>0</v>
      </c>
      <c r="W427" s="170"/>
      <c r="X427" s="170"/>
      <c r="Y427" s="170">
        <f t="shared" si="404"/>
        <v>0</v>
      </c>
      <c r="Z427" s="170"/>
      <c r="AA427" s="170"/>
      <c r="AB427" s="170">
        <f t="shared" si="406"/>
        <v>0</v>
      </c>
      <c r="AC427" s="170"/>
      <c r="AD427" s="170"/>
      <c r="AE427" s="170">
        <f t="shared" si="408"/>
        <v>0</v>
      </c>
    </row>
    <row r="428" spans="1:192" s="159" customFormat="1" x14ac:dyDescent="0.25">
      <c r="A428" s="167" t="s">
        <v>573</v>
      </c>
      <c r="B428" s="168">
        <v>1</v>
      </c>
      <c r="C428" s="168">
        <v>322</v>
      </c>
      <c r="D428" s="168">
        <v>5301</v>
      </c>
      <c r="E428" s="170">
        <f t="shared" si="339"/>
        <v>396</v>
      </c>
      <c r="F428" s="170">
        <f t="shared" si="339"/>
        <v>396</v>
      </c>
      <c r="G428" s="170">
        <f t="shared" si="339"/>
        <v>0</v>
      </c>
      <c r="H428" s="170"/>
      <c r="I428" s="170"/>
      <c r="J428" s="170">
        <f t="shared" si="303"/>
        <v>0</v>
      </c>
      <c r="K428" s="170"/>
      <c r="L428" s="170"/>
      <c r="M428" s="170">
        <f t="shared" si="396"/>
        <v>0</v>
      </c>
      <c r="N428" s="170"/>
      <c r="O428" s="170"/>
      <c r="P428" s="170">
        <f t="shared" si="398"/>
        <v>0</v>
      </c>
      <c r="Q428" s="170"/>
      <c r="R428" s="170"/>
      <c r="S428" s="170">
        <f t="shared" si="400"/>
        <v>0</v>
      </c>
      <c r="T428" s="170">
        <v>396</v>
      </c>
      <c r="U428" s="170">
        <v>396</v>
      </c>
      <c r="V428" s="170">
        <f t="shared" si="402"/>
        <v>0</v>
      </c>
      <c r="W428" s="170"/>
      <c r="X428" s="170"/>
      <c r="Y428" s="170">
        <f t="shared" si="404"/>
        <v>0</v>
      </c>
      <c r="Z428" s="170"/>
      <c r="AA428" s="170"/>
      <c r="AB428" s="170">
        <f t="shared" si="406"/>
        <v>0</v>
      </c>
      <c r="AC428" s="170"/>
      <c r="AD428" s="170"/>
      <c r="AE428" s="170">
        <f t="shared" si="408"/>
        <v>0</v>
      </c>
    </row>
    <row r="429" spans="1:192" s="159" customFormat="1" ht="31.5" x14ac:dyDescent="0.25">
      <c r="A429" s="167" t="s">
        <v>574</v>
      </c>
      <c r="B429" s="168">
        <v>1</v>
      </c>
      <c r="C429" s="168">
        <v>322</v>
      </c>
      <c r="D429" s="168">
        <v>5301</v>
      </c>
      <c r="E429" s="170">
        <f t="shared" si="339"/>
        <v>1935</v>
      </c>
      <c r="F429" s="170">
        <f t="shared" si="339"/>
        <v>1935</v>
      </c>
      <c r="G429" s="170">
        <f t="shared" si="339"/>
        <v>0</v>
      </c>
      <c r="H429" s="170"/>
      <c r="I429" s="170"/>
      <c r="J429" s="170">
        <f t="shared" si="303"/>
        <v>0</v>
      </c>
      <c r="K429" s="170"/>
      <c r="L429" s="170"/>
      <c r="M429" s="170">
        <f t="shared" si="396"/>
        <v>0</v>
      </c>
      <c r="N429" s="170"/>
      <c r="O429" s="170"/>
      <c r="P429" s="170">
        <f t="shared" si="398"/>
        <v>0</v>
      </c>
      <c r="Q429" s="170"/>
      <c r="R429" s="170"/>
      <c r="S429" s="170">
        <f t="shared" si="400"/>
        <v>0</v>
      </c>
      <c r="T429" s="170"/>
      <c r="U429" s="170"/>
      <c r="V429" s="170">
        <f t="shared" si="402"/>
        <v>0</v>
      </c>
      <c r="W429" s="170"/>
      <c r="X429" s="170"/>
      <c r="Y429" s="170">
        <f t="shared" si="404"/>
        <v>0</v>
      </c>
      <c r="Z429" s="170">
        <v>1935</v>
      </c>
      <c r="AA429" s="170">
        <v>1935</v>
      </c>
      <c r="AB429" s="170">
        <f t="shared" si="406"/>
        <v>0</v>
      </c>
      <c r="AC429" s="170"/>
      <c r="AD429" s="170"/>
      <c r="AE429" s="170">
        <f t="shared" si="408"/>
        <v>0</v>
      </c>
    </row>
    <row r="430" spans="1:192" s="159" customFormat="1" ht="47.25" x14ac:dyDescent="0.25">
      <c r="A430" s="167" t="s">
        <v>575</v>
      </c>
      <c r="B430" s="168">
        <v>1</v>
      </c>
      <c r="C430" s="168">
        <v>322</v>
      </c>
      <c r="D430" s="168">
        <v>5301</v>
      </c>
      <c r="E430" s="170">
        <f t="shared" si="339"/>
        <v>10060</v>
      </c>
      <c r="F430" s="170">
        <f t="shared" si="339"/>
        <v>10052</v>
      </c>
      <c r="G430" s="170">
        <f t="shared" si="339"/>
        <v>-8</v>
      </c>
      <c r="H430" s="170"/>
      <c r="I430" s="170"/>
      <c r="J430" s="170">
        <f t="shared" si="303"/>
        <v>0</v>
      </c>
      <c r="K430" s="170"/>
      <c r="L430" s="170"/>
      <c r="M430" s="170">
        <f t="shared" si="396"/>
        <v>0</v>
      </c>
      <c r="N430" s="170"/>
      <c r="O430" s="170"/>
      <c r="P430" s="170">
        <f t="shared" si="398"/>
        <v>0</v>
      </c>
      <c r="Q430" s="170"/>
      <c r="R430" s="170"/>
      <c r="S430" s="170">
        <f t="shared" si="400"/>
        <v>0</v>
      </c>
      <c r="T430" s="170">
        <v>10060</v>
      </c>
      <c r="U430" s="170">
        <f>10060-8</f>
        <v>10052</v>
      </c>
      <c r="V430" s="170">
        <f t="shared" si="402"/>
        <v>-8</v>
      </c>
      <c r="W430" s="170"/>
      <c r="X430" s="170"/>
      <c r="Y430" s="170">
        <f t="shared" si="404"/>
        <v>0</v>
      </c>
      <c r="Z430" s="170"/>
      <c r="AA430" s="170"/>
      <c r="AB430" s="170">
        <f t="shared" si="406"/>
        <v>0</v>
      </c>
      <c r="AC430" s="170"/>
      <c r="AD430" s="170"/>
      <c r="AE430" s="170">
        <f t="shared" si="408"/>
        <v>0</v>
      </c>
    </row>
    <row r="431" spans="1:192" s="159" customFormat="1" ht="31.5" x14ac:dyDescent="0.25">
      <c r="A431" s="157" t="s">
        <v>576</v>
      </c>
      <c r="B431" s="166"/>
      <c r="C431" s="166"/>
      <c r="D431" s="166"/>
      <c r="E431" s="158">
        <f t="shared" si="339"/>
        <v>996</v>
      </c>
      <c r="F431" s="158">
        <f t="shared" si="339"/>
        <v>996</v>
      </c>
      <c r="G431" s="158">
        <f t="shared" si="339"/>
        <v>0</v>
      </c>
      <c r="H431" s="158">
        <f>SUM(H432)</f>
        <v>0</v>
      </c>
      <c r="I431" s="158">
        <f>SUM(I432)</f>
        <v>0</v>
      </c>
      <c r="J431" s="158">
        <f t="shared" si="303"/>
        <v>0</v>
      </c>
      <c r="K431" s="158">
        <f t="shared" ref="K431:L431" si="409">SUM(K432)</f>
        <v>0</v>
      </c>
      <c r="L431" s="158">
        <f t="shared" si="409"/>
        <v>0</v>
      </c>
      <c r="M431" s="158">
        <f t="shared" si="396"/>
        <v>0</v>
      </c>
      <c r="N431" s="158">
        <f t="shared" ref="N431:O431" si="410">SUM(N432)</f>
        <v>0</v>
      </c>
      <c r="O431" s="158">
        <f t="shared" si="410"/>
        <v>0</v>
      </c>
      <c r="P431" s="158">
        <f t="shared" si="398"/>
        <v>0</v>
      </c>
      <c r="Q431" s="158">
        <f t="shared" ref="Q431:R431" si="411">SUM(Q432)</f>
        <v>996</v>
      </c>
      <c r="R431" s="158">
        <f t="shared" si="411"/>
        <v>996</v>
      </c>
      <c r="S431" s="158">
        <f t="shared" si="400"/>
        <v>0</v>
      </c>
      <c r="T431" s="158">
        <f t="shared" ref="T431:U431" si="412">SUM(T432)</f>
        <v>0</v>
      </c>
      <c r="U431" s="158">
        <f t="shared" si="412"/>
        <v>0</v>
      </c>
      <c r="V431" s="158">
        <f t="shared" si="402"/>
        <v>0</v>
      </c>
      <c r="W431" s="158">
        <f t="shared" ref="W431:X431" si="413">SUM(W432)</f>
        <v>0</v>
      </c>
      <c r="X431" s="158">
        <f t="shared" si="413"/>
        <v>0</v>
      </c>
      <c r="Y431" s="158">
        <f t="shared" si="404"/>
        <v>0</v>
      </c>
      <c r="Z431" s="158">
        <f t="shared" ref="Z431:AA431" si="414">SUM(Z432)</f>
        <v>0</v>
      </c>
      <c r="AA431" s="158">
        <f t="shared" si="414"/>
        <v>0</v>
      </c>
      <c r="AB431" s="158">
        <f t="shared" si="406"/>
        <v>0</v>
      </c>
      <c r="AC431" s="158">
        <f t="shared" ref="AC431:AD431" si="415">SUM(AC432)</f>
        <v>0</v>
      </c>
      <c r="AD431" s="158">
        <f t="shared" si="415"/>
        <v>0</v>
      </c>
      <c r="AE431" s="158">
        <f t="shared" si="408"/>
        <v>0</v>
      </c>
    </row>
    <row r="432" spans="1:192" s="159" customFormat="1" ht="63" x14ac:dyDescent="0.25">
      <c r="A432" s="167" t="s">
        <v>577</v>
      </c>
      <c r="B432" s="168">
        <v>1</v>
      </c>
      <c r="C432" s="168">
        <v>322</v>
      </c>
      <c r="D432" s="168">
        <v>5301</v>
      </c>
      <c r="E432" s="170">
        <f t="shared" si="339"/>
        <v>996</v>
      </c>
      <c r="F432" s="170">
        <f t="shared" si="339"/>
        <v>996</v>
      </c>
      <c r="G432" s="170">
        <f t="shared" si="339"/>
        <v>0</v>
      </c>
      <c r="H432" s="170"/>
      <c r="I432" s="170"/>
      <c r="J432" s="170">
        <f t="shared" si="303"/>
        <v>0</v>
      </c>
      <c r="K432" s="170"/>
      <c r="L432" s="170"/>
      <c r="M432" s="170">
        <f t="shared" si="396"/>
        <v>0</v>
      </c>
      <c r="N432" s="170"/>
      <c r="O432" s="170"/>
      <c r="P432" s="170">
        <f t="shared" si="398"/>
        <v>0</v>
      </c>
      <c r="Q432" s="170">
        <v>996</v>
      </c>
      <c r="R432" s="170">
        <v>996</v>
      </c>
      <c r="S432" s="170">
        <f t="shared" si="400"/>
        <v>0</v>
      </c>
      <c r="T432" s="170"/>
      <c r="U432" s="170"/>
      <c r="V432" s="170">
        <f t="shared" si="402"/>
        <v>0</v>
      </c>
      <c r="W432" s="170"/>
      <c r="X432" s="170"/>
      <c r="Y432" s="170">
        <f t="shared" si="404"/>
        <v>0</v>
      </c>
      <c r="Z432" s="170"/>
      <c r="AA432" s="170"/>
      <c r="AB432" s="170">
        <f t="shared" si="406"/>
        <v>0</v>
      </c>
      <c r="AC432" s="170"/>
      <c r="AD432" s="170"/>
      <c r="AE432" s="170">
        <f t="shared" si="408"/>
        <v>0</v>
      </c>
    </row>
    <row r="433" spans="1:197" s="159" customFormat="1" ht="31.5" x14ac:dyDescent="0.25">
      <c r="A433" s="157" t="s">
        <v>336</v>
      </c>
      <c r="B433" s="166"/>
      <c r="C433" s="166"/>
      <c r="D433" s="166"/>
      <c r="E433" s="158">
        <f t="shared" si="339"/>
        <v>10984</v>
      </c>
      <c r="F433" s="158">
        <f t="shared" si="339"/>
        <v>10984</v>
      </c>
      <c r="G433" s="158">
        <f t="shared" si="339"/>
        <v>0</v>
      </c>
      <c r="H433" s="158">
        <f>SUM(H434)</f>
        <v>0</v>
      </c>
      <c r="I433" s="158">
        <f>SUM(I434)</f>
        <v>0</v>
      </c>
      <c r="J433" s="158">
        <f t="shared" si="303"/>
        <v>0</v>
      </c>
      <c r="K433" s="158">
        <f t="shared" ref="K433:L433" si="416">SUM(K434)</f>
        <v>0</v>
      </c>
      <c r="L433" s="158">
        <f t="shared" si="416"/>
        <v>0</v>
      </c>
      <c r="M433" s="158">
        <f t="shared" si="396"/>
        <v>0</v>
      </c>
      <c r="N433" s="158">
        <f t="shared" ref="N433:O433" si="417">SUM(N434)</f>
        <v>10984</v>
      </c>
      <c r="O433" s="158">
        <f t="shared" si="417"/>
        <v>10984</v>
      </c>
      <c r="P433" s="158">
        <f t="shared" si="398"/>
        <v>0</v>
      </c>
      <c r="Q433" s="158">
        <f t="shared" ref="Q433:R433" si="418">SUM(Q434)</f>
        <v>0</v>
      </c>
      <c r="R433" s="158">
        <f t="shared" si="418"/>
        <v>0</v>
      </c>
      <c r="S433" s="158">
        <f t="shared" si="400"/>
        <v>0</v>
      </c>
      <c r="T433" s="158">
        <f t="shared" ref="T433:U433" si="419">SUM(T434)</f>
        <v>0</v>
      </c>
      <c r="U433" s="158">
        <f t="shared" si="419"/>
        <v>0</v>
      </c>
      <c r="V433" s="158">
        <f t="shared" si="402"/>
        <v>0</v>
      </c>
      <c r="W433" s="158">
        <f t="shared" ref="W433:X433" si="420">SUM(W434)</f>
        <v>0</v>
      </c>
      <c r="X433" s="158">
        <f t="shared" si="420"/>
        <v>0</v>
      </c>
      <c r="Y433" s="158">
        <f t="shared" si="404"/>
        <v>0</v>
      </c>
      <c r="Z433" s="158">
        <f t="shared" ref="Z433:AA433" si="421">SUM(Z434)</f>
        <v>0</v>
      </c>
      <c r="AA433" s="158">
        <f t="shared" si="421"/>
        <v>0</v>
      </c>
      <c r="AB433" s="158">
        <f t="shared" si="406"/>
        <v>0</v>
      </c>
      <c r="AC433" s="158">
        <f t="shared" ref="AC433:AD433" si="422">SUM(AC434)</f>
        <v>0</v>
      </c>
      <c r="AD433" s="158">
        <f t="shared" si="422"/>
        <v>0</v>
      </c>
      <c r="AE433" s="158">
        <f t="shared" si="408"/>
        <v>0</v>
      </c>
      <c r="AF433" s="156"/>
      <c r="AG433" s="156"/>
      <c r="AH433" s="156"/>
      <c r="AI433" s="156"/>
      <c r="AJ433" s="156"/>
      <c r="AK433" s="156"/>
      <c r="AL433" s="156"/>
      <c r="AM433" s="156"/>
      <c r="AN433" s="156"/>
      <c r="AO433" s="156"/>
      <c r="AP433" s="156"/>
      <c r="AQ433" s="156"/>
      <c r="AR433" s="156"/>
      <c r="AS433" s="156"/>
      <c r="AT433" s="156"/>
      <c r="AU433" s="156"/>
      <c r="AV433" s="156"/>
      <c r="AW433" s="156"/>
      <c r="AX433" s="156"/>
      <c r="AY433" s="156"/>
      <c r="AZ433" s="156"/>
      <c r="BA433" s="156"/>
      <c r="BB433" s="156"/>
      <c r="BC433" s="156"/>
      <c r="BD433" s="156"/>
      <c r="BE433" s="156"/>
      <c r="BF433" s="156"/>
      <c r="BG433" s="156"/>
      <c r="BH433" s="156"/>
      <c r="BI433" s="156"/>
      <c r="BJ433" s="156"/>
      <c r="BK433" s="156"/>
      <c r="BL433" s="156"/>
      <c r="BM433" s="156"/>
      <c r="BN433" s="156"/>
      <c r="BO433" s="156"/>
      <c r="BP433" s="156"/>
      <c r="BQ433" s="156"/>
      <c r="BR433" s="156"/>
      <c r="BS433" s="156"/>
      <c r="BT433" s="156"/>
      <c r="BU433" s="156"/>
      <c r="BV433" s="156"/>
      <c r="BW433" s="156"/>
      <c r="BX433" s="156"/>
      <c r="BY433" s="156"/>
      <c r="BZ433" s="156"/>
      <c r="CA433" s="156"/>
      <c r="CB433" s="156"/>
      <c r="CC433" s="156"/>
      <c r="CD433" s="156"/>
      <c r="CE433" s="156"/>
      <c r="CF433" s="156"/>
      <c r="CG433" s="156"/>
      <c r="CH433" s="156"/>
      <c r="CI433" s="156"/>
      <c r="CJ433" s="156"/>
      <c r="CK433" s="156"/>
      <c r="CL433" s="156"/>
      <c r="CM433" s="156"/>
      <c r="CN433" s="156"/>
      <c r="CO433" s="156"/>
      <c r="CP433" s="156"/>
      <c r="CQ433" s="156"/>
      <c r="CR433" s="156"/>
      <c r="CS433" s="156"/>
      <c r="CT433" s="156"/>
      <c r="CU433" s="156"/>
      <c r="CV433" s="156"/>
      <c r="CW433" s="156"/>
      <c r="CX433" s="156"/>
      <c r="CY433" s="156"/>
      <c r="CZ433" s="156"/>
      <c r="DA433" s="156"/>
      <c r="DB433" s="156"/>
      <c r="DC433" s="156"/>
      <c r="DD433" s="156"/>
      <c r="DE433" s="156"/>
      <c r="DF433" s="156"/>
      <c r="DG433" s="156"/>
      <c r="DH433" s="156"/>
      <c r="DI433" s="156"/>
      <c r="DJ433" s="156"/>
      <c r="DK433" s="156"/>
      <c r="DL433" s="156"/>
      <c r="DM433" s="156"/>
      <c r="DN433" s="156"/>
      <c r="DO433" s="156"/>
      <c r="DP433" s="156"/>
      <c r="DQ433" s="156"/>
      <c r="DR433" s="156"/>
      <c r="DS433" s="156"/>
      <c r="DT433" s="156"/>
      <c r="DU433" s="156"/>
      <c r="DV433" s="156"/>
      <c r="DW433" s="156"/>
      <c r="DX433" s="156"/>
      <c r="DY433" s="156"/>
      <c r="DZ433" s="156"/>
      <c r="EA433" s="156"/>
      <c r="EB433" s="156"/>
      <c r="EC433" s="156"/>
      <c r="ED433" s="156"/>
      <c r="EE433" s="156"/>
      <c r="EF433" s="156"/>
      <c r="EG433" s="156"/>
      <c r="EH433" s="156"/>
      <c r="EI433" s="156"/>
      <c r="EJ433" s="156"/>
      <c r="EK433" s="156"/>
      <c r="EL433" s="156"/>
      <c r="EM433" s="156"/>
      <c r="EN433" s="156"/>
      <c r="EO433" s="156"/>
      <c r="EP433" s="156"/>
      <c r="EQ433" s="156"/>
      <c r="ER433" s="156"/>
      <c r="ES433" s="156"/>
      <c r="ET433" s="156"/>
      <c r="EU433" s="156"/>
      <c r="EV433" s="156"/>
      <c r="EW433" s="156"/>
      <c r="EX433" s="156"/>
      <c r="EY433" s="156"/>
      <c r="EZ433" s="156"/>
      <c r="FA433" s="156"/>
      <c r="FB433" s="156"/>
      <c r="FC433" s="156"/>
      <c r="FD433" s="156"/>
      <c r="FE433" s="156"/>
      <c r="FF433" s="156"/>
      <c r="FG433" s="156"/>
      <c r="FH433" s="156"/>
      <c r="FI433" s="156"/>
      <c r="FJ433" s="156"/>
      <c r="FK433" s="156"/>
      <c r="FL433" s="156"/>
      <c r="FM433" s="156"/>
      <c r="FN433" s="156"/>
      <c r="FO433" s="156"/>
      <c r="FP433" s="156"/>
      <c r="FQ433" s="156"/>
      <c r="FR433" s="156"/>
      <c r="FS433" s="156"/>
      <c r="FT433" s="156"/>
      <c r="FU433" s="156"/>
      <c r="FV433" s="156"/>
      <c r="FW433" s="156"/>
      <c r="FX433" s="156"/>
      <c r="FY433" s="156"/>
      <c r="FZ433" s="156"/>
      <c r="GA433" s="156"/>
      <c r="GB433" s="156"/>
      <c r="GC433" s="156"/>
      <c r="GD433" s="156"/>
      <c r="GE433" s="156"/>
      <c r="GF433" s="156"/>
      <c r="GG433" s="156"/>
      <c r="GH433" s="156"/>
      <c r="GI433" s="156"/>
      <c r="GJ433" s="156"/>
    </row>
    <row r="434" spans="1:197" s="159" customFormat="1" ht="31.5" x14ac:dyDescent="0.25">
      <c r="A434" s="157" t="s">
        <v>568</v>
      </c>
      <c r="B434" s="166"/>
      <c r="C434" s="166"/>
      <c r="D434" s="166"/>
      <c r="E434" s="158">
        <f>H434+K434+N434+Q434+T434+W434+AC434+Z434</f>
        <v>10984</v>
      </c>
      <c r="F434" s="158">
        <f t="shared" si="339"/>
        <v>10984</v>
      </c>
      <c r="G434" s="158">
        <f t="shared" si="339"/>
        <v>0</v>
      </c>
      <c r="H434" s="158">
        <f>SUM(H435:H436)</f>
        <v>0</v>
      </c>
      <c r="I434" s="158">
        <f>SUM(I435:I436)</f>
        <v>0</v>
      </c>
      <c r="J434" s="158">
        <f>I434-H434</f>
        <v>0</v>
      </c>
      <c r="K434" s="158">
        <f>SUM(K435:K436)</f>
        <v>0</v>
      </c>
      <c r="L434" s="158">
        <f>SUM(L435:L436)</f>
        <v>0</v>
      </c>
      <c r="M434" s="158">
        <f t="shared" si="396"/>
        <v>0</v>
      </c>
      <c r="N434" s="158">
        <f>SUM(N435:N436)</f>
        <v>10984</v>
      </c>
      <c r="O434" s="158">
        <f>SUM(O435:O436)</f>
        <v>10984</v>
      </c>
      <c r="P434" s="158">
        <f t="shared" si="398"/>
        <v>0</v>
      </c>
      <c r="Q434" s="158">
        <f>SUM(Q435:Q436)</f>
        <v>0</v>
      </c>
      <c r="R434" s="158">
        <f>SUM(R435:R436)</f>
        <v>0</v>
      </c>
      <c r="S434" s="158">
        <f t="shared" si="400"/>
        <v>0</v>
      </c>
      <c r="T434" s="158">
        <f>SUM(T435:T436)</f>
        <v>0</v>
      </c>
      <c r="U434" s="158">
        <f>SUM(U435:U436)</f>
        <v>0</v>
      </c>
      <c r="V434" s="158">
        <f t="shared" si="402"/>
        <v>0</v>
      </c>
      <c r="W434" s="158">
        <f>SUM(W435:W436)</f>
        <v>0</v>
      </c>
      <c r="X434" s="158">
        <f>SUM(X435:X436)</f>
        <v>0</v>
      </c>
      <c r="Y434" s="158">
        <f t="shared" si="404"/>
        <v>0</v>
      </c>
      <c r="Z434" s="158">
        <f>SUM(Z435:Z436)</f>
        <v>0</v>
      </c>
      <c r="AA434" s="158">
        <f>SUM(AA435:AA436)</f>
        <v>0</v>
      </c>
      <c r="AB434" s="158">
        <f t="shared" si="406"/>
        <v>0</v>
      </c>
      <c r="AC434" s="158">
        <f>SUM(AC435:AC436)</f>
        <v>0</v>
      </c>
      <c r="AD434" s="158">
        <f>SUM(AD435:AD436)</f>
        <v>0</v>
      </c>
      <c r="AE434" s="158">
        <f>AD434-AC434</f>
        <v>0</v>
      </c>
    </row>
    <row r="435" spans="1:197" s="159" customFormat="1" ht="31.5" x14ac:dyDescent="0.25">
      <c r="A435" s="161" t="s">
        <v>526</v>
      </c>
      <c r="B435" s="162">
        <v>3</v>
      </c>
      <c r="C435" s="162">
        <v>739</v>
      </c>
      <c r="D435" s="162">
        <v>5301</v>
      </c>
      <c r="E435" s="170">
        <f>H435+K435+N435+Q435+T435+W435+AC435+Z435</f>
        <v>9426</v>
      </c>
      <c r="F435" s="170">
        <f t="shared" si="339"/>
        <v>9426</v>
      </c>
      <c r="G435" s="170">
        <f t="shared" si="339"/>
        <v>0</v>
      </c>
      <c r="H435" s="170"/>
      <c r="I435" s="170"/>
      <c r="J435" s="170">
        <f t="shared" ref="J435" si="423">I435-H435</f>
        <v>0</v>
      </c>
      <c r="K435" s="170"/>
      <c r="L435" s="170"/>
      <c r="M435" s="170">
        <f t="shared" si="396"/>
        <v>0</v>
      </c>
      <c r="N435" s="170">
        <v>9426</v>
      </c>
      <c r="O435" s="170">
        <v>9426</v>
      </c>
      <c r="P435" s="170">
        <f t="shared" si="398"/>
        <v>0</v>
      </c>
      <c r="Q435" s="170"/>
      <c r="R435" s="170"/>
      <c r="S435" s="170">
        <f t="shared" si="400"/>
        <v>0</v>
      </c>
      <c r="T435" s="170"/>
      <c r="U435" s="170"/>
      <c r="V435" s="170">
        <f t="shared" si="402"/>
        <v>0</v>
      </c>
      <c r="W435" s="170"/>
      <c r="X435" s="170"/>
      <c r="Y435" s="170">
        <f t="shared" si="404"/>
        <v>0</v>
      </c>
      <c r="Z435" s="170"/>
      <c r="AA435" s="170"/>
      <c r="AB435" s="170">
        <f t="shared" si="406"/>
        <v>0</v>
      </c>
      <c r="AC435" s="170"/>
      <c r="AD435" s="170"/>
      <c r="AE435" s="170">
        <f t="shared" ref="AE435" si="424">AD435-AC435</f>
        <v>0</v>
      </c>
    </row>
    <row r="436" spans="1:197" s="159" customFormat="1" x14ac:dyDescent="0.25">
      <c r="A436" s="161" t="s">
        <v>578</v>
      </c>
      <c r="B436" s="162">
        <v>1</v>
      </c>
      <c r="C436" s="162">
        <v>751</v>
      </c>
      <c r="D436" s="162">
        <v>5301</v>
      </c>
      <c r="E436" s="170">
        <f t="shared" si="339"/>
        <v>1558</v>
      </c>
      <c r="F436" s="170">
        <f t="shared" si="339"/>
        <v>1558</v>
      </c>
      <c r="G436" s="170">
        <f t="shared" si="339"/>
        <v>0</v>
      </c>
      <c r="H436" s="170"/>
      <c r="I436" s="170"/>
      <c r="J436" s="170">
        <f t="shared" si="303"/>
        <v>0</v>
      </c>
      <c r="K436" s="170"/>
      <c r="L436" s="170"/>
      <c r="M436" s="170">
        <f t="shared" si="396"/>
        <v>0</v>
      </c>
      <c r="N436" s="170">
        <v>1558</v>
      </c>
      <c r="O436" s="170">
        <v>1558</v>
      </c>
      <c r="P436" s="170">
        <f t="shared" si="398"/>
        <v>0</v>
      </c>
      <c r="Q436" s="170"/>
      <c r="R436" s="170"/>
      <c r="S436" s="170">
        <f t="shared" si="400"/>
        <v>0</v>
      </c>
      <c r="T436" s="170"/>
      <c r="U436" s="170"/>
      <c r="V436" s="170">
        <f t="shared" si="402"/>
        <v>0</v>
      </c>
      <c r="W436" s="170"/>
      <c r="X436" s="170"/>
      <c r="Y436" s="170">
        <f t="shared" si="404"/>
        <v>0</v>
      </c>
      <c r="Z436" s="170"/>
      <c r="AA436" s="170"/>
      <c r="AB436" s="170">
        <f t="shared" si="406"/>
        <v>0</v>
      </c>
      <c r="AC436" s="170"/>
      <c r="AD436" s="170"/>
      <c r="AE436" s="170">
        <f t="shared" si="408"/>
        <v>0</v>
      </c>
    </row>
    <row r="437" spans="1:197" s="159" customFormat="1" x14ac:dyDescent="0.25">
      <c r="A437" s="189" t="s">
        <v>579</v>
      </c>
      <c r="B437" s="190"/>
      <c r="C437" s="190"/>
      <c r="D437" s="190"/>
      <c r="E437" s="158">
        <f t="shared" si="339"/>
        <v>74591</v>
      </c>
      <c r="F437" s="158">
        <f t="shared" si="339"/>
        <v>85088</v>
      </c>
      <c r="G437" s="158">
        <f t="shared" si="339"/>
        <v>10497</v>
      </c>
      <c r="H437" s="158">
        <f t="shared" ref="H437:AD437" si="425">SUM(H438)</f>
        <v>0</v>
      </c>
      <c r="I437" s="158">
        <f t="shared" si="425"/>
        <v>0</v>
      </c>
      <c r="J437" s="158">
        <f t="shared" si="303"/>
        <v>0</v>
      </c>
      <c r="K437" s="158">
        <f t="shared" si="425"/>
        <v>0</v>
      </c>
      <c r="L437" s="158">
        <f t="shared" si="425"/>
        <v>0</v>
      </c>
      <c r="M437" s="158">
        <f t="shared" si="396"/>
        <v>0</v>
      </c>
      <c r="N437" s="158">
        <f t="shared" si="425"/>
        <v>74591</v>
      </c>
      <c r="O437" s="158">
        <f t="shared" si="425"/>
        <v>85088</v>
      </c>
      <c r="P437" s="158">
        <f t="shared" si="398"/>
        <v>10497</v>
      </c>
      <c r="Q437" s="158">
        <f t="shared" si="425"/>
        <v>0</v>
      </c>
      <c r="R437" s="158">
        <f t="shared" si="425"/>
        <v>0</v>
      </c>
      <c r="S437" s="158">
        <f t="shared" si="400"/>
        <v>0</v>
      </c>
      <c r="T437" s="158">
        <f t="shared" si="425"/>
        <v>0</v>
      </c>
      <c r="U437" s="158">
        <f t="shared" si="425"/>
        <v>0</v>
      </c>
      <c r="V437" s="158">
        <f t="shared" si="402"/>
        <v>0</v>
      </c>
      <c r="W437" s="158">
        <f t="shared" si="425"/>
        <v>0</v>
      </c>
      <c r="X437" s="158">
        <f t="shared" si="425"/>
        <v>0</v>
      </c>
      <c r="Y437" s="158">
        <f t="shared" si="404"/>
        <v>0</v>
      </c>
      <c r="Z437" s="158">
        <f t="shared" si="425"/>
        <v>0</v>
      </c>
      <c r="AA437" s="158">
        <f t="shared" si="425"/>
        <v>0</v>
      </c>
      <c r="AB437" s="158">
        <f t="shared" si="406"/>
        <v>0</v>
      </c>
      <c r="AC437" s="158">
        <f t="shared" si="425"/>
        <v>0</v>
      </c>
      <c r="AD437" s="158">
        <f t="shared" si="425"/>
        <v>0</v>
      </c>
      <c r="AE437" s="158">
        <f t="shared" si="408"/>
        <v>0</v>
      </c>
    </row>
    <row r="438" spans="1:197" s="159" customFormat="1" ht="31.5" x14ac:dyDescent="0.25">
      <c r="A438" s="157" t="s">
        <v>269</v>
      </c>
      <c r="B438" s="166"/>
      <c r="C438" s="166"/>
      <c r="D438" s="166"/>
      <c r="E438" s="158">
        <f t="shared" si="339"/>
        <v>74591</v>
      </c>
      <c r="F438" s="158">
        <f t="shared" si="339"/>
        <v>85088</v>
      </c>
      <c r="G438" s="158">
        <f>J438+M438+P438+S438+V438+Y438+AE438+AB438</f>
        <v>10497</v>
      </c>
      <c r="H438" s="158">
        <f>SUM(H439:H440)</f>
        <v>0</v>
      </c>
      <c r="I438" s="158">
        <f>SUM(I439:I440)</f>
        <v>0</v>
      </c>
      <c r="J438" s="158">
        <f t="shared" si="303"/>
        <v>0</v>
      </c>
      <c r="K438" s="158">
        <f t="shared" ref="K438:L438" si="426">SUM(K439:K440)</f>
        <v>0</v>
      </c>
      <c r="L438" s="158">
        <f t="shared" si="426"/>
        <v>0</v>
      </c>
      <c r="M438" s="158">
        <f t="shared" si="396"/>
        <v>0</v>
      </c>
      <c r="N438" s="158">
        <f t="shared" ref="N438:O438" si="427">SUM(N439:N440)</f>
        <v>74591</v>
      </c>
      <c r="O438" s="158">
        <f t="shared" si="427"/>
        <v>85088</v>
      </c>
      <c r="P438" s="158">
        <f t="shared" si="398"/>
        <v>10497</v>
      </c>
      <c r="Q438" s="158">
        <f t="shared" ref="Q438:R438" si="428">SUM(Q439:Q440)</f>
        <v>0</v>
      </c>
      <c r="R438" s="158">
        <f t="shared" si="428"/>
        <v>0</v>
      </c>
      <c r="S438" s="158">
        <f t="shared" si="400"/>
        <v>0</v>
      </c>
      <c r="T438" s="158">
        <f t="shared" ref="T438:U438" si="429">SUM(T439:T440)</f>
        <v>0</v>
      </c>
      <c r="U438" s="158">
        <f t="shared" si="429"/>
        <v>0</v>
      </c>
      <c r="V438" s="158">
        <f t="shared" si="402"/>
        <v>0</v>
      </c>
      <c r="W438" s="158">
        <f t="shared" ref="W438:X438" si="430">SUM(W439:W440)</f>
        <v>0</v>
      </c>
      <c r="X438" s="158">
        <f t="shared" si="430"/>
        <v>0</v>
      </c>
      <c r="Y438" s="158">
        <f t="shared" si="404"/>
        <v>0</v>
      </c>
      <c r="Z438" s="158">
        <f t="shared" ref="Z438:AA438" si="431">SUM(Z439:Z440)</f>
        <v>0</v>
      </c>
      <c r="AA438" s="158">
        <f t="shared" si="431"/>
        <v>0</v>
      </c>
      <c r="AB438" s="158">
        <f t="shared" si="406"/>
        <v>0</v>
      </c>
      <c r="AC438" s="158">
        <f t="shared" ref="AC438:AD438" si="432">SUM(AC439:AC440)</f>
        <v>0</v>
      </c>
      <c r="AD438" s="158">
        <f t="shared" si="432"/>
        <v>0</v>
      </c>
      <c r="AE438" s="158">
        <f t="shared" si="408"/>
        <v>0</v>
      </c>
    </row>
    <row r="439" spans="1:197" s="159" customFormat="1" ht="47.25" x14ac:dyDescent="0.25">
      <c r="A439" s="175" t="s">
        <v>580</v>
      </c>
      <c r="B439" s="168">
        <v>2</v>
      </c>
      <c r="C439" s="168">
        <v>606</v>
      </c>
      <c r="D439" s="168">
        <v>5400</v>
      </c>
      <c r="E439" s="170">
        <f t="shared" si="339"/>
        <v>67953</v>
      </c>
      <c r="F439" s="170">
        <f t="shared" si="339"/>
        <v>67953</v>
      </c>
      <c r="G439" s="170">
        <f t="shared" si="339"/>
        <v>0</v>
      </c>
      <c r="H439" s="170"/>
      <c r="I439" s="170"/>
      <c r="J439" s="170">
        <f t="shared" si="303"/>
        <v>0</v>
      </c>
      <c r="K439" s="170"/>
      <c r="L439" s="170"/>
      <c r="M439" s="170">
        <f t="shared" si="396"/>
        <v>0</v>
      </c>
      <c r="N439" s="170">
        <f>58500+9453</f>
        <v>67953</v>
      </c>
      <c r="O439" s="170">
        <f>58500+9453</f>
        <v>67953</v>
      </c>
      <c r="P439" s="170">
        <f t="shared" si="398"/>
        <v>0</v>
      </c>
      <c r="Q439" s="170"/>
      <c r="R439" s="170"/>
      <c r="S439" s="170">
        <f t="shared" si="400"/>
        <v>0</v>
      </c>
      <c r="T439" s="170"/>
      <c r="U439" s="170"/>
      <c r="V439" s="170">
        <f t="shared" si="402"/>
        <v>0</v>
      </c>
      <c r="W439" s="170"/>
      <c r="X439" s="170"/>
      <c r="Y439" s="170">
        <f t="shared" si="404"/>
        <v>0</v>
      </c>
      <c r="Z439" s="170"/>
      <c r="AA439" s="170"/>
      <c r="AB439" s="170">
        <f t="shared" si="406"/>
        <v>0</v>
      </c>
      <c r="AC439" s="188"/>
      <c r="AD439" s="188"/>
      <c r="AE439" s="170">
        <f t="shared" si="408"/>
        <v>0</v>
      </c>
      <c r="FQ439" s="156"/>
      <c r="FR439" s="156"/>
      <c r="FS439" s="156"/>
      <c r="FT439" s="156"/>
      <c r="FU439" s="156"/>
      <c r="FV439" s="156"/>
      <c r="FW439" s="156"/>
      <c r="FX439" s="156"/>
      <c r="FY439" s="156"/>
      <c r="FZ439" s="156"/>
      <c r="GA439" s="156"/>
      <c r="GB439" s="156"/>
      <c r="GC439" s="156"/>
      <c r="GD439" s="156"/>
      <c r="GE439" s="156"/>
      <c r="GF439" s="156"/>
      <c r="GG439" s="156"/>
      <c r="GH439" s="156"/>
      <c r="GI439" s="156"/>
      <c r="GJ439" s="156"/>
    </row>
    <row r="440" spans="1:197" s="159" customFormat="1" ht="31.5" x14ac:dyDescent="0.25">
      <c r="A440" s="175" t="s">
        <v>581</v>
      </c>
      <c r="B440" s="168">
        <v>2</v>
      </c>
      <c r="C440" s="168">
        <v>619</v>
      </c>
      <c r="D440" s="168">
        <v>5400</v>
      </c>
      <c r="E440" s="170">
        <f t="shared" si="339"/>
        <v>6638</v>
      </c>
      <c r="F440" s="170">
        <f t="shared" si="339"/>
        <v>17135</v>
      </c>
      <c r="G440" s="170">
        <f t="shared" si="339"/>
        <v>10497</v>
      </c>
      <c r="H440" s="170"/>
      <c r="I440" s="170"/>
      <c r="J440" s="170">
        <f t="shared" ref="J440:J444" si="433">I440-H440</f>
        <v>0</v>
      </c>
      <c r="K440" s="170"/>
      <c r="L440" s="170"/>
      <c r="M440" s="170">
        <f t="shared" si="396"/>
        <v>0</v>
      </c>
      <c r="N440" s="170">
        <v>6638</v>
      </c>
      <c r="O440" s="170">
        <f>6638+10497</f>
        <v>17135</v>
      </c>
      <c r="P440" s="170">
        <f t="shared" si="398"/>
        <v>10497</v>
      </c>
      <c r="Q440" s="170"/>
      <c r="R440" s="170"/>
      <c r="S440" s="170">
        <f t="shared" si="400"/>
        <v>0</v>
      </c>
      <c r="T440" s="170"/>
      <c r="U440" s="170"/>
      <c r="V440" s="170">
        <f t="shared" si="402"/>
        <v>0</v>
      </c>
      <c r="W440" s="170"/>
      <c r="X440" s="170"/>
      <c r="Y440" s="170">
        <f t="shared" si="404"/>
        <v>0</v>
      </c>
      <c r="Z440" s="170"/>
      <c r="AA440" s="170"/>
      <c r="AB440" s="170">
        <f t="shared" si="406"/>
        <v>0</v>
      </c>
      <c r="AC440" s="188"/>
      <c r="AD440" s="188"/>
      <c r="AE440" s="170">
        <f t="shared" si="408"/>
        <v>0</v>
      </c>
      <c r="FQ440" s="156"/>
      <c r="FR440" s="156"/>
      <c r="FS440" s="156"/>
      <c r="FT440" s="156"/>
      <c r="FU440" s="156"/>
      <c r="FV440" s="156"/>
      <c r="FW440" s="156"/>
      <c r="FX440" s="156"/>
      <c r="FY440" s="156"/>
      <c r="FZ440" s="156"/>
      <c r="GA440" s="156"/>
      <c r="GB440" s="156"/>
      <c r="GC440" s="156"/>
      <c r="GD440" s="156"/>
      <c r="GE440" s="156"/>
      <c r="GF440" s="156"/>
      <c r="GG440" s="156"/>
      <c r="GH440" s="156"/>
      <c r="GI440" s="156"/>
      <c r="GJ440" s="156"/>
    </row>
    <row r="441" spans="1:197" s="159" customFormat="1" x14ac:dyDescent="0.25">
      <c r="A441" s="189" t="s">
        <v>582</v>
      </c>
      <c r="B441" s="190"/>
      <c r="C441" s="190"/>
      <c r="D441" s="190"/>
      <c r="E441" s="158">
        <f t="shared" ref="E441:G444" si="434">H441+K441+N441+Q441+T441+W441+Z441+AC441</f>
        <v>1057854</v>
      </c>
      <c r="F441" s="158">
        <f t="shared" si="434"/>
        <v>1057854</v>
      </c>
      <c r="G441" s="158">
        <f t="shared" si="434"/>
        <v>0</v>
      </c>
      <c r="H441" s="158">
        <f t="shared" ref="H441:U443" si="435">SUM(H442)</f>
        <v>0</v>
      </c>
      <c r="I441" s="158">
        <f t="shared" si="435"/>
        <v>0</v>
      </c>
      <c r="J441" s="158">
        <f t="shared" si="433"/>
        <v>0</v>
      </c>
      <c r="K441" s="158">
        <f t="shared" si="435"/>
        <v>0</v>
      </c>
      <c r="L441" s="158">
        <f t="shared" si="435"/>
        <v>0</v>
      </c>
      <c r="M441" s="158">
        <f t="shared" si="396"/>
        <v>0</v>
      </c>
      <c r="N441" s="158">
        <f t="shared" si="435"/>
        <v>0</v>
      </c>
      <c r="O441" s="158">
        <f t="shared" si="435"/>
        <v>0</v>
      </c>
      <c r="P441" s="158">
        <f t="shared" si="398"/>
        <v>0</v>
      </c>
      <c r="Q441" s="158">
        <f t="shared" si="435"/>
        <v>1057854</v>
      </c>
      <c r="R441" s="158">
        <f t="shared" si="435"/>
        <v>1057854</v>
      </c>
      <c r="S441" s="158">
        <f t="shared" si="400"/>
        <v>0</v>
      </c>
      <c r="T441" s="158">
        <f t="shared" si="435"/>
        <v>0</v>
      </c>
      <c r="U441" s="158">
        <f t="shared" si="435"/>
        <v>0</v>
      </c>
      <c r="V441" s="158">
        <f t="shared" si="402"/>
        <v>0</v>
      </c>
      <c r="W441" s="158">
        <f t="shared" ref="W441:AD443" si="436">SUM(W442)</f>
        <v>0</v>
      </c>
      <c r="X441" s="158">
        <f t="shared" si="436"/>
        <v>0</v>
      </c>
      <c r="Y441" s="158">
        <f t="shared" si="404"/>
        <v>0</v>
      </c>
      <c r="Z441" s="158">
        <f t="shared" si="436"/>
        <v>0</v>
      </c>
      <c r="AA441" s="158">
        <f t="shared" si="436"/>
        <v>0</v>
      </c>
      <c r="AB441" s="158">
        <f t="shared" si="406"/>
        <v>0</v>
      </c>
      <c r="AC441" s="158">
        <f t="shared" si="436"/>
        <v>0</v>
      </c>
      <c r="AD441" s="158">
        <f t="shared" si="436"/>
        <v>0</v>
      </c>
      <c r="AE441" s="158">
        <f t="shared" si="408"/>
        <v>0</v>
      </c>
    </row>
    <row r="442" spans="1:197" s="159" customFormat="1" x14ac:dyDescent="0.25">
      <c r="A442" s="157" t="s">
        <v>357</v>
      </c>
      <c r="B442" s="166"/>
      <c r="C442" s="166"/>
      <c r="D442" s="166"/>
      <c r="E442" s="158">
        <f t="shared" si="434"/>
        <v>1057854</v>
      </c>
      <c r="F442" s="158">
        <f t="shared" si="434"/>
        <v>1057854</v>
      </c>
      <c r="G442" s="158">
        <f t="shared" si="434"/>
        <v>0</v>
      </c>
      <c r="H442" s="158">
        <f t="shared" si="435"/>
        <v>0</v>
      </c>
      <c r="I442" s="158">
        <f t="shared" si="435"/>
        <v>0</v>
      </c>
      <c r="J442" s="158">
        <f t="shared" si="433"/>
        <v>0</v>
      </c>
      <c r="K442" s="158">
        <f t="shared" si="435"/>
        <v>0</v>
      </c>
      <c r="L442" s="158">
        <f t="shared" si="435"/>
        <v>0</v>
      </c>
      <c r="M442" s="158">
        <f t="shared" si="396"/>
        <v>0</v>
      </c>
      <c r="N442" s="158">
        <f t="shared" si="435"/>
        <v>0</v>
      </c>
      <c r="O442" s="158">
        <f t="shared" si="435"/>
        <v>0</v>
      </c>
      <c r="P442" s="158">
        <f t="shared" si="398"/>
        <v>0</v>
      </c>
      <c r="Q442" s="158">
        <f t="shared" si="435"/>
        <v>1057854</v>
      </c>
      <c r="R442" s="158">
        <f t="shared" si="435"/>
        <v>1057854</v>
      </c>
      <c r="S442" s="158">
        <f t="shared" si="400"/>
        <v>0</v>
      </c>
      <c r="T442" s="158">
        <f t="shared" si="435"/>
        <v>0</v>
      </c>
      <c r="U442" s="158">
        <f t="shared" si="435"/>
        <v>0</v>
      </c>
      <c r="V442" s="158">
        <f t="shared" si="402"/>
        <v>0</v>
      </c>
      <c r="W442" s="158">
        <f t="shared" si="436"/>
        <v>0</v>
      </c>
      <c r="X442" s="158">
        <f t="shared" si="436"/>
        <v>0</v>
      </c>
      <c r="Y442" s="158">
        <f t="shared" si="404"/>
        <v>0</v>
      </c>
      <c r="Z442" s="158">
        <f t="shared" si="436"/>
        <v>0</v>
      </c>
      <c r="AA442" s="158">
        <f t="shared" si="436"/>
        <v>0</v>
      </c>
      <c r="AB442" s="158">
        <f t="shared" si="406"/>
        <v>0</v>
      </c>
      <c r="AC442" s="158">
        <f t="shared" si="436"/>
        <v>0</v>
      </c>
      <c r="AD442" s="158">
        <f t="shared" si="436"/>
        <v>0</v>
      </c>
      <c r="AE442" s="158">
        <f t="shared" si="408"/>
        <v>0</v>
      </c>
    </row>
    <row r="443" spans="1:197" s="159" customFormat="1" ht="31.5" x14ac:dyDescent="0.25">
      <c r="A443" s="189" t="s">
        <v>583</v>
      </c>
      <c r="B443" s="190"/>
      <c r="C443" s="190"/>
      <c r="D443" s="190"/>
      <c r="E443" s="158">
        <f t="shared" si="434"/>
        <v>1057854</v>
      </c>
      <c r="F443" s="158">
        <f t="shared" si="434"/>
        <v>1057854</v>
      </c>
      <c r="G443" s="158">
        <f t="shared" si="434"/>
        <v>0</v>
      </c>
      <c r="H443" s="158">
        <f t="shared" si="435"/>
        <v>0</v>
      </c>
      <c r="I443" s="158">
        <f t="shared" si="435"/>
        <v>0</v>
      </c>
      <c r="J443" s="158">
        <f t="shared" si="433"/>
        <v>0</v>
      </c>
      <c r="K443" s="158">
        <f t="shared" si="435"/>
        <v>0</v>
      </c>
      <c r="L443" s="158">
        <f t="shared" si="435"/>
        <v>0</v>
      </c>
      <c r="M443" s="158">
        <f t="shared" si="396"/>
        <v>0</v>
      </c>
      <c r="N443" s="158">
        <f t="shared" si="435"/>
        <v>0</v>
      </c>
      <c r="O443" s="158">
        <f t="shared" si="435"/>
        <v>0</v>
      </c>
      <c r="P443" s="158">
        <f t="shared" si="398"/>
        <v>0</v>
      </c>
      <c r="Q443" s="158">
        <f t="shared" si="435"/>
        <v>1057854</v>
      </c>
      <c r="R443" s="158">
        <f t="shared" si="435"/>
        <v>1057854</v>
      </c>
      <c r="S443" s="158">
        <f t="shared" si="400"/>
        <v>0</v>
      </c>
      <c r="T443" s="158">
        <f t="shared" si="435"/>
        <v>0</v>
      </c>
      <c r="U443" s="158">
        <f t="shared" si="435"/>
        <v>0</v>
      </c>
      <c r="V443" s="158">
        <f t="shared" si="402"/>
        <v>0</v>
      </c>
      <c r="W443" s="158">
        <f t="shared" si="436"/>
        <v>0</v>
      </c>
      <c r="X443" s="158">
        <f t="shared" si="436"/>
        <v>0</v>
      </c>
      <c r="Y443" s="158">
        <f t="shared" si="404"/>
        <v>0</v>
      </c>
      <c r="Z443" s="158">
        <f t="shared" si="436"/>
        <v>0</v>
      </c>
      <c r="AA443" s="158">
        <f t="shared" si="436"/>
        <v>0</v>
      </c>
      <c r="AB443" s="158">
        <f t="shared" si="406"/>
        <v>0</v>
      </c>
      <c r="AC443" s="158">
        <f t="shared" si="436"/>
        <v>0</v>
      </c>
      <c r="AD443" s="158">
        <f t="shared" si="436"/>
        <v>0</v>
      </c>
      <c r="AE443" s="158">
        <f t="shared" si="408"/>
        <v>0</v>
      </c>
    </row>
    <row r="444" spans="1:197" s="159" customFormat="1" ht="63" x14ac:dyDescent="0.25">
      <c r="A444" s="175" t="s">
        <v>584</v>
      </c>
      <c r="B444" s="168"/>
      <c r="C444" s="168"/>
      <c r="D444" s="168"/>
      <c r="E444" s="170">
        <f t="shared" si="434"/>
        <v>1057854</v>
      </c>
      <c r="F444" s="170">
        <f t="shared" si="434"/>
        <v>1057854</v>
      </c>
      <c r="G444" s="170">
        <f t="shared" si="434"/>
        <v>0</v>
      </c>
      <c r="H444" s="170"/>
      <c r="I444" s="170"/>
      <c r="J444" s="170">
        <f t="shared" si="433"/>
        <v>0</v>
      </c>
      <c r="K444" s="170"/>
      <c r="L444" s="170"/>
      <c r="M444" s="170">
        <f t="shared" si="396"/>
        <v>0</v>
      </c>
      <c r="N444" s="170"/>
      <c r="O444" s="170"/>
      <c r="P444" s="170">
        <f t="shared" si="398"/>
        <v>0</v>
      </c>
      <c r="Q444" s="170">
        <v>1057854</v>
      </c>
      <c r="R444" s="170">
        <v>1057854</v>
      </c>
      <c r="S444" s="170">
        <f t="shared" si="400"/>
        <v>0</v>
      </c>
      <c r="T444" s="170"/>
      <c r="U444" s="170"/>
      <c r="V444" s="170">
        <f t="shared" si="402"/>
        <v>0</v>
      </c>
      <c r="W444" s="170"/>
      <c r="X444" s="170"/>
      <c r="Y444" s="170">
        <f t="shared" si="404"/>
        <v>0</v>
      </c>
      <c r="Z444" s="170"/>
      <c r="AA444" s="170"/>
      <c r="AB444" s="170">
        <f t="shared" si="406"/>
        <v>0</v>
      </c>
      <c r="AC444" s="188">
        <v>0</v>
      </c>
      <c r="AD444" s="188">
        <v>0</v>
      </c>
      <c r="AE444" s="170">
        <f t="shared" si="408"/>
        <v>0</v>
      </c>
      <c r="FV444" s="156"/>
      <c r="FW444" s="156"/>
      <c r="FX444" s="156"/>
      <c r="FY444" s="156"/>
      <c r="FZ444" s="156"/>
      <c r="GA444" s="156"/>
      <c r="GB444" s="156"/>
      <c r="GC444" s="156"/>
      <c r="GD444" s="156"/>
      <c r="GE444" s="156"/>
      <c r="GF444" s="156"/>
      <c r="GG444" s="156"/>
      <c r="GH444" s="156"/>
      <c r="GI444" s="156"/>
      <c r="GJ444" s="156"/>
      <c r="GK444" s="156"/>
      <c r="GL444" s="156"/>
      <c r="GM444" s="156"/>
      <c r="GN444" s="156"/>
      <c r="GO444" s="156"/>
    </row>
    <row r="456" spans="1:192" s="191" customFormat="1" x14ac:dyDescent="0.25">
      <c r="A456" s="1" t="s">
        <v>186</v>
      </c>
      <c r="B456" s="139"/>
      <c r="C456" s="139"/>
      <c r="D456" s="139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  <c r="Y456" s="140"/>
      <c r="Z456" s="140"/>
      <c r="AA456" s="140"/>
      <c r="AB456" s="140"/>
      <c r="AC456" s="140"/>
      <c r="AD456" s="140"/>
      <c r="AE456" s="140"/>
      <c r="AF456" s="140"/>
      <c r="AG456" s="140"/>
      <c r="AH456" s="140"/>
      <c r="AI456" s="140"/>
      <c r="AJ456" s="140"/>
      <c r="AK456" s="140"/>
      <c r="AL456" s="140"/>
      <c r="AM456" s="140"/>
      <c r="AN456" s="140"/>
      <c r="AO456" s="140"/>
      <c r="AP456" s="140"/>
      <c r="AQ456" s="140"/>
      <c r="AR456" s="140"/>
      <c r="AS456" s="140"/>
      <c r="AT456" s="140"/>
      <c r="AU456" s="140"/>
      <c r="AV456" s="140"/>
      <c r="AW456" s="140"/>
      <c r="AX456" s="140"/>
      <c r="AY456" s="140"/>
      <c r="AZ456" s="140"/>
      <c r="BA456" s="140"/>
      <c r="BB456" s="140"/>
      <c r="BC456" s="140"/>
      <c r="BD456" s="140"/>
      <c r="BE456" s="140"/>
      <c r="BF456" s="140"/>
      <c r="BG456" s="140"/>
      <c r="BH456" s="140"/>
      <c r="BI456" s="140"/>
      <c r="BJ456" s="140"/>
      <c r="BK456" s="140"/>
      <c r="BL456" s="140"/>
      <c r="BM456" s="140"/>
      <c r="BN456" s="140"/>
      <c r="BO456" s="140"/>
      <c r="BP456" s="140"/>
      <c r="BQ456" s="140"/>
      <c r="BR456" s="140"/>
      <c r="BS456" s="140"/>
      <c r="BT456" s="140"/>
      <c r="BU456" s="140"/>
      <c r="BV456" s="140"/>
      <c r="BW456" s="140"/>
      <c r="BX456" s="140"/>
      <c r="BY456" s="140"/>
      <c r="BZ456" s="140"/>
      <c r="CA456" s="140"/>
      <c r="CB456" s="140"/>
      <c r="CC456" s="140"/>
      <c r="CD456" s="140"/>
      <c r="CE456" s="140"/>
      <c r="CF456" s="140"/>
      <c r="CG456" s="140"/>
      <c r="CH456" s="140"/>
      <c r="CI456" s="140"/>
      <c r="CJ456" s="140"/>
      <c r="CK456" s="140"/>
      <c r="CL456" s="140"/>
      <c r="CM456" s="140"/>
      <c r="CN456" s="140"/>
      <c r="CO456" s="140"/>
      <c r="CP456" s="140"/>
      <c r="CQ456" s="140"/>
      <c r="CR456" s="140"/>
      <c r="CS456" s="140"/>
      <c r="CT456" s="140"/>
      <c r="CU456" s="140"/>
      <c r="CV456" s="140"/>
      <c r="CW456" s="140"/>
      <c r="CX456" s="140"/>
      <c r="CY456" s="140"/>
      <c r="CZ456" s="140"/>
      <c r="DA456" s="140"/>
      <c r="DB456" s="140"/>
      <c r="DC456" s="140"/>
      <c r="DD456" s="140"/>
      <c r="DE456" s="140"/>
      <c r="DF456" s="140"/>
      <c r="DG456" s="140"/>
      <c r="DH456" s="140"/>
      <c r="DI456" s="140"/>
      <c r="DJ456" s="140"/>
      <c r="DK456" s="140"/>
      <c r="DL456" s="140"/>
      <c r="DM456" s="140"/>
      <c r="DN456" s="140"/>
      <c r="DO456" s="140"/>
      <c r="DP456" s="140"/>
      <c r="DQ456" s="140"/>
      <c r="DR456" s="140"/>
      <c r="DS456" s="140"/>
      <c r="DT456" s="140"/>
      <c r="DU456" s="140"/>
      <c r="DV456" s="140"/>
      <c r="DW456" s="140"/>
      <c r="DX456" s="140"/>
      <c r="DY456" s="140"/>
      <c r="DZ456" s="140"/>
      <c r="EA456" s="140"/>
      <c r="EB456" s="140"/>
      <c r="EC456" s="140"/>
      <c r="ED456" s="140"/>
      <c r="EE456" s="140"/>
      <c r="EF456" s="140"/>
      <c r="EG456" s="140"/>
      <c r="EH456" s="140"/>
      <c r="EI456" s="140"/>
      <c r="EJ456" s="140"/>
      <c r="EK456" s="140"/>
      <c r="EL456" s="140"/>
      <c r="EM456" s="140"/>
      <c r="EN456" s="140"/>
      <c r="EO456" s="140"/>
      <c r="EP456" s="140"/>
      <c r="EQ456" s="140"/>
      <c r="ER456" s="140"/>
      <c r="ES456" s="140"/>
      <c r="ET456" s="140"/>
      <c r="EU456" s="140"/>
      <c r="EV456" s="140"/>
      <c r="EW456" s="140"/>
      <c r="EX456" s="140"/>
      <c r="EY456" s="140"/>
      <c r="EZ456" s="140"/>
      <c r="FA456" s="140"/>
      <c r="FB456" s="140"/>
      <c r="FC456" s="140"/>
      <c r="FD456" s="140"/>
      <c r="FE456" s="140"/>
      <c r="FF456" s="140"/>
      <c r="FG456" s="140"/>
      <c r="FH456" s="140"/>
      <c r="FI456" s="140"/>
      <c r="FJ456" s="140"/>
      <c r="FK456" s="140"/>
      <c r="FL456" s="140"/>
      <c r="FM456" s="140"/>
      <c r="FN456" s="140"/>
      <c r="FO456" s="140"/>
      <c r="FP456" s="140"/>
      <c r="FQ456" s="140"/>
      <c r="FR456" s="140"/>
      <c r="FS456" s="140"/>
      <c r="FT456" s="140"/>
      <c r="FU456" s="140"/>
      <c r="FV456" s="140"/>
      <c r="FW456" s="140"/>
      <c r="FX456" s="140"/>
      <c r="FY456" s="140"/>
      <c r="FZ456" s="140"/>
      <c r="GA456" s="140"/>
      <c r="GB456" s="140"/>
      <c r="GC456" s="140"/>
      <c r="GD456" s="140"/>
      <c r="GE456" s="140"/>
      <c r="GF456" s="140"/>
      <c r="GG456" s="140"/>
      <c r="GH456" s="140"/>
      <c r="GI456" s="140"/>
      <c r="GJ456" s="140"/>
    </row>
    <row r="457" spans="1:192" s="191" customFormat="1" x14ac:dyDescent="0.25">
      <c r="A457" s="127" t="s">
        <v>187</v>
      </c>
      <c r="B457" s="139"/>
      <c r="C457" s="139"/>
      <c r="D457" s="139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  <c r="Y457" s="140"/>
      <c r="Z457" s="140"/>
      <c r="AA457" s="140"/>
      <c r="AB457" s="140"/>
      <c r="AC457" s="140"/>
      <c r="AD457" s="140"/>
      <c r="AE457" s="140"/>
      <c r="AF457" s="140"/>
      <c r="AG457" s="140"/>
      <c r="AH457" s="140"/>
      <c r="AI457" s="140"/>
      <c r="AJ457" s="140"/>
      <c r="AK457" s="140"/>
      <c r="AL457" s="140"/>
      <c r="AM457" s="140"/>
      <c r="AN457" s="140"/>
      <c r="AO457" s="140"/>
      <c r="AP457" s="140"/>
      <c r="AQ457" s="140"/>
      <c r="AR457" s="140"/>
      <c r="AS457" s="140"/>
      <c r="AT457" s="140"/>
      <c r="AU457" s="140"/>
      <c r="AV457" s="140"/>
      <c r="AW457" s="140"/>
      <c r="AX457" s="140"/>
      <c r="AY457" s="140"/>
      <c r="AZ457" s="140"/>
      <c r="BA457" s="140"/>
      <c r="BB457" s="140"/>
      <c r="BC457" s="140"/>
      <c r="BD457" s="140"/>
      <c r="BE457" s="140"/>
      <c r="BF457" s="140"/>
      <c r="BG457" s="140"/>
      <c r="BH457" s="140"/>
      <c r="BI457" s="140"/>
      <c r="BJ457" s="140"/>
      <c r="BK457" s="140"/>
      <c r="BL457" s="140"/>
      <c r="BM457" s="140"/>
      <c r="BN457" s="140"/>
      <c r="BO457" s="140"/>
      <c r="BP457" s="140"/>
      <c r="BQ457" s="140"/>
      <c r="BR457" s="140"/>
      <c r="BS457" s="140"/>
      <c r="BT457" s="140"/>
      <c r="BU457" s="140"/>
      <c r="BV457" s="140"/>
      <c r="BW457" s="140"/>
      <c r="BX457" s="140"/>
      <c r="BY457" s="140"/>
      <c r="BZ457" s="140"/>
      <c r="CA457" s="140"/>
      <c r="CB457" s="140"/>
      <c r="CC457" s="140"/>
      <c r="CD457" s="140"/>
      <c r="CE457" s="140"/>
      <c r="CF457" s="140"/>
      <c r="CG457" s="140"/>
      <c r="CH457" s="140"/>
      <c r="CI457" s="140"/>
      <c r="CJ457" s="140"/>
      <c r="CK457" s="140"/>
      <c r="CL457" s="140"/>
      <c r="CM457" s="140"/>
      <c r="CN457" s="140"/>
      <c r="CO457" s="140"/>
      <c r="CP457" s="140"/>
      <c r="CQ457" s="140"/>
      <c r="CR457" s="140"/>
      <c r="CS457" s="140"/>
      <c r="CT457" s="140"/>
      <c r="CU457" s="140"/>
      <c r="CV457" s="140"/>
      <c r="CW457" s="140"/>
      <c r="CX457" s="140"/>
      <c r="CY457" s="140"/>
      <c r="CZ457" s="140"/>
      <c r="DA457" s="140"/>
      <c r="DB457" s="140"/>
      <c r="DC457" s="140"/>
      <c r="DD457" s="140"/>
      <c r="DE457" s="140"/>
      <c r="DF457" s="140"/>
      <c r="DG457" s="140"/>
      <c r="DH457" s="140"/>
      <c r="DI457" s="140"/>
      <c r="DJ457" s="140"/>
      <c r="DK457" s="140"/>
      <c r="DL457" s="140"/>
      <c r="DM457" s="140"/>
      <c r="DN457" s="140"/>
      <c r="DO457" s="140"/>
      <c r="DP457" s="140"/>
      <c r="DQ457" s="140"/>
      <c r="DR457" s="140"/>
      <c r="DS457" s="140"/>
      <c r="DT457" s="140"/>
      <c r="DU457" s="140"/>
      <c r="DV457" s="140"/>
      <c r="DW457" s="140"/>
      <c r="DX457" s="140"/>
      <c r="DY457" s="140"/>
      <c r="DZ457" s="140"/>
      <c r="EA457" s="140"/>
      <c r="EB457" s="140"/>
      <c r="EC457" s="140"/>
      <c r="ED457" s="140"/>
      <c r="EE457" s="140"/>
      <c r="EF457" s="140"/>
      <c r="EG457" s="140"/>
      <c r="EH457" s="140"/>
      <c r="EI457" s="140"/>
      <c r="EJ457" s="140"/>
      <c r="EK457" s="140"/>
      <c r="EL457" s="140"/>
      <c r="EM457" s="140"/>
      <c r="EN457" s="140"/>
      <c r="EO457" s="140"/>
      <c r="EP457" s="140"/>
      <c r="EQ457" s="140"/>
      <c r="ER457" s="140"/>
      <c r="ES457" s="140"/>
      <c r="ET457" s="140"/>
      <c r="EU457" s="140"/>
      <c r="EV457" s="140"/>
      <c r="EW457" s="140"/>
      <c r="EX457" s="140"/>
      <c r="EY457" s="140"/>
      <c r="EZ457" s="140"/>
      <c r="FA457" s="140"/>
      <c r="FB457" s="140"/>
      <c r="FC457" s="140"/>
      <c r="FD457" s="140"/>
      <c r="FE457" s="140"/>
      <c r="FF457" s="140"/>
      <c r="FG457" s="140"/>
      <c r="FH457" s="140"/>
      <c r="FI457" s="140"/>
      <c r="FJ457" s="140"/>
      <c r="FK457" s="140"/>
      <c r="FL457" s="140"/>
      <c r="FM457" s="140"/>
      <c r="FN457" s="140"/>
      <c r="FO457" s="140"/>
      <c r="FP457" s="140"/>
      <c r="FQ457" s="140"/>
      <c r="FR457" s="140"/>
      <c r="FS457" s="140"/>
      <c r="FT457" s="140"/>
      <c r="FU457" s="140"/>
      <c r="FV457" s="140"/>
      <c r="FW457" s="140"/>
      <c r="FX457" s="140"/>
      <c r="FY457" s="140"/>
      <c r="FZ457" s="140"/>
      <c r="GA457" s="140"/>
      <c r="GB457" s="140"/>
      <c r="GC457" s="140"/>
      <c r="GD457" s="140"/>
      <c r="GE457" s="140"/>
      <c r="GF457" s="140"/>
      <c r="GG457" s="140"/>
      <c r="GH457" s="140"/>
      <c r="GI457" s="140"/>
      <c r="GJ457" s="140"/>
    </row>
    <row r="458" spans="1:192" s="193" customFormat="1" x14ac:dyDescent="0.25">
      <c r="A458" s="192"/>
      <c r="B458" s="139"/>
      <c r="C458" s="139"/>
      <c r="D458" s="139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  <c r="Y458" s="140"/>
      <c r="Z458" s="140"/>
      <c r="AA458" s="140"/>
      <c r="AB458" s="140"/>
      <c r="AC458" s="140"/>
      <c r="AD458" s="140"/>
      <c r="AE458" s="140"/>
      <c r="AF458" s="140"/>
      <c r="AG458" s="140"/>
      <c r="AH458" s="140"/>
      <c r="AI458" s="140"/>
      <c r="AJ458" s="140"/>
      <c r="AK458" s="140"/>
      <c r="AL458" s="140"/>
      <c r="AM458" s="140"/>
      <c r="AN458" s="140"/>
      <c r="AO458" s="140"/>
      <c r="AP458" s="140"/>
      <c r="AQ458" s="140"/>
      <c r="AR458" s="140"/>
      <c r="AS458" s="140"/>
      <c r="AT458" s="140"/>
      <c r="AU458" s="140"/>
      <c r="AV458" s="140"/>
      <c r="AW458" s="140"/>
      <c r="AX458" s="140"/>
      <c r="AY458" s="140"/>
      <c r="AZ458" s="140"/>
      <c r="BA458" s="140"/>
      <c r="BB458" s="140"/>
      <c r="BC458" s="140"/>
      <c r="BD458" s="140"/>
      <c r="BE458" s="140"/>
      <c r="BF458" s="140"/>
      <c r="BG458" s="140"/>
      <c r="BH458" s="140"/>
      <c r="BI458" s="140"/>
      <c r="BJ458" s="140"/>
      <c r="BK458" s="140"/>
      <c r="BL458" s="140"/>
      <c r="BM458" s="140"/>
      <c r="BN458" s="140"/>
      <c r="BO458" s="140"/>
      <c r="BP458" s="140"/>
      <c r="BQ458" s="140"/>
      <c r="BR458" s="140"/>
      <c r="BS458" s="140"/>
      <c r="BT458" s="140"/>
      <c r="BU458" s="140"/>
      <c r="BV458" s="140"/>
      <c r="BW458" s="140"/>
      <c r="BX458" s="140"/>
      <c r="BY458" s="140"/>
      <c r="BZ458" s="140"/>
      <c r="CA458" s="140"/>
      <c r="CB458" s="140"/>
      <c r="CC458" s="140"/>
      <c r="CD458" s="140"/>
      <c r="CE458" s="140"/>
      <c r="CF458" s="140"/>
      <c r="CG458" s="140"/>
      <c r="CH458" s="140"/>
      <c r="CI458" s="140"/>
      <c r="CJ458" s="140"/>
      <c r="CK458" s="140"/>
      <c r="CL458" s="140"/>
      <c r="CM458" s="140"/>
      <c r="CN458" s="140"/>
      <c r="CO458" s="140"/>
      <c r="CP458" s="140"/>
      <c r="CQ458" s="140"/>
      <c r="CR458" s="140"/>
      <c r="CS458" s="140"/>
      <c r="CT458" s="140"/>
      <c r="CU458" s="140"/>
      <c r="CV458" s="140"/>
      <c r="CW458" s="140"/>
      <c r="CX458" s="140"/>
      <c r="CY458" s="140"/>
      <c r="CZ458" s="140"/>
      <c r="DA458" s="140"/>
      <c r="DB458" s="140"/>
      <c r="DC458" s="140"/>
      <c r="DD458" s="140"/>
      <c r="DE458" s="140"/>
      <c r="DF458" s="140"/>
      <c r="DG458" s="140"/>
      <c r="DH458" s="140"/>
      <c r="DI458" s="140"/>
      <c r="DJ458" s="140"/>
      <c r="DK458" s="140"/>
      <c r="DL458" s="140"/>
      <c r="DM458" s="140"/>
      <c r="DN458" s="140"/>
      <c r="DO458" s="140"/>
      <c r="DP458" s="140"/>
      <c r="DQ458" s="140"/>
      <c r="DR458" s="140"/>
      <c r="DS458" s="140"/>
      <c r="DT458" s="140"/>
      <c r="DU458" s="140"/>
      <c r="DV458" s="140"/>
      <c r="DW458" s="140"/>
      <c r="DX458" s="140"/>
      <c r="DY458" s="140"/>
      <c r="DZ458" s="140"/>
      <c r="EA458" s="140"/>
      <c r="EB458" s="140"/>
      <c r="EC458" s="140"/>
      <c r="ED458" s="140"/>
      <c r="EE458" s="140"/>
      <c r="EF458" s="140"/>
      <c r="EG458" s="140"/>
      <c r="EH458" s="140"/>
      <c r="EI458" s="140"/>
      <c r="EJ458" s="140"/>
      <c r="EK458" s="140"/>
      <c r="EL458" s="140"/>
      <c r="EM458" s="140"/>
      <c r="EN458" s="140"/>
      <c r="EO458" s="140"/>
      <c r="EP458" s="140"/>
      <c r="EQ458" s="140"/>
      <c r="ER458" s="140"/>
      <c r="ES458" s="140"/>
      <c r="ET458" s="140"/>
      <c r="EU458" s="140"/>
      <c r="EV458" s="140"/>
      <c r="EW458" s="140"/>
      <c r="EX458" s="140"/>
      <c r="EY458" s="140"/>
      <c r="EZ458" s="140"/>
      <c r="FA458" s="140"/>
      <c r="FB458" s="140"/>
      <c r="FC458" s="140"/>
      <c r="FD458" s="140"/>
      <c r="FE458" s="140"/>
      <c r="FF458" s="140"/>
      <c r="FG458" s="140"/>
      <c r="FH458" s="140"/>
      <c r="FI458" s="140"/>
      <c r="FJ458" s="140"/>
      <c r="FK458" s="140"/>
      <c r="FL458" s="140"/>
      <c r="FM458" s="140"/>
      <c r="FN458" s="140"/>
      <c r="FO458" s="140"/>
      <c r="FP458" s="140"/>
      <c r="FQ458" s="140"/>
      <c r="FR458" s="140"/>
      <c r="FS458" s="140"/>
      <c r="FT458" s="140"/>
      <c r="FU458" s="140"/>
      <c r="FV458" s="140"/>
      <c r="FW458" s="140"/>
      <c r="FX458" s="140"/>
      <c r="FY458" s="140"/>
      <c r="FZ458" s="140"/>
      <c r="GA458" s="140"/>
      <c r="GB458" s="140"/>
      <c r="GC458" s="140"/>
      <c r="GD458" s="140"/>
      <c r="GE458" s="140"/>
      <c r="GF458" s="140"/>
      <c r="GG458" s="140"/>
      <c r="GH458" s="140"/>
      <c r="GI458" s="140"/>
      <c r="GJ458" s="140"/>
    </row>
    <row r="459" spans="1:192" x14ac:dyDescent="0.25">
      <c r="A459" s="193" t="s">
        <v>188</v>
      </c>
    </row>
    <row r="460" spans="1:192" x14ac:dyDescent="0.25">
      <c r="A460" s="194" t="s">
        <v>585</v>
      </c>
    </row>
    <row r="461" spans="1:192" x14ac:dyDescent="0.25">
      <c r="A461" s="195" t="s">
        <v>586</v>
      </c>
    </row>
    <row r="462" spans="1:192" s="139" customFormat="1" x14ac:dyDescent="0.25">
      <c r="A462" s="193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  <c r="Y462" s="140"/>
      <c r="Z462" s="140"/>
      <c r="AA462" s="140"/>
      <c r="AB462" s="140"/>
      <c r="AC462" s="140"/>
      <c r="AD462" s="140"/>
      <c r="AE462" s="140"/>
      <c r="AF462" s="140"/>
      <c r="AG462" s="140"/>
      <c r="AH462" s="140"/>
      <c r="AI462" s="140"/>
      <c r="AJ462" s="140"/>
      <c r="AK462" s="140"/>
      <c r="AL462" s="140"/>
      <c r="AM462" s="140"/>
      <c r="AN462" s="140"/>
      <c r="AO462" s="140"/>
      <c r="AP462" s="140"/>
      <c r="AQ462" s="140"/>
      <c r="AR462" s="140"/>
      <c r="AS462" s="140"/>
      <c r="AT462" s="140"/>
      <c r="AU462" s="140"/>
      <c r="AV462" s="140"/>
      <c r="AW462" s="140"/>
      <c r="AX462" s="140"/>
      <c r="AY462" s="140"/>
      <c r="AZ462" s="140"/>
      <c r="BA462" s="140"/>
      <c r="BB462" s="140"/>
      <c r="BC462" s="140"/>
      <c r="BD462" s="140"/>
      <c r="BE462" s="140"/>
      <c r="BF462" s="140"/>
      <c r="BG462" s="140"/>
      <c r="BH462" s="140"/>
      <c r="BI462" s="140"/>
      <c r="BJ462" s="140"/>
      <c r="BK462" s="140"/>
      <c r="BL462" s="140"/>
      <c r="BM462" s="140"/>
      <c r="BN462" s="140"/>
      <c r="BO462" s="140"/>
      <c r="BP462" s="140"/>
      <c r="BQ462" s="140"/>
      <c r="BR462" s="140"/>
      <c r="BS462" s="140"/>
      <c r="BT462" s="140"/>
      <c r="BU462" s="140"/>
      <c r="BV462" s="140"/>
      <c r="BW462" s="140"/>
      <c r="BX462" s="140"/>
      <c r="BY462" s="140"/>
      <c r="BZ462" s="140"/>
      <c r="CA462" s="140"/>
      <c r="CB462" s="140"/>
      <c r="CC462" s="140"/>
      <c r="CD462" s="140"/>
      <c r="CE462" s="140"/>
      <c r="CF462" s="140"/>
      <c r="CG462" s="140"/>
      <c r="CH462" s="140"/>
      <c r="CI462" s="140"/>
      <c r="CJ462" s="140"/>
      <c r="CK462" s="140"/>
      <c r="CL462" s="140"/>
      <c r="CM462" s="140"/>
      <c r="CN462" s="140"/>
      <c r="CO462" s="140"/>
      <c r="CP462" s="140"/>
      <c r="CQ462" s="140"/>
      <c r="CR462" s="140"/>
      <c r="CS462" s="140"/>
      <c r="CT462" s="140"/>
      <c r="CU462" s="140"/>
      <c r="CV462" s="140"/>
      <c r="CW462" s="140"/>
      <c r="CX462" s="140"/>
      <c r="CY462" s="140"/>
      <c r="CZ462" s="140"/>
      <c r="DA462" s="140"/>
      <c r="DB462" s="140"/>
      <c r="DC462" s="140"/>
      <c r="DD462" s="140"/>
      <c r="DE462" s="140"/>
      <c r="DF462" s="140"/>
      <c r="DG462" s="140"/>
      <c r="DH462" s="140"/>
      <c r="DI462" s="140"/>
      <c r="DJ462" s="140"/>
      <c r="DK462" s="140"/>
      <c r="DL462" s="140"/>
      <c r="DM462" s="140"/>
      <c r="DN462" s="140"/>
      <c r="DO462" s="140"/>
      <c r="DP462" s="140"/>
      <c r="DQ462" s="140"/>
      <c r="DR462" s="140"/>
      <c r="DS462" s="140"/>
      <c r="DT462" s="140"/>
      <c r="DU462" s="140"/>
      <c r="DV462" s="140"/>
      <c r="DW462" s="140"/>
      <c r="DX462" s="140"/>
      <c r="DY462" s="140"/>
      <c r="DZ462" s="140"/>
      <c r="EA462" s="140"/>
      <c r="EB462" s="140"/>
      <c r="EC462" s="140"/>
      <c r="ED462" s="140"/>
      <c r="EE462" s="140"/>
      <c r="EF462" s="140"/>
      <c r="EG462" s="140"/>
      <c r="EH462" s="140"/>
      <c r="EI462" s="140"/>
      <c r="EJ462" s="140"/>
      <c r="EK462" s="140"/>
      <c r="EL462" s="140"/>
      <c r="EM462" s="140"/>
      <c r="EN462" s="140"/>
      <c r="EO462" s="140"/>
      <c r="EP462" s="140"/>
      <c r="EQ462" s="140"/>
      <c r="ER462" s="140"/>
      <c r="ES462" s="140"/>
      <c r="ET462" s="140"/>
      <c r="EU462" s="140"/>
      <c r="EV462" s="140"/>
      <c r="EW462" s="140"/>
      <c r="EX462" s="140"/>
      <c r="EY462" s="140"/>
      <c r="EZ462" s="140"/>
      <c r="FA462" s="140"/>
      <c r="FB462" s="140"/>
      <c r="FC462" s="140"/>
      <c r="FD462" s="140"/>
      <c r="FE462" s="140"/>
      <c r="FF462" s="140"/>
      <c r="FG462" s="140"/>
      <c r="FH462" s="140"/>
      <c r="FI462" s="140"/>
      <c r="FJ462" s="140"/>
      <c r="FK462" s="140"/>
      <c r="FL462" s="140"/>
      <c r="FM462" s="140"/>
      <c r="FN462" s="140"/>
      <c r="FO462" s="140"/>
      <c r="FP462" s="140"/>
      <c r="FQ462" s="140"/>
      <c r="FR462" s="140"/>
      <c r="FS462" s="140"/>
      <c r="FT462" s="140"/>
      <c r="FU462" s="140"/>
      <c r="FV462" s="140"/>
      <c r="FW462" s="140"/>
      <c r="FX462" s="140"/>
      <c r="FY462" s="140"/>
      <c r="FZ462" s="140"/>
      <c r="GA462" s="140"/>
      <c r="GB462" s="140"/>
      <c r="GC462" s="140"/>
      <c r="GD462" s="140"/>
      <c r="GE462" s="140"/>
      <c r="GF462" s="140"/>
      <c r="GG462" s="140"/>
      <c r="GH462" s="140"/>
      <c r="GI462" s="140"/>
      <c r="GJ462" s="140"/>
    </row>
    <row r="463" spans="1:192" s="139" customFormat="1" x14ac:dyDescent="0.25">
      <c r="A463" s="196" t="s">
        <v>587</v>
      </c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  <c r="Y463" s="140"/>
      <c r="Z463" s="140"/>
      <c r="AA463" s="140"/>
      <c r="AB463" s="140"/>
      <c r="AC463" s="140"/>
      <c r="AD463" s="140"/>
      <c r="AE463" s="140"/>
      <c r="AF463" s="140"/>
      <c r="AG463" s="140"/>
      <c r="AH463" s="140"/>
      <c r="AI463" s="140"/>
      <c r="AJ463" s="140"/>
      <c r="AK463" s="140"/>
      <c r="AL463" s="140"/>
      <c r="AM463" s="140"/>
      <c r="AN463" s="140"/>
      <c r="AO463" s="140"/>
      <c r="AP463" s="140"/>
      <c r="AQ463" s="140"/>
      <c r="AR463" s="140"/>
      <c r="AS463" s="140"/>
      <c r="AT463" s="140"/>
      <c r="AU463" s="140"/>
      <c r="AV463" s="140"/>
      <c r="AW463" s="140"/>
      <c r="AX463" s="140"/>
      <c r="AY463" s="140"/>
      <c r="AZ463" s="140"/>
      <c r="BA463" s="140"/>
      <c r="BB463" s="140"/>
      <c r="BC463" s="140"/>
      <c r="BD463" s="140"/>
      <c r="BE463" s="140"/>
      <c r="BF463" s="140"/>
      <c r="BG463" s="140"/>
      <c r="BH463" s="140"/>
      <c r="BI463" s="140"/>
      <c r="BJ463" s="140"/>
      <c r="BK463" s="140"/>
      <c r="BL463" s="140"/>
      <c r="BM463" s="140"/>
      <c r="BN463" s="140"/>
      <c r="BO463" s="140"/>
      <c r="BP463" s="140"/>
      <c r="BQ463" s="140"/>
      <c r="BR463" s="140"/>
      <c r="BS463" s="140"/>
      <c r="BT463" s="140"/>
      <c r="BU463" s="140"/>
      <c r="BV463" s="140"/>
      <c r="BW463" s="140"/>
      <c r="BX463" s="140"/>
      <c r="BY463" s="140"/>
      <c r="BZ463" s="140"/>
      <c r="CA463" s="140"/>
      <c r="CB463" s="140"/>
      <c r="CC463" s="140"/>
      <c r="CD463" s="140"/>
      <c r="CE463" s="140"/>
      <c r="CF463" s="140"/>
      <c r="CG463" s="140"/>
      <c r="CH463" s="140"/>
      <c r="CI463" s="140"/>
      <c r="CJ463" s="140"/>
      <c r="CK463" s="140"/>
      <c r="CL463" s="140"/>
      <c r="CM463" s="140"/>
      <c r="CN463" s="140"/>
      <c r="CO463" s="140"/>
      <c r="CP463" s="140"/>
      <c r="CQ463" s="140"/>
      <c r="CR463" s="140"/>
      <c r="CS463" s="140"/>
      <c r="CT463" s="140"/>
      <c r="CU463" s="140"/>
      <c r="CV463" s="140"/>
      <c r="CW463" s="140"/>
      <c r="CX463" s="140"/>
      <c r="CY463" s="140"/>
      <c r="CZ463" s="140"/>
      <c r="DA463" s="140"/>
      <c r="DB463" s="140"/>
      <c r="DC463" s="140"/>
      <c r="DD463" s="140"/>
      <c r="DE463" s="140"/>
      <c r="DF463" s="140"/>
      <c r="DG463" s="140"/>
      <c r="DH463" s="140"/>
      <c r="DI463" s="140"/>
      <c r="DJ463" s="140"/>
      <c r="DK463" s="140"/>
      <c r="DL463" s="140"/>
      <c r="DM463" s="140"/>
      <c r="DN463" s="140"/>
      <c r="DO463" s="140"/>
      <c r="DP463" s="140"/>
      <c r="DQ463" s="140"/>
      <c r="DR463" s="140"/>
      <c r="DS463" s="140"/>
      <c r="DT463" s="140"/>
      <c r="DU463" s="140"/>
      <c r="DV463" s="140"/>
      <c r="DW463" s="140"/>
      <c r="DX463" s="140"/>
      <c r="DY463" s="140"/>
      <c r="DZ463" s="140"/>
      <c r="EA463" s="140"/>
      <c r="EB463" s="140"/>
      <c r="EC463" s="140"/>
      <c r="ED463" s="140"/>
      <c r="EE463" s="140"/>
      <c r="EF463" s="140"/>
      <c r="EG463" s="140"/>
      <c r="EH463" s="140"/>
      <c r="EI463" s="140"/>
      <c r="EJ463" s="140"/>
      <c r="EK463" s="140"/>
      <c r="EL463" s="140"/>
      <c r="EM463" s="140"/>
      <c r="EN463" s="140"/>
      <c r="EO463" s="140"/>
      <c r="EP463" s="140"/>
      <c r="EQ463" s="140"/>
      <c r="ER463" s="140"/>
      <c r="ES463" s="140"/>
      <c r="ET463" s="140"/>
      <c r="EU463" s="140"/>
      <c r="EV463" s="140"/>
      <c r="EW463" s="140"/>
      <c r="EX463" s="140"/>
      <c r="EY463" s="140"/>
      <c r="EZ463" s="140"/>
      <c r="FA463" s="140"/>
      <c r="FB463" s="140"/>
      <c r="FC463" s="140"/>
      <c r="FD463" s="140"/>
      <c r="FE463" s="140"/>
      <c r="FF463" s="140"/>
      <c r="FG463" s="140"/>
      <c r="FH463" s="140"/>
      <c r="FI463" s="140"/>
      <c r="FJ463" s="140"/>
      <c r="FK463" s="140"/>
      <c r="FL463" s="140"/>
      <c r="FM463" s="140"/>
      <c r="FN463" s="140"/>
      <c r="FO463" s="140"/>
      <c r="FP463" s="140"/>
      <c r="FQ463" s="140"/>
      <c r="FR463" s="140"/>
      <c r="FS463" s="140"/>
      <c r="FT463" s="140"/>
      <c r="FU463" s="140"/>
      <c r="FV463" s="140"/>
      <c r="FW463" s="140"/>
      <c r="FX463" s="140"/>
      <c r="FY463" s="140"/>
      <c r="FZ463" s="140"/>
      <c r="GA463" s="140"/>
      <c r="GB463" s="140"/>
      <c r="GC463" s="140"/>
      <c r="GD463" s="140"/>
      <c r="GE463" s="140"/>
      <c r="GF463" s="140"/>
      <c r="GG463" s="140"/>
      <c r="GH463" s="140"/>
      <c r="GI463" s="140"/>
      <c r="GJ463" s="140"/>
    </row>
    <row r="464" spans="1:192" s="139" customFormat="1" x14ac:dyDescent="0.25">
      <c r="A464" s="197" t="s">
        <v>588</v>
      </c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  <c r="Y464" s="140"/>
      <c r="Z464" s="140"/>
      <c r="AA464" s="140"/>
      <c r="AB464" s="140"/>
      <c r="AC464" s="140"/>
      <c r="AD464" s="140"/>
      <c r="AE464" s="140"/>
      <c r="AF464" s="140"/>
      <c r="AG464" s="140"/>
      <c r="AH464" s="140"/>
      <c r="AI464" s="140"/>
      <c r="AJ464" s="140"/>
      <c r="AK464" s="140"/>
      <c r="AL464" s="140"/>
      <c r="AM464" s="140"/>
      <c r="AN464" s="140"/>
      <c r="AO464" s="140"/>
      <c r="AP464" s="140"/>
      <c r="AQ464" s="140"/>
      <c r="AR464" s="140"/>
      <c r="AS464" s="140"/>
      <c r="AT464" s="140"/>
      <c r="AU464" s="140"/>
      <c r="AV464" s="140"/>
      <c r="AW464" s="140"/>
      <c r="AX464" s="140"/>
      <c r="AY464" s="140"/>
      <c r="AZ464" s="140"/>
      <c r="BA464" s="140"/>
      <c r="BB464" s="140"/>
      <c r="BC464" s="140"/>
      <c r="BD464" s="140"/>
      <c r="BE464" s="140"/>
      <c r="BF464" s="140"/>
      <c r="BG464" s="140"/>
      <c r="BH464" s="140"/>
      <c r="BI464" s="140"/>
      <c r="BJ464" s="140"/>
      <c r="BK464" s="140"/>
      <c r="BL464" s="140"/>
      <c r="BM464" s="140"/>
      <c r="BN464" s="140"/>
      <c r="BO464" s="140"/>
      <c r="BP464" s="140"/>
      <c r="BQ464" s="140"/>
      <c r="BR464" s="140"/>
      <c r="BS464" s="140"/>
      <c r="BT464" s="140"/>
      <c r="BU464" s="140"/>
      <c r="BV464" s="140"/>
      <c r="BW464" s="140"/>
      <c r="BX464" s="140"/>
      <c r="BY464" s="140"/>
      <c r="BZ464" s="140"/>
      <c r="CA464" s="140"/>
      <c r="CB464" s="140"/>
      <c r="CC464" s="140"/>
      <c r="CD464" s="140"/>
      <c r="CE464" s="140"/>
      <c r="CF464" s="140"/>
      <c r="CG464" s="140"/>
      <c r="CH464" s="140"/>
      <c r="CI464" s="140"/>
      <c r="CJ464" s="140"/>
      <c r="CK464" s="140"/>
      <c r="CL464" s="140"/>
      <c r="CM464" s="140"/>
      <c r="CN464" s="140"/>
      <c r="CO464" s="140"/>
      <c r="CP464" s="140"/>
      <c r="CQ464" s="140"/>
      <c r="CR464" s="140"/>
      <c r="CS464" s="140"/>
      <c r="CT464" s="140"/>
      <c r="CU464" s="140"/>
      <c r="CV464" s="140"/>
      <c r="CW464" s="140"/>
      <c r="CX464" s="140"/>
      <c r="CY464" s="140"/>
      <c r="CZ464" s="140"/>
      <c r="DA464" s="140"/>
      <c r="DB464" s="140"/>
      <c r="DC464" s="140"/>
      <c r="DD464" s="140"/>
      <c r="DE464" s="140"/>
      <c r="DF464" s="140"/>
      <c r="DG464" s="140"/>
      <c r="DH464" s="140"/>
      <c r="DI464" s="140"/>
      <c r="DJ464" s="140"/>
      <c r="DK464" s="140"/>
      <c r="DL464" s="140"/>
      <c r="DM464" s="140"/>
      <c r="DN464" s="140"/>
      <c r="DO464" s="140"/>
      <c r="DP464" s="140"/>
      <c r="DQ464" s="140"/>
      <c r="DR464" s="140"/>
      <c r="DS464" s="140"/>
      <c r="DT464" s="140"/>
      <c r="DU464" s="140"/>
      <c r="DV464" s="140"/>
      <c r="DW464" s="140"/>
      <c r="DX464" s="140"/>
      <c r="DY464" s="140"/>
      <c r="DZ464" s="140"/>
      <c r="EA464" s="140"/>
      <c r="EB464" s="140"/>
      <c r="EC464" s="140"/>
      <c r="ED464" s="140"/>
      <c r="EE464" s="140"/>
      <c r="EF464" s="140"/>
      <c r="EG464" s="140"/>
      <c r="EH464" s="140"/>
      <c r="EI464" s="140"/>
      <c r="EJ464" s="140"/>
      <c r="EK464" s="140"/>
      <c r="EL464" s="140"/>
      <c r="EM464" s="140"/>
      <c r="EN464" s="140"/>
      <c r="EO464" s="140"/>
      <c r="EP464" s="140"/>
      <c r="EQ464" s="140"/>
      <c r="ER464" s="140"/>
      <c r="ES464" s="140"/>
      <c r="ET464" s="140"/>
      <c r="EU464" s="140"/>
      <c r="EV464" s="140"/>
      <c r="EW464" s="140"/>
      <c r="EX464" s="140"/>
      <c r="EY464" s="140"/>
      <c r="EZ464" s="140"/>
      <c r="FA464" s="140"/>
      <c r="FB464" s="140"/>
      <c r="FC464" s="140"/>
      <c r="FD464" s="140"/>
      <c r="FE464" s="140"/>
      <c r="FF464" s="140"/>
      <c r="FG464" s="140"/>
      <c r="FH464" s="140"/>
      <c r="FI464" s="140"/>
      <c r="FJ464" s="140"/>
      <c r="FK464" s="140"/>
      <c r="FL464" s="140"/>
      <c r="FM464" s="140"/>
      <c r="FN464" s="140"/>
      <c r="FO464" s="140"/>
      <c r="FP464" s="140"/>
      <c r="FQ464" s="140"/>
      <c r="FR464" s="140"/>
      <c r="FS464" s="140"/>
      <c r="FT464" s="140"/>
      <c r="FU464" s="140"/>
      <c r="FV464" s="140"/>
      <c r="FW464" s="140"/>
      <c r="FX464" s="140"/>
      <c r="FY464" s="140"/>
      <c r="FZ464" s="140"/>
      <c r="GA464" s="140"/>
      <c r="GB464" s="140"/>
      <c r="GC464" s="140"/>
      <c r="GD464" s="140"/>
      <c r="GE464" s="140"/>
      <c r="GF464" s="140"/>
      <c r="GG464" s="140"/>
      <c r="GH464" s="140"/>
      <c r="GI464" s="140"/>
      <c r="GJ464" s="140"/>
    </row>
    <row r="465" spans="1:192" s="139" customFormat="1" x14ac:dyDescent="0.25">
      <c r="A465" s="198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  <c r="Y465" s="140"/>
      <c r="Z465" s="140"/>
      <c r="AA465" s="140"/>
      <c r="AB465" s="140"/>
      <c r="AC465" s="140"/>
      <c r="AD465" s="140"/>
      <c r="AE465" s="140"/>
      <c r="AF465" s="140"/>
      <c r="AG465" s="140"/>
      <c r="AH465" s="140"/>
      <c r="AI465" s="140"/>
      <c r="AJ465" s="140"/>
      <c r="AK465" s="140"/>
      <c r="AL465" s="140"/>
      <c r="AM465" s="140"/>
      <c r="AN465" s="140"/>
      <c r="AO465" s="140"/>
      <c r="AP465" s="140"/>
      <c r="AQ465" s="140"/>
      <c r="AR465" s="140"/>
      <c r="AS465" s="140"/>
      <c r="AT465" s="140"/>
      <c r="AU465" s="140"/>
      <c r="AV465" s="140"/>
      <c r="AW465" s="140"/>
      <c r="AX465" s="140"/>
      <c r="AY465" s="140"/>
      <c r="AZ465" s="140"/>
      <c r="BA465" s="140"/>
      <c r="BB465" s="140"/>
      <c r="BC465" s="140"/>
      <c r="BD465" s="140"/>
      <c r="BE465" s="140"/>
      <c r="BF465" s="140"/>
      <c r="BG465" s="140"/>
      <c r="BH465" s="140"/>
      <c r="BI465" s="140"/>
      <c r="BJ465" s="140"/>
      <c r="BK465" s="140"/>
      <c r="BL465" s="140"/>
      <c r="BM465" s="140"/>
      <c r="BN465" s="140"/>
      <c r="BO465" s="140"/>
      <c r="BP465" s="140"/>
      <c r="BQ465" s="140"/>
      <c r="BR465" s="140"/>
      <c r="BS465" s="140"/>
      <c r="BT465" s="140"/>
      <c r="BU465" s="140"/>
      <c r="BV465" s="140"/>
      <c r="BW465" s="140"/>
      <c r="BX465" s="140"/>
      <c r="BY465" s="140"/>
      <c r="BZ465" s="140"/>
      <c r="CA465" s="140"/>
      <c r="CB465" s="140"/>
      <c r="CC465" s="140"/>
      <c r="CD465" s="140"/>
      <c r="CE465" s="140"/>
      <c r="CF465" s="140"/>
      <c r="CG465" s="140"/>
      <c r="CH465" s="140"/>
      <c r="CI465" s="140"/>
      <c r="CJ465" s="140"/>
      <c r="CK465" s="140"/>
      <c r="CL465" s="140"/>
      <c r="CM465" s="140"/>
      <c r="CN465" s="140"/>
      <c r="CO465" s="140"/>
      <c r="CP465" s="140"/>
      <c r="CQ465" s="140"/>
      <c r="CR465" s="140"/>
      <c r="CS465" s="140"/>
      <c r="CT465" s="140"/>
      <c r="CU465" s="140"/>
      <c r="CV465" s="140"/>
      <c r="CW465" s="140"/>
      <c r="CX465" s="140"/>
      <c r="CY465" s="140"/>
      <c r="CZ465" s="140"/>
      <c r="DA465" s="140"/>
      <c r="DB465" s="140"/>
      <c r="DC465" s="140"/>
      <c r="DD465" s="140"/>
      <c r="DE465" s="140"/>
      <c r="DF465" s="140"/>
      <c r="DG465" s="140"/>
      <c r="DH465" s="140"/>
      <c r="DI465" s="140"/>
      <c r="DJ465" s="140"/>
      <c r="DK465" s="140"/>
      <c r="DL465" s="140"/>
      <c r="DM465" s="140"/>
      <c r="DN465" s="140"/>
      <c r="DO465" s="140"/>
      <c r="DP465" s="140"/>
      <c r="DQ465" s="140"/>
      <c r="DR465" s="140"/>
      <c r="DS465" s="140"/>
      <c r="DT465" s="140"/>
      <c r="DU465" s="140"/>
      <c r="DV465" s="140"/>
      <c r="DW465" s="140"/>
      <c r="DX465" s="140"/>
      <c r="DY465" s="140"/>
      <c r="DZ465" s="140"/>
      <c r="EA465" s="140"/>
      <c r="EB465" s="140"/>
      <c r="EC465" s="140"/>
      <c r="ED465" s="140"/>
      <c r="EE465" s="140"/>
      <c r="EF465" s="140"/>
      <c r="EG465" s="140"/>
      <c r="EH465" s="140"/>
      <c r="EI465" s="140"/>
      <c r="EJ465" s="140"/>
      <c r="EK465" s="140"/>
      <c r="EL465" s="140"/>
      <c r="EM465" s="140"/>
      <c r="EN465" s="140"/>
      <c r="EO465" s="140"/>
      <c r="EP465" s="140"/>
      <c r="EQ465" s="140"/>
      <c r="ER465" s="140"/>
      <c r="ES465" s="140"/>
      <c r="ET465" s="140"/>
      <c r="EU465" s="140"/>
      <c r="EV465" s="140"/>
      <c r="EW465" s="140"/>
      <c r="EX465" s="140"/>
      <c r="EY465" s="140"/>
      <c r="EZ465" s="140"/>
      <c r="FA465" s="140"/>
      <c r="FB465" s="140"/>
      <c r="FC465" s="140"/>
      <c r="FD465" s="140"/>
      <c r="FE465" s="140"/>
      <c r="FF465" s="140"/>
      <c r="FG465" s="140"/>
      <c r="FH465" s="140"/>
      <c r="FI465" s="140"/>
      <c r="FJ465" s="140"/>
      <c r="FK465" s="140"/>
      <c r="FL465" s="140"/>
      <c r="FM465" s="140"/>
      <c r="FN465" s="140"/>
      <c r="FO465" s="140"/>
      <c r="FP465" s="140"/>
      <c r="FQ465" s="140"/>
      <c r="FR465" s="140"/>
      <c r="FS465" s="140"/>
      <c r="FT465" s="140"/>
      <c r="FU465" s="140"/>
      <c r="FV465" s="140"/>
      <c r="FW465" s="140"/>
      <c r="FX465" s="140"/>
      <c r="FY465" s="140"/>
      <c r="FZ465" s="140"/>
      <c r="GA465" s="140"/>
      <c r="GB465" s="140"/>
      <c r="GC465" s="140"/>
      <c r="GD465" s="140"/>
      <c r="GE465" s="140"/>
      <c r="GF465" s="140"/>
      <c r="GG465" s="140"/>
      <c r="GH465" s="140"/>
      <c r="GI465" s="140"/>
      <c r="GJ465" s="140"/>
    </row>
    <row r="466" spans="1:192" s="139" customFormat="1" x14ac:dyDescent="0.25">
      <c r="A466" s="193" t="s">
        <v>197</v>
      </c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  <c r="Y466" s="140"/>
      <c r="Z466" s="140"/>
      <c r="AA466" s="140"/>
      <c r="AB466" s="140"/>
      <c r="AC466" s="140"/>
      <c r="AD466" s="140"/>
      <c r="AE466" s="140"/>
      <c r="AF466" s="140"/>
      <c r="AG466" s="140"/>
      <c r="AH466" s="140"/>
      <c r="AI466" s="140"/>
      <c r="AJ466" s="140"/>
      <c r="AK466" s="140"/>
      <c r="AL466" s="140"/>
      <c r="AM466" s="140"/>
      <c r="AN466" s="140"/>
      <c r="AO466" s="140"/>
      <c r="AP466" s="140"/>
      <c r="AQ466" s="140"/>
      <c r="AR466" s="140"/>
      <c r="AS466" s="140"/>
      <c r="AT466" s="140"/>
      <c r="AU466" s="140"/>
      <c r="AV466" s="140"/>
      <c r="AW466" s="140"/>
      <c r="AX466" s="140"/>
      <c r="AY466" s="140"/>
      <c r="AZ466" s="140"/>
      <c r="BA466" s="140"/>
      <c r="BB466" s="140"/>
      <c r="BC466" s="140"/>
      <c r="BD466" s="140"/>
      <c r="BE466" s="140"/>
      <c r="BF466" s="140"/>
      <c r="BG466" s="140"/>
      <c r="BH466" s="140"/>
      <c r="BI466" s="140"/>
      <c r="BJ466" s="140"/>
      <c r="BK466" s="140"/>
      <c r="BL466" s="140"/>
      <c r="BM466" s="140"/>
      <c r="BN466" s="140"/>
      <c r="BO466" s="140"/>
      <c r="BP466" s="140"/>
      <c r="BQ466" s="140"/>
      <c r="BR466" s="140"/>
      <c r="BS466" s="140"/>
      <c r="BT466" s="140"/>
      <c r="BU466" s="140"/>
      <c r="BV466" s="140"/>
      <c r="BW466" s="140"/>
      <c r="BX466" s="140"/>
      <c r="BY466" s="140"/>
      <c r="BZ466" s="140"/>
      <c r="CA466" s="140"/>
      <c r="CB466" s="140"/>
      <c r="CC466" s="140"/>
      <c r="CD466" s="140"/>
      <c r="CE466" s="140"/>
      <c r="CF466" s="140"/>
      <c r="CG466" s="140"/>
      <c r="CH466" s="140"/>
      <c r="CI466" s="140"/>
      <c r="CJ466" s="140"/>
      <c r="CK466" s="140"/>
      <c r="CL466" s="140"/>
      <c r="CM466" s="140"/>
      <c r="CN466" s="140"/>
      <c r="CO466" s="140"/>
      <c r="CP466" s="140"/>
      <c r="CQ466" s="140"/>
      <c r="CR466" s="140"/>
      <c r="CS466" s="140"/>
      <c r="CT466" s="140"/>
      <c r="CU466" s="140"/>
      <c r="CV466" s="140"/>
      <c r="CW466" s="140"/>
      <c r="CX466" s="140"/>
      <c r="CY466" s="140"/>
      <c r="CZ466" s="140"/>
      <c r="DA466" s="140"/>
      <c r="DB466" s="140"/>
      <c r="DC466" s="140"/>
      <c r="DD466" s="140"/>
      <c r="DE466" s="140"/>
      <c r="DF466" s="140"/>
      <c r="DG466" s="140"/>
      <c r="DH466" s="140"/>
      <c r="DI466" s="140"/>
      <c r="DJ466" s="140"/>
      <c r="DK466" s="140"/>
      <c r="DL466" s="140"/>
      <c r="DM466" s="140"/>
      <c r="DN466" s="140"/>
      <c r="DO466" s="140"/>
      <c r="DP466" s="140"/>
      <c r="DQ466" s="140"/>
      <c r="DR466" s="140"/>
      <c r="DS466" s="140"/>
      <c r="DT466" s="140"/>
      <c r="DU466" s="140"/>
      <c r="DV466" s="140"/>
      <c r="DW466" s="140"/>
      <c r="DX466" s="140"/>
      <c r="DY466" s="140"/>
      <c r="DZ466" s="140"/>
      <c r="EA466" s="140"/>
      <c r="EB466" s="140"/>
      <c r="EC466" s="140"/>
      <c r="ED466" s="140"/>
      <c r="EE466" s="140"/>
      <c r="EF466" s="140"/>
      <c r="EG466" s="140"/>
      <c r="EH466" s="140"/>
      <c r="EI466" s="140"/>
      <c r="EJ466" s="140"/>
      <c r="EK466" s="140"/>
      <c r="EL466" s="140"/>
      <c r="EM466" s="140"/>
      <c r="EN466" s="140"/>
      <c r="EO466" s="140"/>
      <c r="EP466" s="140"/>
      <c r="EQ466" s="140"/>
      <c r="ER466" s="140"/>
      <c r="ES466" s="140"/>
      <c r="ET466" s="140"/>
      <c r="EU466" s="140"/>
      <c r="EV466" s="140"/>
      <c r="EW466" s="140"/>
      <c r="EX466" s="140"/>
      <c r="EY466" s="140"/>
      <c r="EZ466" s="140"/>
      <c r="FA466" s="140"/>
      <c r="FB466" s="140"/>
      <c r="FC466" s="140"/>
      <c r="FD466" s="140"/>
      <c r="FE466" s="140"/>
      <c r="FF466" s="140"/>
      <c r="FG466" s="140"/>
      <c r="FH466" s="140"/>
      <c r="FI466" s="140"/>
      <c r="FJ466" s="140"/>
      <c r="FK466" s="140"/>
      <c r="FL466" s="140"/>
      <c r="FM466" s="140"/>
      <c r="FN466" s="140"/>
      <c r="FO466" s="140"/>
      <c r="FP466" s="140"/>
      <c r="FQ466" s="140"/>
      <c r="FR466" s="140"/>
      <c r="FS466" s="140"/>
      <c r="FT466" s="140"/>
      <c r="FU466" s="140"/>
      <c r="FV466" s="140"/>
      <c r="FW466" s="140"/>
      <c r="FX466" s="140"/>
      <c r="FY466" s="140"/>
      <c r="FZ466" s="140"/>
      <c r="GA466" s="140"/>
      <c r="GB466" s="140"/>
      <c r="GC466" s="140"/>
      <c r="GD466" s="140"/>
      <c r="GE466" s="140"/>
      <c r="GF466" s="140"/>
      <c r="GG466" s="140"/>
      <c r="GH466" s="140"/>
      <c r="GI466" s="140"/>
      <c r="GJ466" s="140"/>
    </row>
    <row r="467" spans="1:192" s="139" customFormat="1" x14ac:dyDescent="0.25">
      <c r="A467" s="193" t="s">
        <v>589</v>
      </c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  <c r="Y467" s="140"/>
      <c r="Z467" s="140"/>
      <c r="AA467" s="140"/>
      <c r="AB467" s="140"/>
      <c r="AC467" s="140"/>
      <c r="AD467" s="140"/>
      <c r="AE467" s="140"/>
      <c r="AF467" s="140"/>
      <c r="AG467" s="140"/>
      <c r="AH467" s="140"/>
      <c r="AI467" s="140"/>
      <c r="AJ467" s="140"/>
      <c r="AK467" s="140"/>
      <c r="AL467" s="140"/>
      <c r="AM467" s="140"/>
      <c r="AN467" s="140"/>
      <c r="AO467" s="140"/>
      <c r="AP467" s="140"/>
      <c r="AQ467" s="140"/>
      <c r="AR467" s="140"/>
      <c r="AS467" s="140"/>
      <c r="AT467" s="140"/>
      <c r="AU467" s="140"/>
      <c r="AV467" s="140"/>
      <c r="AW467" s="140"/>
      <c r="AX467" s="140"/>
      <c r="AY467" s="140"/>
      <c r="AZ467" s="140"/>
      <c r="BA467" s="140"/>
      <c r="BB467" s="140"/>
      <c r="BC467" s="140"/>
      <c r="BD467" s="140"/>
      <c r="BE467" s="140"/>
      <c r="BF467" s="140"/>
      <c r="BG467" s="140"/>
      <c r="BH467" s="140"/>
      <c r="BI467" s="140"/>
      <c r="BJ467" s="140"/>
      <c r="BK467" s="140"/>
      <c r="BL467" s="140"/>
      <c r="BM467" s="140"/>
      <c r="BN467" s="140"/>
      <c r="BO467" s="140"/>
      <c r="BP467" s="140"/>
      <c r="BQ467" s="140"/>
      <c r="BR467" s="140"/>
      <c r="BS467" s="140"/>
      <c r="BT467" s="140"/>
      <c r="BU467" s="140"/>
      <c r="BV467" s="140"/>
      <c r="BW467" s="140"/>
      <c r="BX467" s="140"/>
      <c r="BY467" s="140"/>
      <c r="BZ467" s="140"/>
      <c r="CA467" s="140"/>
      <c r="CB467" s="140"/>
      <c r="CC467" s="140"/>
      <c r="CD467" s="140"/>
      <c r="CE467" s="140"/>
      <c r="CF467" s="140"/>
      <c r="CG467" s="140"/>
      <c r="CH467" s="140"/>
      <c r="CI467" s="140"/>
      <c r="CJ467" s="140"/>
      <c r="CK467" s="140"/>
      <c r="CL467" s="140"/>
      <c r="CM467" s="140"/>
      <c r="CN467" s="140"/>
      <c r="CO467" s="140"/>
      <c r="CP467" s="140"/>
      <c r="CQ467" s="140"/>
      <c r="CR467" s="140"/>
      <c r="CS467" s="140"/>
      <c r="CT467" s="140"/>
      <c r="CU467" s="140"/>
      <c r="CV467" s="140"/>
      <c r="CW467" s="140"/>
      <c r="CX467" s="140"/>
      <c r="CY467" s="140"/>
      <c r="CZ467" s="140"/>
      <c r="DA467" s="140"/>
      <c r="DB467" s="140"/>
      <c r="DC467" s="140"/>
      <c r="DD467" s="140"/>
      <c r="DE467" s="140"/>
      <c r="DF467" s="140"/>
      <c r="DG467" s="140"/>
      <c r="DH467" s="140"/>
      <c r="DI467" s="140"/>
      <c r="DJ467" s="140"/>
      <c r="DK467" s="140"/>
      <c r="DL467" s="140"/>
      <c r="DM467" s="140"/>
      <c r="DN467" s="140"/>
      <c r="DO467" s="140"/>
      <c r="DP467" s="140"/>
      <c r="DQ467" s="140"/>
      <c r="DR467" s="140"/>
      <c r="DS467" s="140"/>
      <c r="DT467" s="140"/>
      <c r="DU467" s="140"/>
      <c r="DV467" s="140"/>
      <c r="DW467" s="140"/>
      <c r="DX467" s="140"/>
      <c r="DY467" s="140"/>
      <c r="DZ467" s="140"/>
      <c r="EA467" s="140"/>
      <c r="EB467" s="140"/>
      <c r="EC467" s="140"/>
      <c r="ED467" s="140"/>
      <c r="EE467" s="140"/>
      <c r="EF467" s="140"/>
      <c r="EG467" s="140"/>
      <c r="EH467" s="140"/>
      <c r="EI467" s="140"/>
      <c r="EJ467" s="140"/>
      <c r="EK467" s="140"/>
      <c r="EL467" s="140"/>
      <c r="EM467" s="140"/>
      <c r="EN467" s="140"/>
      <c r="EO467" s="140"/>
      <c r="EP467" s="140"/>
      <c r="EQ467" s="140"/>
      <c r="ER467" s="140"/>
      <c r="ES467" s="140"/>
      <c r="ET467" s="140"/>
      <c r="EU467" s="140"/>
      <c r="EV467" s="140"/>
      <c r="EW467" s="140"/>
      <c r="EX467" s="140"/>
      <c r="EY467" s="140"/>
      <c r="EZ467" s="140"/>
      <c r="FA467" s="140"/>
      <c r="FB467" s="140"/>
      <c r="FC467" s="140"/>
      <c r="FD467" s="140"/>
      <c r="FE467" s="140"/>
      <c r="FF467" s="140"/>
      <c r="FG467" s="140"/>
      <c r="FH467" s="140"/>
      <c r="FI467" s="140"/>
      <c r="FJ467" s="140"/>
      <c r="FK467" s="140"/>
      <c r="FL467" s="140"/>
      <c r="FM467" s="140"/>
      <c r="FN467" s="140"/>
      <c r="FO467" s="140"/>
      <c r="FP467" s="140"/>
      <c r="FQ467" s="140"/>
      <c r="FR467" s="140"/>
      <c r="FS467" s="140"/>
      <c r="FT467" s="140"/>
      <c r="FU467" s="140"/>
      <c r="FV467" s="140"/>
      <c r="FW467" s="140"/>
      <c r="FX467" s="140"/>
      <c r="FY467" s="140"/>
      <c r="FZ467" s="140"/>
      <c r="GA467" s="140"/>
      <c r="GB467" s="140"/>
      <c r="GC467" s="140"/>
      <c r="GD467" s="140"/>
      <c r="GE467" s="140"/>
      <c r="GF467" s="140"/>
      <c r="GG467" s="140"/>
      <c r="GH467" s="140"/>
      <c r="GI467" s="140"/>
      <c r="GJ467" s="140"/>
    </row>
    <row r="468" spans="1:192" s="139" customFormat="1" x14ac:dyDescent="0.25">
      <c r="A468" s="193" t="s">
        <v>590</v>
      </c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  <c r="Y468" s="140"/>
      <c r="Z468" s="140"/>
      <c r="AA468" s="140"/>
      <c r="AB468" s="140"/>
      <c r="AC468" s="140"/>
      <c r="AD468" s="140"/>
      <c r="AE468" s="140"/>
      <c r="AF468" s="140"/>
      <c r="AG468" s="140"/>
      <c r="AH468" s="140"/>
      <c r="AI468" s="140"/>
      <c r="AJ468" s="140"/>
      <c r="AK468" s="140"/>
      <c r="AL468" s="140"/>
      <c r="AM468" s="140"/>
      <c r="AN468" s="140"/>
      <c r="AO468" s="140"/>
      <c r="AP468" s="140"/>
      <c r="AQ468" s="140"/>
      <c r="AR468" s="140"/>
      <c r="AS468" s="140"/>
      <c r="AT468" s="140"/>
      <c r="AU468" s="140"/>
      <c r="AV468" s="140"/>
      <c r="AW468" s="140"/>
      <c r="AX468" s="140"/>
      <c r="AY468" s="140"/>
      <c r="AZ468" s="140"/>
      <c r="BA468" s="140"/>
      <c r="BB468" s="140"/>
      <c r="BC468" s="140"/>
      <c r="BD468" s="140"/>
      <c r="BE468" s="140"/>
      <c r="BF468" s="140"/>
      <c r="BG468" s="140"/>
      <c r="BH468" s="140"/>
      <c r="BI468" s="140"/>
      <c r="BJ468" s="140"/>
      <c r="BK468" s="140"/>
      <c r="BL468" s="140"/>
      <c r="BM468" s="140"/>
      <c r="BN468" s="140"/>
      <c r="BO468" s="140"/>
      <c r="BP468" s="140"/>
      <c r="BQ468" s="140"/>
      <c r="BR468" s="140"/>
      <c r="BS468" s="140"/>
      <c r="BT468" s="140"/>
      <c r="BU468" s="140"/>
      <c r="BV468" s="140"/>
      <c r="BW468" s="140"/>
      <c r="BX468" s="140"/>
      <c r="BY468" s="140"/>
      <c r="BZ468" s="140"/>
      <c r="CA468" s="140"/>
      <c r="CB468" s="140"/>
      <c r="CC468" s="140"/>
      <c r="CD468" s="140"/>
      <c r="CE468" s="140"/>
      <c r="CF468" s="140"/>
      <c r="CG468" s="140"/>
      <c r="CH468" s="140"/>
      <c r="CI468" s="140"/>
      <c r="CJ468" s="140"/>
      <c r="CK468" s="140"/>
      <c r="CL468" s="140"/>
      <c r="CM468" s="140"/>
      <c r="CN468" s="140"/>
      <c r="CO468" s="140"/>
      <c r="CP468" s="140"/>
      <c r="CQ468" s="140"/>
      <c r="CR468" s="140"/>
      <c r="CS468" s="140"/>
      <c r="CT468" s="140"/>
      <c r="CU468" s="140"/>
      <c r="CV468" s="140"/>
      <c r="CW468" s="140"/>
      <c r="CX468" s="140"/>
      <c r="CY468" s="140"/>
      <c r="CZ468" s="140"/>
      <c r="DA468" s="140"/>
      <c r="DB468" s="140"/>
      <c r="DC468" s="140"/>
      <c r="DD468" s="140"/>
      <c r="DE468" s="140"/>
      <c r="DF468" s="140"/>
      <c r="DG468" s="140"/>
      <c r="DH468" s="140"/>
      <c r="DI468" s="140"/>
      <c r="DJ468" s="140"/>
      <c r="DK468" s="140"/>
      <c r="DL468" s="140"/>
      <c r="DM468" s="140"/>
      <c r="DN468" s="140"/>
      <c r="DO468" s="140"/>
      <c r="DP468" s="140"/>
      <c r="DQ468" s="140"/>
      <c r="DR468" s="140"/>
      <c r="DS468" s="140"/>
      <c r="DT468" s="140"/>
      <c r="DU468" s="140"/>
      <c r="DV468" s="140"/>
      <c r="DW468" s="140"/>
      <c r="DX468" s="140"/>
      <c r="DY468" s="140"/>
      <c r="DZ468" s="140"/>
      <c r="EA468" s="140"/>
      <c r="EB468" s="140"/>
      <c r="EC468" s="140"/>
      <c r="ED468" s="140"/>
      <c r="EE468" s="140"/>
      <c r="EF468" s="140"/>
      <c r="EG468" s="140"/>
      <c r="EH468" s="140"/>
      <c r="EI468" s="140"/>
      <c r="EJ468" s="140"/>
      <c r="EK468" s="140"/>
      <c r="EL468" s="140"/>
      <c r="EM468" s="140"/>
      <c r="EN468" s="140"/>
      <c r="EO468" s="140"/>
      <c r="EP468" s="140"/>
      <c r="EQ468" s="140"/>
      <c r="ER468" s="140"/>
      <c r="ES468" s="140"/>
      <c r="ET468" s="140"/>
      <c r="EU468" s="140"/>
      <c r="EV468" s="140"/>
      <c r="EW468" s="140"/>
      <c r="EX468" s="140"/>
      <c r="EY468" s="140"/>
      <c r="EZ468" s="140"/>
      <c r="FA468" s="140"/>
      <c r="FB468" s="140"/>
      <c r="FC468" s="140"/>
      <c r="FD468" s="140"/>
      <c r="FE468" s="140"/>
      <c r="FF468" s="140"/>
      <c r="FG468" s="140"/>
      <c r="FH468" s="140"/>
      <c r="FI468" s="140"/>
      <c r="FJ468" s="140"/>
      <c r="FK468" s="140"/>
      <c r="FL468" s="140"/>
      <c r="FM468" s="140"/>
      <c r="FN468" s="140"/>
      <c r="FO468" s="140"/>
      <c r="FP468" s="140"/>
      <c r="FQ468" s="140"/>
      <c r="FR468" s="140"/>
      <c r="FS468" s="140"/>
      <c r="FT468" s="140"/>
      <c r="FU468" s="140"/>
      <c r="FV468" s="140"/>
      <c r="FW468" s="140"/>
      <c r="FX468" s="140"/>
      <c r="FY468" s="140"/>
      <c r="FZ468" s="140"/>
      <c r="GA468" s="140"/>
      <c r="GB468" s="140"/>
      <c r="GC468" s="140"/>
      <c r="GD468" s="140"/>
      <c r="GE468" s="140"/>
      <c r="GF468" s="140"/>
      <c r="GG468" s="140"/>
      <c r="GH468" s="140"/>
      <c r="GI468" s="140"/>
      <c r="GJ468" s="140"/>
    </row>
  </sheetData>
  <autoFilter ref="A1:GJ469"/>
  <printOptions horizontalCentered="1"/>
  <pageMargins left="0.19685039370078741" right="0.11811023622047245" top="0.39370078740157483" bottom="0.39370078740157483" header="0" footer="0"/>
  <pageSetup paperSize="8" scale="48" fitToHeight="0" orientation="landscape" r:id="rId1"/>
  <headerFooter alignWithMargins="0">
    <oddFooter>Стр.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3"/>
  <sheetViews>
    <sheetView view="pageBreakPreview" zoomScale="60" zoomScaleNormal="100" workbookViewId="0">
      <selection activeCell="K24" sqref="K24"/>
    </sheetView>
  </sheetViews>
  <sheetFormatPr defaultRowHeight="15.75" x14ac:dyDescent="0.25"/>
  <cols>
    <col min="1" max="1" width="3.28515625" style="208" customWidth="1"/>
    <col min="2" max="2" width="16.42578125" style="247" customWidth="1"/>
    <col min="3" max="3" width="23.28515625" style="247" customWidth="1"/>
    <col min="4" max="4" width="16.42578125" style="247" customWidth="1"/>
    <col min="5" max="13" width="16.42578125" style="207" customWidth="1"/>
    <col min="14" max="14" width="16.42578125" style="210" customWidth="1"/>
    <col min="15" max="16" width="16.42578125" style="207" customWidth="1"/>
    <col min="17" max="19" width="9.140625" style="208" customWidth="1"/>
    <col min="20" max="16384" width="9.140625" style="208"/>
  </cols>
  <sheetData>
    <row r="1" spans="1:23" s="199" customFormat="1" ht="18.75" x14ac:dyDescent="0.3">
      <c r="B1" s="200"/>
      <c r="C1" s="200"/>
      <c r="D1" s="200"/>
      <c r="E1" s="201"/>
      <c r="F1" s="201"/>
      <c r="G1" s="201"/>
      <c r="H1" s="201"/>
      <c r="I1" s="201"/>
      <c r="J1" s="201"/>
      <c r="K1" s="201"/>
      <c r="M1" s="201"/>
      <c r="N1" s="202" t="s">
        <v>591</v>
      </c>
      <c r="P1" s="201"/>
    </row>
    <row r="3" spans="1:23" s="203" customFormat="1" ht="20.25" x14ac:dyDescent="0.3">
      <c r="B3" s="204" t="s">
        <v>592</v>
      </c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</row>
    <row r="5" spans="1:23" ht="44.25" customHeight="1" x14ac:dyDescent="0.25">
      <c r="A5" s="254" t="s">
        <v>593</v>
      </c>
      <c r="B5" s="255"/>
      <c r="C5" s="255"/>
      <c r="D5" s="256"/>
      <c r="E5" s="205"/>
      <c r="F5" s="205"/>
      <c r="G5" s="206"/>
      <c r="H5" s="206"/>
      <c r="I5" s="206"/>
      <c r="J5" s="206"/>
      <c r="K5" s="206"/>
      <c r="L5" s="206"/>
      <c r="N5" s="208"/>
      <c r="O5" s="208"/>
    </row>
    <row r="6" spans="1:23" ht="84" customHeight="1" x14ac:dyDescent="0.25">
      <c r="A6" s="254" t="s">
        <v>594</v>
      </c>
      <c r="B6" s="256"/>
      <c r="C6" s="257" t="s">
        <v>595</v>
      </c>
      <c r="D6" s="257"/>
      <c r="E6" s="209"/>
      <c r="F6" s="209"/>
    </row>
    <row r="7" spans="1:23" ht="39.75" customHeight="1" x14ac:dyDescent="0.25">
      <c r="A7" s="258">
        <f>623156</f>
        <v>623156</v>
      </c>
      <c r="B7" s="259"/>
      <c r="C7" s="260">
        <v>93473</v>
      </c>
      <c r="D7" s="260"/>
      <c r="E7" s="211"/>
      <c r="F7" s="209"/>
    </row>
    <row r="8" spans="1:23" ht="49.5" customHeight="1" x14ac:dyDescent="0.35">
      <c r="A8" s="261" t="s">
        <v>596</v>
      </c>
      <c r="B8" s="261"/>
      <c r="C8" s="261"/>
      <c r="D8" s="261"/>
    </row>
    <row r="9" spans="1:23" ht="23.25" x14ac:dyDescent="0.35">
      <c r="A9" s="249">
        <f>C27+202045+123803</f>
        <v>419838</v>
      </c>
      <c r="B9" s="250"/>
      <c r="C9" s="251">
        <v>0</v>
      </c>
      <c r="D9" s="251"/>
    </row>
    <row r="10" spans="1:23" ht="23.25" x14ac:dyDescent="0.25">
      <c r="A10" s="252" t="s">
        <v>597</v>
      </c>
      <c r="B10" s="252"/>
      <c r="C10" s="252"/>
      <c r="D10" s="252"/>
    </row>
    <row r="11" spans="1:23" ht="23.25" x14ac:dyDescent="0.35">
      <c r="A11" s="249">
        <f>A7-A9</f>
        <v>203318</v>
      </c>
      <c r="B11" s="250"/>
      <c r="C11" s="253">
        <f>C7-C9</f>
        <v>93473</v>
      </c>
      <c r="D11" s="251"/>
      <c r="E11" s="212"/>
    </row>
    <row r="13" spans="1:23" ht="47.25" x14ac:dyDescent="0.25">
      <c r="B13" s="213" t="s">
        <v>598</v>
      </c>
      <c r="C13" s="213" t="s">
        <v>599</v>
      </c>
      <c r="D13" s="214" t="s">
        <v>600</v>
      </c>
      <c r="E13" s="214" t="s">
        <v>601</v>
      </c>
      <c r="F13" s="215" t="s">
        <v>602</v>
      </c>
      <c r="G13" s="215" t="s">
        <v>603</v>
      </c>
      <c r="H13" s="215" t="s">
        <v>604</v>
      </c>
      <c r="I13" s="215" t="s">
        <v>605</v>
      </c>
      <c r="J13" s="215" t="s">
        <v>606</v>
      </c>
      <c r="K13" s="215" t="s">
        <v>607</v>
      </c>
      <c r="L13" s="215" t="s">
        <v>608</v>
      </c>
      <c r="M13" s="215" t="s">
        <v>609</v>
      </c>
      <c r="N13" s="215" t="s">
        <v>610</v>
      </c>
      <c r="O13" s="215" t="s">
        <v>611</v>
      </c>
      <c r="P13" s="216" t="s">
        <v>612</v>
      </c>
      <c r="Q13" s="217"/>
      <c r="R13" s="217"/>
      <c r="S13" s="217"/>
      <c r="T13" s="217"/>
      <c r="U13" s="217"/>
      <c r="V13" s="217"/>
      <c r="W13" s="217"/>
    </row>
    <row r="14" spans="1:23" ht="81" customHeight="1" x14ac:dyDescent="0.3">
      <c r="B14" s="218" t="s">
        <v>58</v>
      </c>
      <c r="C14" s="219" t="s">
        <v>613</v>
      </c>
      <c r="D14" s="220"/>
      <c r="E14" s="220"/>
      <c r="F14" s="220">
        <v>33297</v>
      </c>
      <c r="G14" s="220"/>
      <c r="H14" s="220"/>
      <c r="I14" s="220"/>
      <c r="J14" s="220"/>
      <c r="K14" s="220"/>
      <c r="L14" s="220"/>
      <c r="M14" s="220"/>
      <c r="N14" s="220"/>
      <c r="O14" s="220"/>
      <c r="P14" s="220"/>
    </row>
    <row r="15" spans="1:23" ht="66.75" x14ac:dyDescent="0.3">
      <c r="B15" s="218" t="s">
        <v>614</v>
      </c>
      <c r="C15" s="221" t="s">
        <v>615</v>
      </c>
      <c r="D15" s="222">
        <v>1200</v>
      </c>
      <c r="E15" s="220"/>
      <c r="F15" s="220"/>
      <c r="G15" s="220"/>
      <c r="H15" s="222"/>
      <c r="I15" s="222"/>
      <c r="J15" s="222"/>
      <c r="K15" s="220"/>
      <c r="L15" s="222"/>
      <c r="M15" s="222"/>
      <c r="N15" s="222"/>
      <c r="O15" s="222"/>
      <c r="P15" s="222"/>
    </row>
    <row r="16" spans="1:23" ht="66.75" x14ac:dyDescent="0.3">
      <c r="B16" s="218" t="s">
        <v>616</v>
      </c>
      <c r="C16" s="219" t="s">
        <v>617</v>
      </c>
      <c r="D16" s="222">
        <v>197</v>
      </c>
      <c r="E16" s="220"/>
      <c r="F16" s="220">
        <v>7922</v>
      </c>
      <c r="G16" s="220"/>
      <c r="H16" s="222"/>
      <c r="I16" s="222"/>
      <c r="J16" s="222"/>
      <c r="K16" s="220"/>
      <c r="L16" s="222"/>
      <c r="M16" s="222"/>
      <c r="N16" s="222"/>
      <c r="O16" s="222"/>
      <c r="P16" s="222"/>
    </row>
    <row r="17" spans="2:16" ht="18.75" x14ac:dyDescent="0.3">
      <c r="B17" s="218" t="s">
        <v>618</v>
      </c>
      <c r="C17" s="223" t="s">
        <v>619</v>
      </c>
      <c r="D17" s="224">
        <f t="shared" ref="D17:P17" si="0">SUM(D18:D23)</f>
        <v>725</v>
      </c>
      <c r="E17" s="225">
        <f t="shared" si="0"/>
        <v>1392</v>
      </c>
      <c r="F17" s="225">
        <f t="shared" si="0"/>
        <v>49165</v>
      </c>
      <c r="G17" s="225">
        <f t="shared" si="0"/>
        <v>56</v>
      </c>
      <c r="H17" s="224">
        <f t="shared" si="0"/>
        <v>0</v>
      </c>
      <c r="I17" s="224">
        <f t="shared" si="0"/>
        <v>0</v>
      </c>
      <c r="J17" s="224">
        <f t="shared" si="0"/>
        <v>0</v>
      </c>
      <c r="K17" s="225">
        <f t="shared" si="0"/>
        <v>0</v>
      </c>
      <c r="L17" s="224">
        <f t="shared" si="0"/>
        <v>36</v>
      </c>
      <c r="M17" s="224">
        <f t="shared" si="0"/>
        <v>0</v>
      </c>
      <c r="N17" s="224">
        <f t="shared" si="0"/>
        <v>0</v>
      </c>
      <c r="O17" s="224">
        <f t="shared" si="0"/>
        <v>0</v>
      </c>
      <c r="P17" s="224">
        <f t="shared" si="0"/>
        <v>0</v>
      </c>
    </row>
    <row r="18" spans="2:16" ht="18.75" x14ac:dyDescent="0.3">
      <c r="B18" s="226" t="s">
        <v>620</v>
      </c>
      <c r="C18" s="226" t="s">
        <v>621</v>
      </c>
      <c r="D18" s="227"/>
      <c r="E18" s="228"/>
      <c r="F18" s="228">
        <v>27658</v>
      </c>
      <c r="G18" s="228"/>
      <c r="H18" s="228"/>
      <c r="I18" s="228"/>
      <c r="J18" s="228"/>
      <c r="K18" s="228"/>
      <c r="L18" s="228"/>
      <c r="M18" s="228"/>
      <c r="N18" s="220"/>
      <c r="O18" s="228"/>
      <c r="P18" s="228"/>
    </row>
    <row r="19" spans="2:16" ht="18.75" x14ac:dyDescent="0.3">
      <c r="B19" s="226" t="s">
        <v>622</v>
      </c>
      <c r="C19" s="226" t="s">
        <v>623</v>
      </c>
      <c r="D19" s="227"/>
      <c r="E19" s="228">
        <v>302</v>
      </c>
      <c r="F19" s="229"/>
      <c r="G19" s="228"/>
      <c r="H19" s="228"/>
      <c r="I19" s="228"/>
      <c r="J19" s="228"/>
      <c r="K19" s="228"/>
      <c r="L19" s="229"/>
      <c r="M19" s="228"/>
      <c r="N19" s="220"/>
      <c r="O19" s="228"/>
      <c r="P19" s="228"/>
    </row>
    <row r="20" spans="2:16" ht="56.25" x14ac:dyDescent="0.3">
      <c r="B20" s="226" t="s">
        <v>624</v>
      </c>
      <c r="C20" s="230" t="s">
        <v>625</v>
      </c>
      <c r="D20" s="227"/>
      <c r="E20" s="228"/>
      <c r="F20" s="229">
        <v>3054</v>
      </c>
      <c r="G20" s="229"/>
      <c r="H20" s="228"/>
      <c r="I20" s="228"/>
      <c r="J20" s="228"/>
      <c r="K20" s="228"/>
      <c r="L20" s="229"/>
      <c r="M20" s="229"/>
      <c r="N20" s="220"/>
      <c r="O20" s="228"/>
      <c r="P20" s="228"/>
    </row>
    <row r="21" spans="2:16" ht="18.75" x14ac:dyDescent="0.3">
      <c r="B21" s="226" t="s">
        <v>626</v>
      </c>
      <c r="C21" s="226" t="s">
        <v>627</v>
      </c>
      <c r="D21" s="227">
        <v>725</v>
      </c>
      <c r="E21" s="228">
        <v>1089</v>
      </c>
      <c r="F21" s="229">
        <v>2866</v>
      </c>
      <c r="G21" s="229">
        <v>56</v>
      </c>
      <c r="H21" s="228"/>
      <c r="I21" s="228"/>
      <c r="J21" s="228"/>
      <c r="K21" s="228"/>
      <c r="L21" s="229">
        <v>36</v>
      </c>
      <c r="M21" s="229"/>
      <c r="N21" s="228"/>
      <c r="O21" s="231"/>
      <c r="P21" s="228"/>
    </row>
    <row r="22" spans="2:16" ht="37.5" x14ac:dyDescent="0.3">
      <c r="B22" s="226" t="s">
        <v>628</v>
      </c>
      <c r="C22" s="232" t="s">
        <v>629</v>
      </c>
      <c r="D22" s="227"/>
      <c r="E22" s="228"/>
      <c r="F22" s="229">
        <v>3897</v>
      </c>
      <c r="G22" s="229"/>
      <c r="H22" s="228"/>
      <c r="I22" s="228"/>
      <c r="J22" s="228"/>
      <c r="K22" s="228"/>
      <c r="L22" s="229"/>
      <c r="M22" s="229"/>
      <c r="N22" s="220"/>
      <c r="O22" s="228"/>
      <c r="P22" s="228"/>
    </row>
    <row r="23" spans="2:16" ht="37.5" x14ac:dyDescent="0.3">
      <c r="B23" s="226" t="s">
        <v>630</v>
      </c>
      <c r="C23" s="232" t="s">
        <v>631</v>
      </c>
      <c r="D23" s="227"/>
      <c r="E23" s="228">
        <v>1</v>
      </c>
      <c r="F23" s="229">
        <v>11690</v>
      </c>
      <c r="G23" s="228"/>
      <c r="H23" s="228"/>
      <c r="I23" s="228"/>
      <c r="J23" s="228"/>
      <c r="K23" s="228"/>
      <c r="L23" s="229"/>
      <c r="M23" s="228"/>
      <c r="N23" s="220"/>
      <c r="O23" s="228"/>
      <c r="P23" s="228"/>
    </row>
    <row r="24" spans="2:16" ht="18.75" x14ac:dyDescent="0.3">
      <c r="B24" s="233" t="s">
        <v>632</v>
      </c>
      <c r="C24" s="234">
        <f>SUM(D24:P24)</f>
        <v>93990</v>
      </c>
      <c r="D24" s="224">
        <f t="shared" ref="D24:P24" si="1">SUM(D14,D15,D16,D17,)</f>
        <v>2122</v>
      </c>
      <c r="E24" s="225">
        <f t="shared" si="1"/>
        <v>1392</v>
      </c>
      <c r="F24" s="225">
        <f t="shared" si="1"/>
        <v>90384</v>
      </c>
      <c r="G24" s="225">
        <f t="shared" si="1"/>
        <v>56</v>
      </c>
      <c r="H24" s="224">
        <f t="shared" si="1"/>
        <v>0</v>
      </c>
      <c r="I24" s="224">
        <f t="shared" si="1"/>
        <v>0</v>
      </c>
      <c r="J24" s="224">
        <f t="shared" si="1"/>
        <v>0</v>
      </c>
      <c r="K24" s="225">
        <f t="shared" si="1"/>
        <v>0</v>
      </c>
      <c r="L24" s="224">
        <f t="shared" si="1"/>
        <v>36</v>
      </c>
      <c r="M24" s="224">
        <f t="shared" si="1"/>
        <v>0</v>
      </c>
      <c r="N24" s="224">
        <f t="shared" si="1"/>
        <v>0</v>
      </c>
      <c r="O24" s="224">
        <f t="shared" si="1"/>
        <v>0</v>
      </c>
      <c r="P24" s="224">
        <f t="shared" si="1"/>
        <v>0</v>
      </c>
    </row>
    <row r="25" spans="2:16" ht="66.75" x14ac:dyDescent="0.3">
      <c r="B25" s="218" t="s">
        <v>633</v>
      </c>
      <c r="C25" s="219" t="s">
        <v>634</v>
      </c>
      <c r="D25" s="222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</row>
    <row r="26" spans="2:16" ht="37.5" x14ac:dyDescent="0.3">
      <c r="B26" s="235" t="s">
        <v>635</v>
      </c>
      <c r="C26" s="236">
        <f>SUM(D26:P26)</f>
        <v>0</v>
      </c>
      <c r="D26" s="224">
        <f>SUM(D25)</f>
        <v>0</v>
      </c>
      <c r="E26" s="225">
        <f t="shared" ref="E26:P26" si="2">SUM(E25)</f>
        <v>0</v>
      </c>
      <c r="F26" s="225">
        <f t="shared" si="2"/>
        <v>0</v>
      </c>
      <c r="G26" s="225">
        <f t="shared" si="2"/>
        <v>0</v>
      </c>
      <c r="H26" s="224">
        <f t="shared" si="2"/>
        <v>0</v>
      </c>
      <c r="I26" s="224">
        <f t="shared" si="2"/>
        <v>0</v>
      </c>
      <c r="J26" s="224">
        <f t="shared" si="2"/>
        <v>0</v>
      </c>
      <c r="K26" s="225">
        <f t="shared" si="2"/>
        <v>0</v>
      </c>
      <c r="L26" s="224">
        <f t="shared" si="2"/>
        <v>0</v>
      </c>
      <c r="M26" s="224">
        <f t="shared" si="2"/>
        <v>0</v>
      </c>
      <c r="N26" s="224">
        <f t="shared" si="2"/>
        <v>0</v>
      </c>
      <c r="O26" s="224">
        <f t="shared" si="2"/>
        <v>0</v>
      </c>
      <c r="P26" s="224">
        <f t="shared" si="2"/>
        <v>0</v>
      </c>
    </row>
    <row r="27" spans="2:16" ht="37.5" x14ac:dyDescent="0.3">
      <c r="B27" s="237" t="s">
        <v>636</v>
      </c>
      <c r="C27" s="236">
        <f>SUM(D27:P27)</f>
        <v>93990</v>
      </c>
      <c r="D27" s="238">
        <f>SUM(D24+D26)</f>
        <v>2122</v>
      </c>
      <c r="E27" s="239">
        <f t="shared" ref="E27:P27" si="3">SUM(E24+E26)</f>
        <v>1392</v>
      </c>
      <c r="F27" s="239">
        <f t="shared" si="3"/>
        <v>90384</v>
      </c>
      <c r="G27" s="239">
        <f t="shared" si="3"/>
        <v>56</v>
      </c>
      <c r="H27" s="239">
        <f t="shared" si="3"/>
        <v>0</v>
      </c>
      <c r="I27" s="239">
        <f t="shared" si="3"/>
        <v>0</v>
      </c>
      <c r="J27" s="239">
        <f t="shared" si="3"/>
        <v>0</v>
      </c>
      <c r="K27" s="239">
        <f t="shared" si="3"/>
        <v>0</v>
      </c>
      <c r="L27" s="239">
        <f t="shared" si="3"/>
        <v>36</v>
      </c>
      <c r="M27" s="239">
        <f t="shared" si="3"/>
        <v>0</v>
      </c>
      <c r="N27" s="239">
        <f t="shared" si="3"/>
        <v>0</v>
      </c>
      <c r="O27" s="239">
        <f t="shared" si="3"/>
        <v>0</v>
      </c>
      <c r="P27" s="239">
        <f t="shared" si="3"/>
        <v>0</v>
      </c>
    </row>
    <row r="29" spans="2:16" s="240" customFormat="1" ht="15" x14ac:dyDescent="0.25">
      <c r="H29" s="241"/>
    </row>
    <row r="30" spans="2:16" s="242" customFormat="1" ht="14.25" x14ac:dyDescent="0.2">
      <c r="H30" s="243"/>
    </row>
    <row r="31" spans="2:16" s="240" customFormat="1" ht="15" x14ac:dyDescent="0.25">
      <c r="B31" s="244"/>
      <c r="F31" s="244"/>
      <c r="G31" s="244"/>
      <c r="H31" s="241"/>
    </row>
    <row r="32" spans="2:16" s="240" customFormat="1" ht="15" x14ac:dyDescent="0.25">
      <c r="B32" s="244"/>
      <c r="F32" s="244"/>
      <c r="G32" s="244"/>
      <c r="H32" s="241"/>
    </row>
    <row r="33" spans="2:8" s="12" customFormat="1" x14ac:dyDescent="0.25">
      <c r="B33" s="127"/>
      <c r="F33" s="127"/>
      <c r="G33" s="127"/>
      <c r="H33" s="105"/>
    </row>
    <row r="34" spans="2:8" s="12" customFormat="1" x14ac:dyDescent="0.25">
      <c r="H34" s="105"/>
    </row>
    <row r="35" spans="2:8" s="12" customFormat="1" x14ac:dyDescent="0.25">
      <c r="B35" s="1"/>
      <c r="F35" s="131"/>
      <c r="G35" s="245"/>
      <c r="H35" s="105"/>
    </row>
    <row r="36" spans="2:8" s="12" customFormat="1" x14ac:dyDescent="0.25">
      <c r="B36" s="127"/>
      <c r="F36" s="133"/>
      <c r="G36" s="246"/>
      <c r="H36" s="105"/>
    </row>
    <row r="37" spans="2:8" s="12" customFormat="1" x14ac:dyDescent="0.25">
      <c r="H37" s="105"/>
    </row>
    <row r="38" spans="2:8" s="12" customFormat="1" x14ac:dyDescent="0.25">
      <c r="B38" s="1"/>
      <c r="H38" s="105"/>
    </row>
    <row r="39" spans="2:8" s="12" customFormat="1" x14ac:dyDescent="0.25">
      <c r="B39" s="127"/>
      <c r="H39" s="105"/>
    </row>
    <row r="40" spans="2:8" s="12" customFormat="1" x14ac:dyDescent="0.25">
      <c r="H40" s="105"/>
    </row>
    <row r="41" spans="2:8" s="12" customFormat="1" x14ac:dyDescent="0.25">
      <c r="B41" s="137"/>
      <c r="H41" s="105"/>
    </row>
    <row r="42" spans="2:8" s="12" customFormat="1" x14ac:dyDescent="0.25">
      <c r="B42" s="138"/>
      <c r="H42" s="105"/>
    </row>
    <row r="43" spans="2:8" s="12" customFormat="1" x14ac:dyDescent="0.25">
      <c r="B43" s="127"/>
      <c r="H43" s="105"/>
    </row>
  </sheetData>
  <mergeCells count="11">
    <mergeCell ref="A8:D8"/>
    <mergeCell ref="A5:D5"/>
    <mergeCell ref="A6:B6"/>
    <mergeCell ref="C6:D6"/>
    <mergeCell ref="A7:B7"/>
    <mergeCell ref="C7:D7"/>
    <mergeCell ref="A9:B9"/>
    <mergeCell ref="C9:D9"/>
    <mergeCell ref="A10:D10"/>
    <mergeCell ref="A11:B11"/>
    <mergeCell ref="C11:D11"/>
  </mergeCells>
  <dataValidations count="1">
    <dataValidation type="whole" operator="greaterThanOrEqual" allowBlank="1" showInputMessage="1" showErrorMessage="1" error="Въвежда се цяло положително число!" sqref="O21">
      <formula1>0</formula1>
    </dataValidation>
  </dataValidations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31122021</vt:lpstr>
      <vt:lpstr>Pril1_31122021</vt:lpstr>
      <vt:lpstr>pril2_31122021</vt:lpstr>
      <vt:lpstr>Pril1_31122021!Печат_заглавия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dcterms:created xsi:type="dcterms:W3CDTF">2022-01-14T09:04:06Z</dcterms:created>
  <dcterms:modified xsi:type="dcterms:W3CDTF">2022-01-14T09:55:14Z</dcterms:modified>
</cp:coreProperties>
</file>