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t5\mandat 2019-2023\Заседания\34 заседание\"/>
    </mc:Choice>
  </mc:AlternateContent>
  <bookViews>
    <workbookView xWindow="0" yWindow="0" windowWidth="20490" windowHeight="7755"/>
  </bookViews>
  <sheets>
    <sheet name="Pril1_30112021" sheetId="2" r:id="rId1"/>
    <sheet name="pril2_30112021" sheetId="3" r:id="rId2"/>
    <sheet name="pril3_30112021" sheetId="4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_xlfn_SUMIFS">NA()</definedName>
    <definedName name="_xlnm._FilterDatabase" localSheetId="0" hidden="1">Pril1_30112021!$A$1:$GG$453</definedName>
    <definedName name="GROUPS" localSheetId="0">[1]Groups!$A$1:$A$27</definedName>
    <definedName name="GROUPS">[2]Groups!$A$1:$A$27</definedName>
    <definedName name="GROUPS2" localSheetId="0">[1]Groups!$A$1:$B$27</definedName>
    <definedName name="GROUPS2">[2]Groups!$A$1:$B$27</definedName>
    <definedName name="ll">[3]list!$A$421:$B$709</definedName>
    <definedName name="mm">[3]Groups!$A$1:$B$27</definedName>
    <definedName name="oo">[3]list!$A$281:$B$304</definedName>
    <definedName name="OP_LIST" localSheetId="0">[1]list!$A$281:$A$304</definedName>
    <definedName name="OP_LIST">[2]list!$A$281:$A$304</definedName>
    <definedName name="OP_LIST2" localSheetId="0">[1]list!$A$281:$B$304</definedName>
    <definedName name="OP_LIST2">[2]list!$A$281:$B$304</definedName>
    <definedName name="PRBK" localSheetId="0">[1]list!$A$421:$B$709</definedName>
    <definedName name="PRBK">[2]list!$A$421:$B$709</definedName>
    <definedName name="ss">[3]list!$A$281:$B$304</definedName>
    <definedName name="в">[4]list!$A$281:$A$304</definedName>
    <definedName name="з">[5]list!$A$281:$A$304</definedName>
    <definedName name="_xlnm.Print_Titles" localSheetId="0">Pril1_30112021!$6:$6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6" i="4" l="1"/>
  <c r="O26" i="4"/>
  <c r="N26" i="4"/>
  <c r="M26" i="4"/>
  <c r="L26" i="4"/>
  <c r="K26" i="4"/>
  <c r="J26" i="4"/>
  <c r="I26" i="4"/>
  <c r="H26" i="4"/>
  <c r="G26" i="4"/>
  <c r="F26" i="4"/>
  <c r="E26" i="4"/>
  <c r="C26" i="4" s="1"/>
  <c r="D26" i="4"/>
  <c r="P24" i="4"/>
  <c r="P27" i="4" s="1"/>
  <c r="O24" i="4"/>
  <c r="O27" i="4" s="1"/>
  <c r="L24" i="4"/>
  <c r="L27" i="4" s="1"/>
  <c r="K24" i="4"/>
  <c r="K27" i="4" s="1"/>
  <c r="H24" i="4"/>
  <c r="H27" i="4" s="1"/>
  <c r="G24" i="4"/>
  <c r="G27" i="4" s="1"/>
  <c r="D24" i="4"/>
  <c r="D27" i="4" s="1"/>
  <c r="D21" i="4"/>
  <c r="P17" i="4"/>
  <c r="O17" i="4"/>
  <c r="N17" i="4"/>
  <c r="N24" i="4" s="1"/>
  <c r="N27" i="4" s="1"/>
  <c r="M17" i="4"/>
  <c r="M24" i="4" s="1"/>
  <c r="M27" i="4" s="1"/>
  <c r="L17" i="4"/>
  <c r="K17" i="4"/>
  <c r="J17" i="4"/>
  <c r="J24" i="4" s="1"/>
  <c r="J27" i="4" s="1"/>
  <c r="I17" i="4"/>
  <c r="I24" i="4" s="1"/>
  <c r="I27" i="4" s="1"/>
  <c r="H17" i="4"/>
  <c r="G17" i="4"/>
  <c r="F17" i="4"/>
  <c r="F24" i="4" s="1"/>
  <c r="F27" i="4" s="1"/>
  <c r="E17" i="4"/>
  <c r="E24" i="4" s="1"/>
  <c r="D17" i="4"/>
  <c r="C11" i="4"/>
  <c r="A7" i="4"/>
  <c r="E23" i="3"/>
  <c r="D23" i="3"/>
  <c r="E20" i="3"/>
  <c r="D20" i="3"/>
  <c r="E17" i="3"/>
  <c r="E16" i="3" s="1"/>
  <c r="D17" i="3"/>
  <c r="D16" i="3" s="1"/>
  <c r="E13" i="3"/>
  <c r="D13" i="3"/>
  <c r="D10" i="3" s="1"/>
  <c r="E11" i="3"/>
  <c r="D11" i="3"/>
  <c r="D9" i="3"/>
  <c r="AB431" i="2"/>
  <c r="Y431" i="2"/>
  <c r="V431" i="2"/>
  <c r="S431" i="2"/>
  <c r="P431" i="2"/>
  <c r="M431" i="2"/>
  <c r="J431" i="2"/>
  <c r="G431" i="2"/>
  <c r="C431" i="2"/>
  <c r="B431" i="2"/>
  <c r="AA430" i="2"/>
  <c r="Z430" i="2"/>
  <c r="Z429" i="2" s="1"/>
  <c r="Z428" i="2" s="1"/>
  <c r="X430" i="2"/>
  <c r="X429" i="2" s="1"/>
  <c r="X428" i="2" s="1"/>
  <c r="W430" i="2"/>
  <c r="U430" i="2"/>
  <c r="T430" i="2"/>
  <c r="T429" i="2" s="1"/>
  <c r="T428" i="2" s="1"/>
  <c r="R430" i="2"/>
  <c r="Q430" i="2"/>
  <c r="Q429" i="2" s="1"/>
  <c r="Q428" i="2" s="1"/>
  <c r="O430" i="2"/>
  <c r="N430" i="2"/>
  <c r="N429" i="2" s="1"/>
  <c r="N428" i="2" s="1"/>
  <c r="L430" i="2"/>
  <c r="K430" i="2"/>
  <c r="M430" i="2" s="1"/>
  <c r="I430" i="2"/>
  <c r="H430" i="2"/>
  <c r="F430" i="2"/>
  <c r="E430" i="2"/>
  <c r="U429" i="2"/>
  <c r="L429" i="2"/>
  <c r="L428" i="2" s="1"/>
  <c r="I429" i="2"/>
  <c r="E429" i="2"/>
  <c r="AB427" i="2"/>
  <c r="Y427" i="2"/>
  <c r="V427" i="2"/>
  <c r="S427" i="2"/>
  <c r="P427" i="2"/>
  <c r="M427" i="2"/>
  <c r="D427" i="2" s="1"/>
  <c r="J427" i="2"/>
  <c r="G427" i="2"/>
  <c r="C427" i="2"/>
  <c r="B427" i="2"/>
  <c r="AB426" i="2"/>
  <c r="Y426" i="2"/>
  <c r="V426" i="2"/>
  <c r="S426" i="2"/>
  <c r="P426" i="2"/>
  <c r="L426" i="2"/>
  <c r="K426" i="2"/>
  <c r="J426" i="2"/>
  <c r="G426" i="2"/>
  <c r="AA425" i="2"/>
  <c r="Z425" i="2"/>
  <c r="Z424" i="2" s="1"/>
  <c r="X425" i="2"/>
  <c r="W425" i="2"/>
  <c r="W424" i="2" s="1"/>
  <c r="U425" i="2"/>
  <c r="T425" i="2"/>
  <c r="V425" i="2" s="1"/>
  <c r="S425" i="2"/>
  <c r="R425" i="2"/>
  <c r="Q425" i="2"/>
  <c r="O425" i="2"/>
  <c r="N425" i="2"/>
  <c r="N424" i="2" s="1"/>
  <c r="I425" i="2"/>
  <c r="H425" i="2"/>
  <c r="F425" i="2"/>
  <c r="G425" i="2" s="1"/>
  <c r="E425" i="2"/>
  <c r="U424" i="2"/>
  <c r="R424" i="2"/>
  <c r="S424" i="2" s="1"/>
  <c r="Q424" i="2"/>
  <c r="I424" i="2"/>
  <c r="F424" i="2"/>
  <c r="E424" i="2"/>
  <c r="AB423" i="2"/>
  <c r="Y423" i="2"/>
  <c r="V423" i="2"/>
  <c r="S423" i="2"/>
  <c r="P423" i="2"/>
  <c r="M423" i="2"/>
  <c r="J423" i="2"/>
  <c r="G423" i="2"/>
  <c r="C423" i="2"/>
  <c r="B423" i="2"/>
  <c r="AB422" i="2"/>
  <c r="Y422" i="2"/>
  <c r="V422" i="2"/>
  <c r="S422" i="2"/>
  <c r="P422" i="2"/>
  <c r="M422" i="2"/>
  <c r="J422" i="2"/>
  <c r="G422" i="2"/>
  <c r="C422" i="2"/>
  <c r="B422" i="2"/>
  <c r="AA421" i="2"/>
  <c r="Z421" i="2"/>
  <c r="Z420" i="2" s="1"/>
  <c r="X421" i="2"/>
  <c r="W421" i="2"/>
  <c r="W420" i="2" s="1"/>
  <c r="U421" i="2"/>
  <c r="T421" i="2"/>
  <c r="T420" i="2" s="1"/>
  <c r="R421" i="2"/>
  <c r="Q421" i="2"/>
  <c r="Q420" i="2" s="1"/>
  <c r="O421" i="2"/>
  <c r="N421" i="2"/>
  <c r="L421" i="2"/>
  <c r="K421" i="2"/>
  <c r="K420" i="2" s="1"/>
  <c r="I421" i="2"/>
  <c r="H421" i="2"/>
  <c r="H420" i="2" s="1"/>
  <c r="F421" i="2"/>
  <c r="E421" i="2"/>
  <c r="E420" i="2" s="1"/>
  <c r="B420" i="2" s="1"/>
  <c r="N420" i="2"/>
  <c r="J420" i="2"/>
  <c r="I420" i="2"/>
  <c r="AB419" i="2"/>
  <c r="Y419" i="2"/>
  <c r="V419" i="2"/>
  <c r="S419" i="2"/>
  <c r="P419" i="2"/>
  <c r="M419" i="2"/>
  <c r="J419" i="2"/>
  <c r="G419" i="2"/>
  <c r="C419" i="2"/>
  <c r="B419" i="2"/>
  <c r="AA418" i="2"/>
  <c r="Z418" i="2"/>
  <c r="X418" i="2"/>
  <c r="W418" i="2"/>
  <c r="U418" i="2"/>
  <c r="T418" i="2"/>
  <c r="R418" i="2"/>
  <c r="R412" i="2" s="1"/>
  <c r="Q418" i="2"/>
  <c r="O418" i="2"/>
  <c r="N418" i="2"/>
  <c r="L418" i="2"/>
  <c r="K418" i="2"/>
  <c r="I418" i="2"/>
  <c r="H418" i="2"/>
  <c r="F418" i="2"/>
  <c r="E418" i="2"/>
  <c r="AB417" i="2"/>
  <c r="Y417" i="2"/>
  <c r="V417" i="2"/>
  <c r="S417" i="2"/>
  <c r="P417" i="2"/>
  <c r="M417" i="2"/>
  <c r="J417" i="2"/>
  <c r="G417" i="2"/>
  <c r="C417" i="2"/>
  <c r="B417" i="2"/>
  <c r="AB416" i="2"/>
  <c r="Y416" i="2"/>
  <c r="V416" i="2"/>
  <c r="S416" i="2"/>
  <c r="P416" i="2"/>
  <c r="M416" i="2"/>
  <c r="J416" i="2"/>
  <c r="G416" i="2"/>
  <c r="C416" i="2"/>
  <c r="B416" i="2"/>
  <c r="AB415" i="2"/>
  <c r="Y415" i="2"/>
  <c r="V415" i="2"/>
  <c r="S415" i="2"/>
  <c r="P415" i="2"/>
  <c r="M415" i="2"/>
  <c r="J415" i="2"/>
  <c r="G415" i="2"/>
  <c r="C415" i="2"/>
  <c r="B415" i="2"/>
  <c r="AB414" i="2"/>
  <c r="Y414" i="2"/>
  <c r="V414" i="2"/>
  <c r="S414" i="2"/>
  <c r="P414" i="2"/>
  <c r="M414" i="2"/>
  <c r="J414" i="2"/>
  <c r="G414" i="2"/>
  <c r="C414" i="2"/>
  <c r="B414" i="2"/>
  <c r="AA413" i="2"/>
  <c r="Z413" i="2"/>
  <c r="Z412" i="2" s="1"/>
  <c r="X413" i="2"/>
  <c r="W413" i="2"/>
  <c r="U413" i="2"/>
  <c r="T413" i="2"/>
  <c r="T412" i="2" s="1"/>
  <c r="T406" i="2" s="1"/>
  <c r="R413" i="2"/>
  <c r="S413" i="2" s="1"/>
  <c r="Q413" i="2"/>
  <c r="O413" i="2"/>
  <c r="N413" i="2"/>
  <c r="L413" i="2"/>
  <c r="K413" i="2"/>
  <c r="I413" i="2"/>
  <c r="H413" i="2"/>
  <c r="F413" i="2"/>
  <c r="E413" i="2"/>
  <c r="F412" i="2"/>
  <c r="AB411" i="2"/>
  <c r="Y411" i="2"/>
  <c r="V411" i="2"/>
  <c r="S411" i="2"/>
  <c r="P411" i="2"/>
  <c r="M411" i="2"/>
  <c r="J411" i="2"/>
  <c r="G411" i="2"/>
  <c r="C411" i="2"/>
  <c r="B411" i="2"/>
  <c r="AB410" i="2"/>
  <c r="Y410" i="2"/>
  <c r="V410" i="2"/>
  <c r="S410" i="2"/>
  <c r="P410" i="2"/>
  <c r="M410" i="2"/>
  <c r="J410" i="2"/>
  <c r="G410" i="2"/>
  <c r="C410" i="2"/>
  <c r="B410" i="2"/>
  <c r="AB409" i="2"/>
  <c r="Y409" i="2"/>
  <c r="V409" i="2"/>
  <c r="S409" i="2"/>
  <c r="P409" i="2"/>
  <c r="M409" i="2"/>
  <c r="J409" i="2"/>
  <c r="G409" i="2"/>
  <c r="C409" i="2"/>
  <c r="B409" i="2"/>
  <c r="AA408" i="2"/>
  <c r="Z408" i="2"/>
  <c r="Z407" i="2" s="1"/>
  <c r="X408" i="2"/>
  <c r="X407" i="2" s="1"/>
  <c r="Y407" i="2" s="1"/>
  <c r="W408" i="2"/>
  <c r="W407" i="2" s="1"/>
  <c r="U408" i="2"/>
  <c r="T408" i="2"/>
  <c r="R408" i="2"/>
  <c r="Q408" i="2"/>
  <c r="Q407" i="2" s="1"/>
  <c r="O408" i="2"/>
  <c r="N408" i="2"/>
  <c r="L408" i="2"/>
  <c r="L407" i="2" s="1"/>
  <c r="K408" i="2"/>
  <c r="I408" i="2"/>
  <c r="J408" i="2" s="1"/>
  <c r="H408" i="2"/>
  <c r="F408" i="2"/>
  <c r="E408" i="2"/>
  <c r="E407" i="2" s="1"/>
  <c r="T407" i="2"/>
  <c r="R407" i="2"/>
  <c r="I407" i="2"/>
  <c r="H407" i="2"/>
  <c r="AB405" i="2"/>
  <c r="Y405" i="2"/>
  <c r="V405" i="2"/>
  <c r="S405" i="2"/>
  <c r="P405" i="2"/>
  <c r="M405" i="2"/>
  <c r="J405" i="2"/>
  <c r="G405" i="2"/>
  <c r="C405" i="2"/>
  <c r="B405" i="2"/>
  <c r="AA404" i="2"/>
  <c r="Z404" i="2"/>
  <c r="X404" i="2"/>
  <c r="W404" i="2"/>
  <c r="U404" i="2"/>
  <c r="T404" i="2"/>
  <c r="R404" i="2"/>
  <c r="S404" i="2" s="1"/>
  <c r="Q404" i="2"/>
  <c r="O404" i="2"/>
  <c r="N404" i="2"/>
  <c r="L404" i="2"/>
  <c r="K404" i="2"/>
  <c r="I404" i="2"/>
  <c r="H404" i="2"/>
  <c r="F404" i="2"/>
  <c r="E404" i="2"/>
  <c r="AB403" i="2"/>
  <c r="Y403" i="2"/>
  <c r="V403" i="2"/>
  <c r="S403" i="2"/>
  <c r="P403" i="2"/>
  <c r="M403" i="2"/>
  <c r="J403" i="2"/>
  <c r="G403" i="2"/>
  <c r="C403" i="2"/>
  <c r="B403" i="2"/>
  <c r="AB402" i="2"/>
  <c r="AA402" i="2"/>
  <c r="Z402" i="2"/>
  <c r="X402" i="2"/>
  <c r="W402" i="2"/>
  <c r="U402" i="2"/>
  <c r="T402" i="2"/>
  <c r="R402" i="2"/>
  <c r="Q402" i="2"/>
  <c r="O402" i="2"/>
  <c r="N402" i="2"/>
  <c r="L402" i="2"/>
  <c r="M402" i="2" s="1"/>
  <c r="K402" i="2"/>
  <c r="I402" i="2"/>
  <c r="H402" i="2"/>
  <c r="F402" i="2"/>
  <c r="E402" i="2"/>
  <c r="AB401" i="2"/>
  <c r="Y401" i="2"/>
  <c r="V401" i="2"/>
  <c r="S401" i="2"/>
  <c r="P401" i="2"/>
  <c r="M401" i="2"/>
  <c r="J401" i="2"/>
  <c r="D401" i="2" s="1"/>
  <c r="G401" i="2"/>
  <c r="C401" i="2"/>
  <c r="B401" i="2"/>
  <c r="AA400" i="2"/>
  <c r="Z400" i="2"/>
  <c r="X400" i="2"/>
  <c r="W400" i="2"/>
  <c r="U400" i="2"/>
  <c r="T400" i="2"/>
  <c r="R400" i="2"/>
  <c r="Q400" i="2"/>
  <c r="O400" i="2"/>
  <c r="N400" i="2"/>
  <c r="L400" i="2"/>
  <c r="K400" i="2"/>
  <c r="I400" i="2"/>
  <c r="H400" i="2"/>
  <c r="F400" i="2"/>
  <c r="E400" i="2"/>
  <c r="AB399" i="2"/>
  <c r="Y399" i="2"/>
  <c r="V399" i="2"/>
  <c r="S399" i="2"/>
  <c r="P399" i="2"/>
  <c r="M399" i="2"/>
  <c r="J399" i="2"/>
  <c r="G399" i="2"/>
  <c r="C399" i="2"/>
  <c r="B399" i="2"/>
  <c r="AB398" i="2"/>
  <c r="Y398" i="2"/>
  <c r="V398" i="2"/>
  <c r="S398" i="2"/>
  <c r="P398" i="2"/>
  <c r="M398" i="2"/>
  <c r="J398" i="2"/>
  <c r="G398" i="2"/>
  <c r="C398" i="2"/>
  <c r="B398" i="2"/>
  <c r="AA397" i="2"/>
  <c r="Z397" i="2"/>
  <c r="X397" i="2"/>
  <c r="W397" i="2"/>
  <c r="W396" i="2" s="1"/>
  <c r="U397" i="2"/>
  <c r="U396" i="2" s="1"/>
  <c r="T397" i="2"/>
  <c r="R397" i="2"/>
  <c r="Q397" i="2"/>
  <c r="O397" i="2"/>
  <c r="P397" i="2" s="1"/>
  <c r="N397" i="2"/>
  <c r="L397" i="2"/>
  <c r="K397" i="2"/>
  <c r="I397" i="2"/>
  <c r="H397" i="2"/>
  <c r="F397" i="2"/>
  <c r="E397" i="2"/>
  <c r="O396" i="2"/>
  <c r="AB395" i="2"/>
  <c r="Y395" i="2"/>
  <c r="V395" i="2"/>
  <c r="S395" i="2"/>
  <c r="P395" i="2"/>
  <c r="M395" i="2"/>
  <c r="J395" i="2"/>
  <c r="G395" i="2"/>
  <c r="C395" i="2"/>
  <c r="B395" i="2"/>
  <c r="AB394" i="2"/>
  <c r="Y394" i="2"/>
  <c r="V394" i="2"/>
  <c r="S394" i="2"/>
  <c r="P394" i="2"/>
  <c r="M394" i="2"/>
  <c r="J394" i="2"/>
  <c r="G394" i="2"/>
  <c r="C394" i="2"/>
  <c r="B394" i="2"/>
  <c r="AB393" i="2"/>
  <c r="Y393" i="2"/>
  <c r="V393" i="2"/>
  <c r="S393" i="2"/>
  <c r="P393" i="2"/>
  <c r="M393" i="2"/>
  <c r="J393" i="2"/>
  <c r="G393" i="2"/>
  <c r="C393" i="2"/>
  <c r="B393" i="2"/>
  <c r="AB392" i="2"/>
  <c r="Y392" i="2"/>
  <c r="V392" i="2"/>
  <c r="S392" i="2"/>
  <c r="P392" i="2"/>
  <c r="M392" i="2"/>
  <c r="J392" i="2"/>
  <c r="D392" i="2" s="1"/>
  <c r="G392" i="2"/>
  <c r="C392" i="2"/>
  <c r="B392" i="2"/>
  <c r="AA391" i="2"/>
  <c r="AB391" i="2" s="1"/>
  <c r="Z391" i="2"/>
  <c r="X391" i="2"/>
  <c r="W391" i="2"/>
  <c r="U391" i="2"/>
  <c r="T391" i="2"/>
  <c r="R391" i="2"/>
  <c r="Q391" i="2"/>
  <c r="O391" i="2"/>
  <c r="N391" i="2"/>
  <c r="L391" i="2"/>
  <c r="M391" i="2" s="1"/>
  <c r="K391" i="2"/>
  <c r="I391" i="2"/>
  <c r="H391" i="2"/>
  <c r="F391" i="2"/>
  <c r="E391" i="2"/>
  <c r="AB390" i="2"/>
  <c r="Y390" i="2"/>
  <c r="V390" i="2"/>
  <c r="S390" i="2"/>
  <c r="P390" i="2"/>
  <c r="M390" i="2"/>
  <c r="J390" i="2"/>
  <c r="G390" i="2"/>
  <c r="D390" i="2" s="1"/>
  <c r="C390" i="2"/>
  <c r="B390" i="2"/>
  <c r="AB389" i="2"/>
  <c r="Y389" i="2"/>
  <c r="V389" i="2"/>
  <c r="S389" i="2"/>
  <c r="P389" i="2"/>
  <c r="M389" i="2"/>
  <c r="J389" i="2"/>
  <c r="G389" i="2"/>
  <c r="C389" i="2"/>
  <c r="B389" i="2"/>
  <c r="AB388" i="2"/>
  <c r="Y388" i="2"/>
  <c r="V388" i="2"/>
  <c r="S388" i="2"/>
  <c r="P388" i="2"/>
  <c r="M388" i="2"/>
  <c r="J388" i="2"/>
  <c r="G388" i="2"/>
  <c r="C388" i="2"/>
  <c r="B388" i="2"/>
  <c r="AB387" i="2"/>
  <c r="Y387" i="2"/>
  <c r="V387" i="2"/>
  <c r="S387" i="2"/>
  <c r="P387" i="2"/>
  <c r="M387" i="2"/>
  <c r="J387" i="2"/>
  <c r="G387" i="2"/>
  <c r="C387" i="2"/>
  <c r="B387" i="2"/>
  <c r="AB386" i="2"/>
  <c r="Y386" i="2"/>
  <c r="V386" i="2"/>
  <c r="S386" i="2"/>
  <c r="P386" i="2"/>
  <c r="L386" i="2"/>
  <c r="K386" i="2"/>
  <c r="K384" i="2" s="1"/>
  <c r="J386" i="2"/>
  <c r="G386" i="2"/>
  <c r="C386" i="2"/>
  <c r="B386" i="2"/>
  <c r="AB385" i="2"/>
  <c r="Y385" i="2"/>
  <c r="V385" i="2"/>
  <c r="S385" i="2"/>
  <c r="O385" i="2"/>
  <c r="N385" i="2"/>
  <c r="B385" i="2" s="1"/>
  <c r="M385" i="2"/>
  <c r="J385" i="2"/>
  <c r="G385" i="2"/>
  <c r="AA384" i="2"/>
  <c r="Z384" i="2"/>
  <c r="X384" i="2"/>
  <c r="W384" i="2"/>
  <c r="U384" i="2"/>
  <c r="T384" i="2"/>
  <c r="R384" i="2"/>
  <c r="Q384" i="2"/>
  <c r="N384" i="2"/>
  <c r="L384" i="2"/>
  <c r="I384" i="2"/>
  <c r="H384" i="2"/>
  <c r="F384" i="2"/>
  <c r="G384" i="2" s="1"/>
  <c r="E384" i="2"/>
  <c r="AB383" i="2"/>
  <c r="Y383" i="2"/>
  <c r="V383" i="2"/>
  <c r="S383" i="2"/>
  <c r="P383" i="2"/>
  <c r="M383" i="2"/>
  <c r="J383" i="2"/>
  <c r="G383" i="2"/>
  <c r="C383" i="2"/>
  <c r="B383" i="2"/>
  <c r="AB382" i="2"/>
  <c r="Y382" i="2"/>
  <c r="V382" i="2"/>
  <c r="R382" i="2"/>
  <c r="Q382" i="2"/>
  <c r="B382" i="2" s="1"/>
  <c r="P382" i="2"/>
  <c r="M382" i="2"/>
  <c r="J382" i="2"/>
  <c r="G382" i="2"/>
  <c r="AA381" i="2"/>
  <c r="Z381" i="2"/>
  <c r="X381" i="2"/>
  <c r="W381" i="2"/>
  <c r="U381" i="2"/>
  <c r="T381" i="2"/>
  <c r="O381" i="2"/>
  <c r="N381" i="2"/>
  <c r="L381" i="2"/>
  <c r="K381" i="2"/>
  <c r="M381" i="2" s="1"/>
  <c r="I381" i="2"/>
  <c r="J381" i="2" s="1"/>
  <c r="H381" i="2"/>
  <c r="F381" i="2"/>
  <c r="E381" i="2"/>
  <c r="AB380" i="2"/>
  <c r="Y380" i="2"/>
  <c r="V380" i="2"/>
  <c r="S380" i="2"/>
  <c r="P380" i="2"/>
  <c r="M380" i="2"/>
  <c r="J380" i="2"/>
  <c r="G380" i="2"/>
  <c r="C380" i="2"/>
  <c r="B380" i="2"/>
  <c r="AB379" i="2"/>
  <c r="Y379" i="2"/>
  <c r="V379" i="2"/>
  <c r="S379" i="2"/>
  <c r="P379" i="2"/>
  <c r="M379" i="2"/>
  <c r="J379" i="2"/>
  <c r="G379" i="2"/>
  <c r="D379" i="2" s="1"/>
  <c r="C379" i="2"/>
  <c r="B379" i="2"/>
  <c r="AB378" i="2"/>
  <c r="Y378" i="2"/>
  <c r="V378" i="2"/>
  <c r="S378" i="2"/>
  <c r="P378" i="2"/>
  <c r="M378" i="2"/>
  <c r="J378" i="2"/>
  <c r="G378" i="2"/>
  <c r="C378" i="2"/>
  <c r="B378" i="2"/>
  <c r="AB377" i="2"/>
  <c r="Y377" i="2"/>
  <c r="V377" i="2"/>
  <c r="S377" i="2"/>
  <c r="P377" i="2"/>
  <c r="M377" i="2"/>
  <c r="J377" i="2"/>
  <c r="G377" i="2"/>
  <c r="C377" i="2"/>
  <c r="B377" i="2"/>
  <c r="AB376" i="2"/>
  <c r="Y376" i="2"/>
  <c r="V376" i="2"/>
  <c r="S376" i="2"/>
  <c r="P376" i="2"/>
  <c r="M376" i="2"/>
  <c r="J376" i="2"/>
  <c r="G376" i="2"/>
  <c r="C376" i="2"/>
  <c r="B376" i="2"/>
  <c r="AB375" i="2"/>
  <c r="Y375" i="2"/>
  <c r="V375" i="2"/>
  <c r="S375" i="2"/>
  <c r="P375" i="2"/>
  <c r="M375" i="2"/>
  <c r="J375" i="2"/>
  <c r="G375" i="2"/>
  <c r="C375" i="2"/>
  <c r="B375" i="2"/>
  <c r="AB374" i="2"/>
  <c r="Y374" i="2"/>
  <c r="V374" i="2"/>
  <c r="S374" i="2"/>
  <c r="P374" i="2"/>
  <c r="L374" i="2"/>
  <c r="K374" i="2"/>
  <c r="B374" i="2" s="1"/>
  <c r="J374" i="2"/>
  <c r="G374" i="2"/>
  <c r="AB373" i="2"/>
  <c r="Y373" i="2"/>
  <c r="V373" i="2"/>
  <c r="S373" i="2"/>
  <c r="P373" i="2"/>
  <c r="M373" i="2"/>
  <c r="J373" i="2"/>
  <c r="G373" i="2"/>
  <c r="C373" i="2"/>
  <c r="B373" i="2"/>
  <c r="AB372" i="2"/>
  <c r="Y372" i="2"/>
  <c r="V372" i="2"/>
  <c r="S372" i="2"/>
  <c r="P372" i="2"/>
  <c r="M372" i="2"/>
  <c r="J372" i="2"/>
  <c r="G372" i="2"/>
  <c r="C372" i="2"/>
  <c r="B372" i="2"/>
  <c r="L371" i="2"/>
  <c r="M371" i="2" s="1"/>
  <c r="D371" i="2" s="1"/>
  <c r="C371" i="2"/>
  <c r="B371" i="2"/>
  <c r="AB370" i="2"/>
  <c r="Y370" i="2"/>
  <c r="V370" i="2"/>
  <c r="S370" i="2"/>
  <c r="P370" i="2"/>
  <c r="L370" i="2"/>
  <c r="K370" i="2"/>
  <c r="B370" i="2" s="1"/>
  <c r="J370" i="2"/>
  <c r="G370" i="2"/>
  <c r="AB369" i="2"/>
  <c r="Y369" i="2"/>
  <c r="V369" i="2"/>
  <c r="S369" i="2"/>
  <c r="P369" i="2"/>
  <c r="M369" i="2"/>
  <c r="L369" i="2"/>
  <c r="K369" i="2"/>
  <c r="J369" i="2"/>
  <c r="G369" i="2"/>
  <c r="D369" i="2" s="1"/>
  <c r="C369" i="2"/>
  <c r="B369" i="2"/>
  <c r="AB368" i="2"/>
  <c r="Y368" i="2"/>
  <c r="V368" i="2"/>
  <c r="S368" i="2"/>
  <c r="P368" i="2"/>
  <c r="M368" i="2"/>
  <c r="D368" i="2" s="1"/>
  <c r="J368" i="2"/>
  <c r="G368" i="2"/>
  <c r="C368" i="2"/>
  <c r="B368" i="2"/>
  <c r="AB367" i="2"/>
  <c r="Y367" i="2"/>
  <c r="V367" i="2"/>
  <c r="S367" i="2"/>
  <c r="P367" i="2"/>
  <c r="M367" i="2"/>
  <c r="J367" i="2"/>
  <c r="G367" i="2"/>
  <c r="C367" i="2"/>
  <c r="B367" i="2"/>
  <c r="AB366" i="2"/>
  <c r="Y366" i="2"/>
  <c r="V366" i="2"/>
  <c r="S366" i="2"/>
  <c r="P366" i="2"/>
  <c r="M366" i="2"/>
  <c r="J366" i="2"/>
  <c r="G366" i="2"/>
  <c r="C366" i="2"/>
  <c r="B366" i="2"/>
  <c r="AB365" i="2"/>
  <c r="Y365" i="2"/>
  <c r="V365" i="2"/>
  <c r="S365" i="2"/>
  <c r="P365" i="2"/>
  <c r="M365" i="2"/>
  <c r="J365" i="2"/>
  <c r="G365" i="2"/>
  <c r="C365" i="2"/>
  <c r="B365" i="2"/>
  <c r="AB364" i="2"/>
  <c r="Y364" i="2"/>
  <c r="V364" i="2"/>
  <c r="S364" i="2"/>
  <c r="P364" i="2"/>
  <c r="L364" i="2"/>
  <c r="C364" i="2" s="1"/>
  <c r="K364" i="2"/>
  <c r="J364" i="2"/>
  <c r="G364" i="2"/>
  <c r="B364" i="2"/>
  <c r="AA363" i="2"/>
  <c r="Z363" i="2"/>
  <c r="X363" i="2"/>
  <c r="Y363" i="2" s="1"/>
  <c r="W363" i="2"/>
  <c r="U363" i="2"/>
  <c r="T363" i="2"/>
  <c r="R363" i="2"/>
  <c r="Q363" i="2"/>
  <c r="O363" i="2"/>
  <c r="N363" i="2"/>
  <c r="I363" i="2"/>
  <c r="J363" i="2" s="1"/>
  <c r="H363" i="2"/>
  <c r="F363" i="2"/>
  <c r="E363" i="2"/>
  <c r="AB362" i="2"/>
  <c r="Y362" i="2"/>
  <c r="V362" i="2"/>
  <c r="S362" i="2"/>
  <c r="P362" i="2"/>
  <c r="L362" i="2"/>
  <c r="K362" i="2"/>
  <c r="J362" i="2"/>
  <c r="G362" i="2"/>
  <c r="C362" i="2"/>
  <c r="B362" i="2"/>
  <c r="AB361" i="2"/>
  <c r="Y361" i="2"/>
  <c r="V361" i="2"/>
  <c r="S361" i="2"/>
  <c r="P361" i="2"/>
  <c r="M361" i="2"/>
  <c r="J361" i="2"/>
  <c r="G361" i="2"/>
  <c r="C361" i="2"/>
  <c r="B361" i="2"/>
  <c r="AB360" i="2"/>
  <c r="Y360" i="2"/>
  <c r="V360" i="2"/>
  <c r="S360" i="2"/>
  <c r="P360" i="2"/>
  <c r="L360" i="2"/>
  <c r="L355" i="2" s="1"/>
  <c r="K360" i="2"/>
  <c r="J360" i="2"/>
  <c r="G360" i="2"/>
  <c r="C360" i="2"/>
  <c r="B360" i="2"/>
  <c r="AB359" i="2"/>
  <c r="Y359" i="2"/>
  <c r="V359" i="2"/>
  <c r="S359" i="2"/>
  <c r="P359" i="2"/>
  <c r="M359" i="2"/>
  <c r="J359" i="2"/>
  <c r="G359" i="2"/>
  <c r="C359" i="2"/>
  <c r="B359" i="2"/>
  <c r="AB358" i="2"/>
  <c r="Y358" i="2"/>
  <c r="V358" i="2"/>
  <c r="S358" i="2"/>
  <c r="P358" i="2"/>
  <c r="M358" i="2"/>
  <c r="J358" i="2"/>
  <c r="G358" i="2"/>
  <c r="C358" i="2"/>
  <c r="B358" i="2"/>
  <c r="AB357" i="2"/>
  <c r="Y357" i="2"/>
  <c r="V357" i="2"/>
  <c r="S357" i="2"/>
  <c r="P357" i="2"/>
  <c r="M357" i="2"/>
  <c r="J357" i="2"/>
  <c r="G357" i="2"/>
  <c r="C357" i="2"/>
  <c r="B357" i="2"/>
  <c r="AB356" i="2"/>
  <c r="Y356" i="2"/>
  <c r="V356" i="2"/>
  <c r="S356" i="2"/>
  <c r="P356" i="2"/>
  <c r="M356" i="2"/>
  <c r="J356" i="2"/>
  <c r="G356" i="2"/>
  <c r="C356" i="2"/>
  <c r="B356" i="2"/>
  <c r="AA355" i="2"/>
  <c r="Z355" i="2"/>
  <c r="Y355" i="2"/>
  <c r="X355" i="2"/>
  <c r="W355" i="2"/>
  <c r="U355" i="2"/>
  <c r="T355" i="2"/>
  <c r="R355" i="2"/>
  <c r="S355" i="2" s="1"/>
  <c r="Q355" i="2"/>
  <c r="O355" i="2"/>
  <c r="N355" i="2"/>
  <c r="I355" i="2"/>
  <c r="H355" i="2"/>
  <c r="F355" i="2"/>
  <c r="E355" i="2"/>
  <c r="AB353" i="2"/>
  <c r="Y353" i="2"/>
  <c r="V353" i="2"/>
  <c r="S353" i="2"/>
  <c r="P353" i="2"/>
  <c r="M353" i="2"/>
  <c r="J353" i="2"/>
  <c r="G353" i="2"/>
  <c r="C353" i="2"/>
  <c r="B353" i="2"/>
  <c r="AA352" i="2"/>
  <c r="AB352" i="2" s="1"/>
  <c r="Z352" i="2"/>
  <c r="X352" i="2"/>
  <c r="W352" i="2"/>
  <c r="Y352" i="2" s="1"/>
  <c r="V352" i="2"/>
  <c r="U352" i="2"/>
  <c r="T352" i="2"/>
  <c r="R352" i="2"/>
  <c r="S352" i="2" s="1"/>
  <c r="Q352" i="2"/>
  <c r="O352" i="2"/>
  <c r="N352" i="2"/>
  <c r="L352" i="2"/>
  <c r="K352" i="2"/>
  <c r="I352" i="2"/>
  <c r="H352" i="2"/>
  <c r="F352" i="2"/>
  <c r="C352" i="2" s="1"/>
  <c r="E352" i="2"/>
  <c r="AB351" i="2"/>
  <c r="Y351" i="2"/>
  <c r="V351" i="2"/>
  <c r="S351" i="2"/>
  <c r="P351" i="2"/>
  <c r="L351" i="2"/>
  <c r="K351" i="2"/>
  <c r="I351" i="2"/>
  <c r="H351" i="2"/>
  <c r="F351" i="2"/>
  <c r="C351" i="2" s="1"/>
  <c r="E351" i="2"/>
  <c r="AB350" i="2"/>
  <c r="Y350" i="2"/>
  <c r="V350" i="2"/>
  <c r="S350" i="2"/>
  <c r="P350" i="2"/>
  <c r="M350" i="2"/>
  <c r="J350" i="2"/>
  <c r="G350" i="2"/>
  <c r="C350" i="2"/>
  <c r="B350" i="2"/>
  <c r="AA349" i="2"/>
  <c r="Z349" i="2"/>
  <c r="Y349" i="2"/>
  <c r="V349" i="2"/>
  <c r="S349" i="2"/>
  <c r="P349" i="2"/>
  <c r="L349" i="2"/>
  <c r="K349" i="2"/>
  <c r="I349" i="2"/>
  <c r="J349" i="2" s="1"/>
  <c r="H349" i="2"/>
  <c r="G349" i="2"/>
  <c r="AB348" i="2"/>
  <c r="Y348" i="2"/>
  <c r="V348" i="2"/>
  <c r="S348" i="2"/>
  <c r="P348" i="2"/>
  <c r="L348" i="2"/>
  <c r="K348" i="2"/>
  <c r="B348" i="2" s="1"/>
  <c r="J348" i="2"/>
  <c r="G348" i="2"/>
  <c r="AB347" i="2"/>
  <c r="Y347" i="2"/>
  <c r="V347" i="2"/>
  <c r="S347" i="2"/>
  <c r="P347" i="2"/>
  <c r="M347" i="2"/>
  <c r="J347" i="2"/>
  <c r="G347" i="2"/>
  <c r="C347" i="2"/>
  <c r="B347" i="2"/>
  <c r="AB346" i="2"/>
  <c r="Y346" i="2"/>
  <c r="V346" i="2"/>
  <c r="S346" i="2"/>
  <c r="P346" i="2"/>
  <c r="M346" i="2"/>
  <c r="J346" i="2"/>
  <c r="G346" i="2"/>
  <c r="C346" i="2"/>
  <c r="B346" i="2"/>
  <c r="AB345" i="2"/>
  <c r="Y345" i="2"/>
  <c r="V345" i="2"/>
  <c r="S345" i="2"/>
  <c r="P345" i="2"/>
  <c r="M345" i="2"/>
  <c r="I345" i="2"/>
  <c r="H345" i="2"/>
  <c r="F345" i="2"/>
  <c r="E345" i="2"/>
  <c r="AB344" i="2"/>
  <c r="Y344" i="2"/>
  <c r="V344" i="2"/>
  <c r="S344" i="2"/>
  <c r="P344" i="2"/>
  <c r="M344" i="2"/>
  <c r="J344" i="2"/>
  <c r="F344" i="2"/>
  <c r="C344" i="2" s="1"/>
  <c r="E344" i="2"/>
  <c r="B344" i="2" s="1"/>
  <c r="AB343" i="2"/>
  <c r="Y343" i="2"/>
  <c r="V343" i="2"/>
  <c r="S343" i="2"/>
  <c r="P343" i="2"/>
  <c r="L343" i="2"/>
  <c r="K343" i="2"/>
  <c r="J343" i="2"/>
  <c r="G343" i="2"/>
  <c r="C343" i="2"/>
  <c r="AA342" i="2"/>
  <c r="Z342" i="2"/>
  <c r="B342" i="2" s="1"/>
  <c r="Y342" i="2"/>
  <c r="V342" i="2"/>
  <c r="S342" i="2"/>
  <c r="P342" i="2"/>
  <c r="M342" i="2"/>
  <c r="J342" i="2"/>
  <c r="G342" i="2"/>
  <c r="AB341" i="2"/>
  <c r="Y341" i="2"/>
  <c r="U341" i="2"/>
  <c r="T341" i="2"/>
  <c r="S341" i="2"/>
  <c r="P341" i="2"/>
  <c r="M341" i="2"/>
  <c r="J341" i="2"/>
  <c r="G341" i="2"/>
  <c r="B341" i="2"/>
  <c r="AB340" i="2"/>
  <c r="Y340" i="2"/>
  <c r="V340" i="2"/>
  <c r="S340" i="2"/>
  <c r="P340" i="2"/>
  <c r="L340" i="2"/>
  <c r="K340" i="2"/>
  <c r="M340" i="2" s="1"/>
  <c r="J340" i="2"/>
  <c r="G340" i="2"/>
  <c r="C340" i="2"/>
  <c r="B340" i="2"/>
  <c r="AB339" i="2"/>
  <c r="Y339" i="2"/>
  <c r="V339" i="2"/>
  <c r="S339" i="2"/>
  <c r="P339" i="2"/>
  <c r="M339" i="2"/>
  <c r="J339" i="2"/>
  <c r="G339" i="2"/>
  <c r="C339" i="2"/>
  <c r="B339" i="2"/>
  <c r="AB338" i="2"/>
  <c r="Y338" i="2"/>
  <c r="V338" i="2"/>
  <c r="S338" i="2"/>
  <c r="P338" i="2"/>
  <c r="M338" i="2"/>
  <c r="J338" i="2"/>
  <c r="G338" i="2"/>
  <c r="C338" i="2"/>
  <c r="B338" i="2"/>
  <c r="AB337" i="2"/>
  <c r="Y337" i="2"/>
  <c r="V337" i="2"/>
  <c r="S337" i="2"/>
  <c r="P337" i="2"/>
  <c r="M337" i="2"/>
  <c r="J337" i="2"/>
  <c r="G337" i="2"/>
  <c r="C337" i="2"/>
  <c r="B337" i="2"/>
  <c r="AB336" i="2"/>
  <c r="Y336" i="2"/>
  <c r="V336" i="2"/>
  <c r="S336" i="2"/>
  <c r="P336" i="2"/>
  <c r="L336" i="2"/>
  <c r="C336" i="2" s="1"/>
  <c r="K336" i="2"/>
  <c r="B336" i="2" s="1"/>
  <c r="J336" i="2"/>
  <c r="G336" i="2"/>
  <c r="AB335" i="2"/>
  <c r="Y335" i="2"/>
  <c r="V335" i="2"/>
  <c r="S335" i="2"/>
  <c r="P335" i="2"/>
  <c r="M335" i="2"/>
  <c r="J335" i="2"/>
  <c r="G335" i="2"/>
  <c r="D335" i="2" s="1"/>
  <c r="C335" i="2"/>
  <c r="B335" i="2"/>
  <c r="AB334" i="2"/>
  <c r="Y334" i="2"/>
  <c r="V334" i="2"/>
  <c r="S334" i="2"/>
  <c r="P334" i="2"/>
  <c r="M334" i="2"/>
  <c r="J334" i="2"/>
  <c r="G334" i="2"/>
  <c r="C334" i="2"/>
  <c r="B334" i="2"/>
  <c r="X333" i="2"/>
  <c r="W333" i="2"/>
  <c r="T333" i="2"/>
  <c r="R333" i="2"/>
  <c r="Q333" i="2"/>
  <c r="O333" i="2"/>
  <c r="P333" i="2" s="1"/>
  <c r="N333" i="2"/>
  <c r="AB332" i="2"/>
  <c r="Y332" i="2"/>
  <c r="V332" i="2"/>
  <c r="S332" i="2"/>
  <c r="P332" i="2"/>
  <c r="M332" i="2"/>
  <c r="J332" i="2"/>
  <c r="G332" i="2"/>
  <c r="C332" i="2"/>
  <c r="B332" i="2"/>
  <c r="AB331" i="2"/>
  <c r="Y331" i="2"/>
  <c r="V331" i="2"/>
  <c r="S331" i="2"/>
  <c r="P331" i="2"/>
  <c r="M331" i="2"/>
  <c r="J331" i="2"/>
  <c r="G331" i="2"/>
  <c r="C331" i="2"/>
  <c r="B331" i="2"/>
  <c r="AB330" i="2"/>
  <c r="Y330" i="2"/>
  <c r="V330" i="2"/>
  <c r="S330" i="2"/>
  <c r="P330" i="2"/>
  <c r="M330" i="2"/>
  <c r="J330" i="2"/>
  <c r="G330" i="2"/>
  <c r="C330" i="2"/>
  <c r="B330" i="2"/>
  <c r="AB329" i="2"/>
  <c r="Y329" i="2"/>
  <c r="V329" i="2"/>
  <c r="S329" i="2"/>
  <c r="P329" i="2"/>
  <c r="L329" i="2"/>
  <c r="J329" i="2"/>
  <c r="G329" i="2"/>
  <c r="B329" i="2"/>
  <c r="AB328" i="2"/>
  <c r="Y328" i="2"/>
  <c r="V328" i="2"/>
  <c r="S328" i="2"/>
  <c r="P328" i="2"/>
  <c r="L328" i="2"/>
  <c r="K328" i="2"/>
  <c r="K326" i="2" s="1"/>
  <c r="J328" i="2"/>
  <c r="G328" i="2"/>
  <c r="C328" i="2"/>
  <c r="B328" i="2"/>
  <c r="AB327" i="2"/>
  <c r="Y327" i="2"/>
  <c r="V327" i="2"/>
  <c r="S327" i="2"/>
  <c r="P327" i="2"/>
  <c r="M327" i="2"/>
  <c r="J327" i="2"/>
  <c r="G327" i="2"/>
  <c r="C327" i="2"/>
  <c r="B327" i="2"/>
  <c r="AA326" i="2"/>
  <c r="AB326" i="2" s="1"/>
  <c r="Z326" i="2"/>
  <c r="X326" i="2"/>
  <c r="W326" i="2"/>
  <c r="U326" i="2"/>
  <c r="T326" i="2"/>
  <c r="R326" i="2"/>
  <c r="Q326" i="2"/>
  <c r="O326" i="2"/>
  <c r="N326" i="2"/>
  <c r="I326" i="2"/>
  <c r="H326" i="2"/>
  <c r="F326" i="2"/>
  <c r="E326" i="2"/>
  <c r="G326" i="2" s="1"/>
  <c r="AB325" i="2"/>
  <c r="Y325" i="2"/>
  <c r="V325" i="2"/>
  <c r="S325" i="2"/>
  <c r="P325" i="2"/>
  <c r="M325" i="2"/>
  <c r="J325" i="2"/>
  <c r="G325" i="2"/>
  <c r="C325" i="2"/>
  <c r="B325" i="2"/>
  <c r="AB324" i="2"/>
  <c r="Y324" i="2"/>
  <c r="V324" i="2"/>
  <c r="S324" i="2"/>
  <c r="P324" i="2"/>
  <c r="M324" i="2"/>
  <c r="J324" i="2"/>
  <c r="G324" i="2"/>
  <c r="C324" i="2"/>
  <c r="B324" i="2"/>
  <c r="AB323" i="2"/>
  <c r="Y323" i="2"/>
  <c r="V323" i="2"/>
  <c r="S323" i="2"/>
  <c r="P323" i="2"/>
  <c r="M323" i="2"/>
  <c r="J323" i="2"/>
  <c r="G323" i="2"/>
  <c r="C323" i="2"/>
  <c r="B323" i="2"/>
  <c r="AA322" i="2"/>
  <c r="Z322" i="2"/>
  <c r="X322" i="2"/>
  <c r="Y322" i="2" s="1"/>
  <c r="W322" i="2"/>
  <c r="U322" i="2"/>
  <c r="T322" i="2"/>
  <c r="S322" i="2"/>
  <c r="R322" i="2"/>
  <c r="Q322" i="2"/>
  <c r="O322" i="2"/>
  <c r="N322" i="2"/>
  <c r="L322" i="2"/>
  <c r="K322" i="2"/>
  <c r="I322" i="2"/>
  <c r="H322" i="2"/>
  <c r="F322" i="2"/>
  <c r="E322" i="2"/>
  <c r="AB321" i="2"/>
  <c r="Y321" i="2"/>
  <c r="V321" i="2"/>
  <c r="S321" i="2"/>
  <c r="P321" i="2"/>
  <c r="M321" i="2"/>
  <c r="J321" i="2"/>
  <c r="G321" i="2"/>
  <c r="C321" i="2"/>
  <c r="B321" i="2"/>
  <c r="AB320" i="2"/>
  <c r="Y320" i="2"/>
  <c r="V320" i="2"/>
  <c r="S320" i="2"/>
  <c r="P320" i="2"/>
  <c r="L320" i="2"/>
  <c r="K320" i="2"/>
  <c r="J320" i="2"/>
  <c r="G320" i="2"/>
  <c r="C320" i="2"/>
  <c r="AB319" i="2"/>
  <c r="Y319" i="2"/>
  <c r="V319" i="2"/>
  <c r="S319" i="2"/>
  <c r="P319" i="2"/>
  <c r="M319" i="2"/>
  <c r="J319" i="2"/>
  <c r="G319" i="2"/>
  <c r="C319" i="2"/>
  <c r="B319" i="2"/>
  <c r="AB318" i="2"/>
  <c r="Y318" i="2"/>
  <c r="V318" i="2"/>
  <c r="S318" i="2"/>
  <c r="P318" i="2"/>
  <c r="M318" i="2"/>
  <c r="J318" i="2"/>
  <c r="G318" i="2"/>
  <c r="C318" i="2"/>
  <c r="B318" i="2"/>
  <c r="AA317" i="2"/>
  <c r="AB317" i="2" s="1"/>
  <c r="Z317" i="2"/>
  <c r="X317" i="2"/>
  <c r="W317" i="2"/>
  <c r="U317" i="2"/>
  <c r="T317" i="2"/>
  <c r="R317" i="2"/>
  <c r="Q317" i="2"/>
  <c r="O317" i="2"/>
  <c r="N317" i="2"/>
  <c r="L317" i="2"/>
  <c r="I317" i="2"/>
  <c r="H317" i="2"/>
  <c r="F317" i="2"/>
  <c r="G317" i="2" s="1"/>
  <c r="E317" i="2"/>
  <c r="AB316" i="2"/>
  <c r="Y316" i="2"/>
  <c r="V316" i="2"/>
  <c r="S316" i="2"/>
  <c r="P316" i="2"/>
  <c r="M316" i="2"/>
  <c r="J316" i="2"/>
  <c r="G316" i="2"/>
  <c r="C316" i="2"/>
  <c r="B316" i="2"/>
  <c r="AB315" i="2"/>
  <c r="Y315" i="2"/>
  <c r="V315" i="2"/>
  <c r="S315" i="2"/>
  <c r="P315" i="2"/>
  <c r="L315" i="2"/>
  <c r="C315" i="2" s="1"/>
  <c r="K315" i="2"/>
  <c r="B315" i="2" s="1"/>
  <c r="J315" i="2"/>
  <c r="G315" i="2"/>
  <c r="AA314" i="2"/>
  <c r="Z314" i="2"/>
  <c r="X314" i="2"/>
  <c r="W314" i="2"/>
  <c r="U314" i="2"/>
  <c r="T314" i="2"/>
  <c r="R314" i="2"/>
  <c r="Q314" i="2"/>
  <c r="O314" i="2"/>
  <c r="N314" i="2"/>
  <c r="L314" i="2"/>
  <c r="I314" i="2"/>
  <c r="H314" i="2"/>
  <c r="F314" i="2"/>
  <c r="G314" i="2" s="1"/>
  <c r="E314" i="2"/>
  <c r="AB312" i="2"/>
  <c r="Y312" i="2"/>
  <c r="V312" i="2"/>
  <c r="S312" i="2"/>
  <c r="P312" i="2"/>
  <c r="M312" i="2"/>
  <c r="J312" i="2"/>
  <c r="G312" i="2"/>
  <c r="C312" i="2"/>
  <c r="B312" i="2"/>
  <c r="AA311" i="2"/>
  <c r="AB311" i="2" s="1"/>
  <c r="Z311" i="2"/>
  <c r="X311" i="2"/>
  <c r="W311" i="2"/>
  <c r="U311" i="2"/>
  <c r="T311" i="2"/>
  <c r="R311" i="2"/>
  <c r="Q311" i="2"/>
  <c r="O311" i="2"/>
  <c r="N311" i="2"/>
  <c r="L311" i="2"/>
  <c r="K311" i="2"/>
  <c r="I311" i="2"/>
  <c r="H311" i="2"/>
  <c r="F311" i="2"/>
  <c r="E311" i="2"/>
  <c r="AB310" i="2"/>
  <c r="Y310" i="2"/>
  <c r="V310" i="2"/>
  <c r="S310" i="2"/>
  <c r="O310" i="2"/>
  <c r="C310" i="2" s="1"/>
  <c r="N310" i="2"/>
  <c r="N307" i="2" s="1"/>
  <c r="M310" i="2"/>
  <c r="J310" i="2"/>
  <c r="G310" i="2"/>
  <c r="B310" i="2"/>
  <c r="AB309" i="2"/>
  <c r="Y309" i="2"/>
  <c r="V309" i="2"/>
  <c r="S309" i="2"/>
  <c r="P309" i="2"/>
  <c r="M309" i="2"/>
  <c r="J309" i="2"/>
  <c r="G309" i="2"/>
  <c r="C309" i="2"/>
  <c r="B309" i="2"/>
  <c r="AB308" i="2"/>
  <c r="Y308" i="2"/>
  <c r="V308" i="2"/>
  <c r="S308" i="2"/>
  <c r="O308" i="2"/>
  <c r="P308" i="2" s="1"/>
  <c r="N308" i="2"/>
  <c r="M308" i="2"/>
  <c r="J308" i="2"/>
  <c r="G308" i="2"/>
  <c r="B308" i="2"/>
  <c r="AA307" i="2"/>
  <c r="Z307" i="2"/>
  <c r="X307" i="2"/>
  <c r="W307" i="2"/>
  <c r="U307" i="2"/>
  <c r="T307" i="2"/>
  <c r="R307" i="2"/>
  <c r="Q307" i="2"/>
  <c r="L307" i="2"/>
  <c r="K307" i="2"/>
  <c r="I307" i="2"/>
  <c r="H307" i="2"/>
  <c r="F307" i="2"/>
  <c r="E307" i="2"/>
  <c r="AB306" i="2"/>
  <c r="Y306" i="2"/>
  <c r="V306" i="2"/>
  <c r="S306" i="2"/>
  <c r="P306" i="2"/>
  <c r="M306" i="2"/>
  <c r="J306" i="2"/>
  <c r="G306" i="2"/>
  <c r="C306" i="2"/>
  <c r="B306" i="2"/>
  <c r="AB305" i="2"/>
  <c r="Y305" i="2"/>
  <c r="V305" i="2"/>
  <c r="S305" i="2"/>
  <c r="O305" i="2"/>
  <c r="N305" i="2"/>
  <c r="M305" i="2"/>
  <c r="J305" i="2"/>
  <c r="G305" i="2"/>
  <c r="AB304" i="2"/>
  <c r="Y304" i="2"/>
  <c r="V304" i="2"/>
  <c r="S304" i="2"/>
  <c r="P304" i="2"/>
  <c r="M304" i="2"/>
  <c r="J304" i="2"/>
  <c r="G304" i="2"/>
  <c r="C304" i="2"/>
  <c r="B304" i="2"/>
  <c r="AB303" i="2"/>
  <c r="Y303" i="2"/>
  <c r="V303" i="2"/>
  <c r="S303" i="2"/>
  <c r="P303" i="2"/>
  <c r="M303" i="2"/>
  <c r="J303" i="2"/>
  <c r="G303" i="2"/>
  <c r="C303" i="2"/>
  <c r="B303" i="2"/>
  <c r="AA302" i="2"/>
  <c r="Z302" i="2"/>
  <c r="X302" i="2"/>
  <c r="Y302" i="2" s="1"/>
  <c r="W302" i="2"/>
  <c r="U302" i="2"/>
  <c r="T302" i="2"/>
  <c r="R302" i="2"/>
  <c r="Q302" i="2"/>
  <c r="L302" i="2"/>
  <c r="K302" i="2"/>
  <c r="I302" i="2"/>
  <c r="H302" i="2"/>
  <c r="F302" i="2"/>
  <c r="E302" i="2"/>
  <c r="AB301" i="2"/>
  <c r="Y301" i="2"/>
  <c r="V301" i="2"/>
  <c r="S301" i="2"/>
  <c r="P301" i="2"/>
  <c r="M301" i="2"/>
  <c r="J301" i="2"/>
  <c r="G301" i="2"/>
  <c r="C301" i="2"/>
  <c r="B301" i="2"/>
  <c r="AB300" i="2"/>
  <c r="Y300" i="2"/>
  <c r="V300" i="2"/>
  <c r="S300" i="2"/>
  <c r="P300" i="2"/>
  <c r="M300" i="2"/>
  <c r="J300" i="2"/>
  <c r="G300" i="2"/>
  <c r="C300" i="2"/>
  <c r="B300" i="2"/>
  <c r="AB299" i="2"/>
  <c r="Y299" i="2"/>
  <c r="V299" i="2"/>
  <c r="S299" i="2"/>
  <c r="P299" i="2"/>
  <c r="M299" i="2"/>
  <c r="J299" i="2"/>
  <c r="G299" i="2"/>
  <c r="C299" i="2"/>
  <c r="B299" i="2"/>
  <c r="AB298" i="2"/>
  <c r="Y298" i="2"/>
  <c r="V298" i="2"/>
  <c r="S298" i="2"/>
  <c r="P298" i="2"/>
  <c r="M298" i="2"/>
  <c r="J298" i="2"/>
  <c r="G298" i="2"/>
  <c r="C298" i="2"/>
  <c r="B298" i="2"/>
  <c r="AB297" i="2"/>
  <c r="Y297" i="2"/>
  <c r="V297" i="2"/>
  <c r="S297" i="2"/>
  <c r="P297" i="2"/>
  <c r="M297" i="2"/>
  <c r="J297" i="2"/>
  <c r="G297" i="2"/>
  <c r="D297" i="2" s="1"/>
  <c r="C297" i="2"/>
  <c r="B297" i="2"/>
  <c r="AB296" i="2"/>
  <c r="Y296" i="2"/>
  <c r="V296" i="2"/>
  <c r="S296" i="2"/>
  <c r="P296" i="2"/>
  <c r="M296" i="2"/>
  <c r="J296" i="2"/>
  <c r="G296" i="2"/>
  <c r="C296" i="2"/>
  <c r="B296" i="2"/>
  <c r="AA295" i="2"/>
  <c r="Z295" i="2"/>
  <c r="X295" i="2"/>
  <c r="W295" i="2"/>
  <c r="U295" i="2"/>
  <c r="V295" i="2" s="1"/>
  <c r="T295" i="2"/>
  <c r="R295" i="2"/>
  <c r="Q295" i="2"/>
  <c r="O295" i="2"/>
  <c r="N295" i="2"/>
  <c r="L295" i="2"/>
  <c r="K295" i="2"/>
  <c r="M295" i="2" s="1"/>
  <c r="I295" i="2"/>
  <c r="H295" i="2"/>
  <c r="J295" i="2" s="1"/>
  <c r="F295" i="2"/>
  <c r="E295" i="2"/>
  <c r="AB294" i="2"/>
  <c r="Y294" i="2"/>
  <c r="V294" i="2"/>
  <c r="S294" i="2"/>
  <c r="P294" i="2"/>
  <c r="M294" i="2"/>
  <c r="J294" i="2"/>
  <c r="G294" i="2"/>
  <c r="C294" i="2"/>
  <c r="B294" i="2"/>
  <c r="AA293" i="2"/>
  <c r="AB293" i="2" s="1"/>
  <c r="Z293" i="2"/>
  <c r="X293" i="2"/>
  <c r="W293" i="2"/>
  <c r="U293" i="2"/>
  <c r="T293" i="2"/>
  <c r="R293" i="2"/>
  <c r="Q293" i="2"/>
  <c r="S293" i="2" s="1"/>
  <c r="O293" i="2"/>
  <c r="P293" i="2" s="1"/>
  <c r="N293" i="2"/>
  <c r="L293" i="2"/>
  <c r="K293" i="2"/>
  <c r="I293" i="2"/>
  <c r="H293" i="2"/>
  <c r="F293" i="2"/>
  <c r="E293" i="2"/>
  <c r="AB292" i="2"/>
  <c r="Y292" i="2"/>
  <c r="V292" i="2"/>
  <c r="S292" i="2"/>
  <c r="O292" i="2"/>
  <c r="N292" i="2"/>
  <c r="N285" i="2" s="1"/>
  <c r="M292" i="2"/>
  <c r="J292" i="2"/>
  <c r="G292" i="2"/>
  <c r="B292" i="2"/>
  <c r="AB291" i="2"/>
  <c r="Y291" i="2"/>
  <c r="V291" i="2"/>
  <c r="S291" i="2"/>
  <c r="P291" i="2"/>
  <c r="M291" i="2"/>
  <c r="J291" i="2"/>
  <c r="G291" i="2"/>
  <c r="C291" i="2"/>
  <c r="B291" i="2"/>
  <c r="AB290" i="2"/>
  <c r="Y290" i="2"/>
  <c r="V290" i="2"/>
  <c r="S290" i="2"/>
  <c r="P290" i="2"/>
  <c r="M290" i="2"/>
  <c r="J290" i="2"/>
  <c r="G290" i="2"/>
  <c r="C290" i="2"/>
  <c r="B290" i="2"/>
  <c r="AB289" i="2"/>
  <c r="Y289" i="2"/>
  <c r="V289" i="2"/>
  <c r="S289" i="2"/>
  <c r="P289" i="2"/>
  <c r="M289" i="2"/>
  <c r="J289" i="2"/>
  <c r="G289" i="2"/>
  <c r="C289" i="2"/>
  <c r="B289" i="2"/>
  <c r="AB288" i="2"/>
  <c r="Y288" i="2"/>
  <c r="V288" i="2"/>
  <c r="S288" i="2"/>
  <c r="P288" i="2"/>
  <c r="M288" i="2"/>
  <c r="J288" i="2"/>
  <c r="G288" i="2"/>
  <c r="C288" i="2"/>
  <c r="B288" i="2"/>
  <c r="AB287" i="2"/>
  <c r="Y287" i="2"/>
  <c r="V287" i="2"/>
  <c r="S287" i="2"/>
  <c r="P287" i="2"/>
  <c r="M287" i="2"/>
  <c r="J287" i="2"/>
  <c r="G287" i="2"/>
  <c r="C287" i="2"/>
  <c r="B287" i="2"/>
  <c r="AB286" i="2"/>
  <c r="Y286" i="2"/>
  <c r="V286" i="2"/>
  <c r="S286" i="2"/>
  <c r="P286" i="2"/>
  <c r="L286" i="2"/>
  <c r="M286" i="2" s="1"/>
  <c r="K286" i="2"/>
  <c r="J286" i="2"/>
  <c r="G286" i="2"/>
  <c r="C286" i="2"/>
  <c r="B286" i="2"/>
  <c r="AA285" i="2"/>
  <c r="AB285" i="2" s="1"/>
  <c r="Z285" i="2"/>
  <c r="X285" i="2"/>
  <c r="W285" i="2"/>
  <c r="U285" i="2"/>
  <c r="T285" i="2"/>
  <c r="R285" i="2"/>
  <c r="Q285" i="2"/>
  <c r="L285" i="2"/>
  <c r="M285" i="2" s="1"/>
  <c r="K285" i="2"/>
  <c r="I285" i="2"/>
  <c r="H285" i="2"/>
  <c r="F285" i="2"/>
  <c r="E285" i="2"/>
  <c r="AB283" i="2"/>
  <c r="Y283" i="2"/>
  <c r="V283" i="2"/>
  <c r="S283" i="2"/>
  <c r="P283" i="2"/>
  <c r="M283" i="2"/>
  <c r="J283" i="2"/>
  <c r="G283" i="2"/>
  <c r="C283" i="2"/>
  <c r="B283" i="2"/>
  <c r="AB282" i="2"/>
  <c r="Y282" i="2"/>
  <c r="V282" i="2"/>
  <c r="S282" i="2"/>
  <c r="P282" i="2"/>
  <c r="M282" i="2"/>
  <c r="J282" i="2"/>
  <c r="G282" i="2"/>
  <c r="C282" i="2"/>
  <c r="B282" i="2"/>
  <c r="AB281" i="2"/>
  <c r="Y281" i="2"/>
  <c r="V281" i="2"/>
  <c r="R281" i="2"/>
  <c r="R279" i="2" s="1"/>
  <c r="Q281" i="2"/>
  <c r="P281" i="2"/>
  <c r="M281" i="2"/>
  <c r="J281" i="2"/>
  <c r="G281" i="2"/>
  <c r="AB280" i="2"/>
  <c r="Y280" i="2"/>
  <c r="V280" i="2"/>
  <c r="S280" i="2"/>
  <c r="P280" i="2"/>
  <c r="M280" i="2"/>
  <c r="J280" i="2"/>
  <c r="G280" i="2"/>
  <c r="C280" i="2"/>
  <c r="B280" i="2"/>
  <c r="AA279" i="2"/>
  <c r="Z279" i="2"/>
  <c r="X279" i="2"/>
  <c r="W279" i="2"/>
  <c r="U279" i="2"/>
  <c r="T279" i="2"/>
  <c r="O279" i="2"/>
  <c r="N279" i="2"/>
  <c r="L279" i="2"/>
  <c r="K279" i="2"/>
  <c r="I279" i="2"/>
  <c r="H279" i="2"/>
  <c r="F279" i="2"/>
  <c r="E279" i="2"/>
  <c r="AB278" i="2"/>
  <c r="Y278" i="2"/>
  <c r="V278" i="2"/>
  <c r="S278" i="2"/>
  <c r="P278" i="2"/>
  <c r="M278" i="2"/>
  <c r="J278" i="2"/>
  <c r="G278" i="2"/>
  <c r="C278" i="2"/>
  <c r="B278" i="2"/>
  <c r="AA277" i="2"/>
  <c r="Z277" i="2"/>
  <c r="AB277" i="2" s="1"/>
  <c r="X277" i="2"/>
  <c r="Y277" i="2" s="1"/>
  <c r="W277" i="2"/>
  <c r="U277" i="2"/>
  <c r="T277" i="2"/>
  <c r="R277" i="2"/>
  <c r="Q277" i="2"/>
  <c r="O277" i="2"/>
  <c r="N277" i="2"/>
  <c r="L277" i="2"/>
  <c r="K277" i="2"/>
  <c r="I277" i="2"/>
  <c r="J277" i="2" s="1"/>
  <c r="H277" i="2"/>
  <c r="F277" i="2"/>
  <c r="E277" i="2"/>
  <c r="AB276" i="2"/>
  <c r="Y276" i="2"/>
  <c r="V276" i="2"/>
  <c r="S276" i="2"/>
  <c r="P276" i="2"/>
  <c r="M276" i="2"/>
  <c r="J276" i="2"/>
  <c r="G276" i="2"/>
  <c r="D276" i="2"/>
  <c r="C276" i="2"/>
  <c r="B276" i="2"/>
  <c r="AB275" i="2"/>
  <c r="Y275" i="2"/>
  <c r="V275" i="2"/>
  <c r="S275" i="2"/>
  <c r="P275" i="2"/>
  <c r="M275" i="2"/>
  <c r="D275" i="2" s="1"/>
  <c r="J275" i="2"/>
  <c r="G275" i="2"/>
  <c r="C275" i="2"/>
  <c r="B275" i="2"/>
  <c r="AB274" i="2"/>
  <c r="Y274" i="2"/>
  <c r="V274" i="2"/>
  <c r="S274" i="2"/>
  <c r="P274" i="2"/>
  <c r="M274" i="2"/>
  <c r="J274" i="2"/>
  <c r="G274" i="2"/>
  <c r="C274" i="2"/>
  <c r="B274" i="2"/>
  <c r="AB273" i="2"/>
  <c r="Y273" i="2"/>
  <c r="V273" i="2"/>
  <c r="S273" i="2"/>
  <c r="P273" i="2"/>
  <c r="M273" i="2"/>
  <c r="J273" i="2"/>
  <c r="G273" i="2"/>
  <c r="C273" i="2"/>
  <c r="B273" i="2"/>
  <c r="AB272" i="2"/>
  <c r="Y272" i="2"/>
  <c r="V272" i="2"/>
  <c r="R272" i="2"/>
  <c r="Q272" i="2"/>
  <c r="P272" i="2"/>
  <c r="M272" i="2"/>
  <c r="J272" i="2"/>
  <c r="G272" i="2"/>
  <c r="B272" i="2"/>
  <c r="AA271" i="2"/>
  <c r="Z271" i="2"/>
  <c r="AB271" i="2" s="1"/>
  <c r="X271" i="2"/>
  <c r="W271" i="2"/>
  <c r="U271" i="2"/>
  <c r="T271" i="2"/>
  <c r="Q271" i="2"/>
  <c r="O271" i="2"/>
  <c r="N271" i="2"/>
  <c r="L271" i="2"/>
  <c r="K271" i="2"/>
  <c r="I271" i="2"/>
  <c r="H271" i="2"/>
  <c r="F271" i="2"/>
  <c r="E271" i="2"/>
  <c r="AB270" i="2"/>
  <c r="Y270" i="2"/>
  <c r="V270" i="2"/>
  <c r="R270" i="2"/>
  <c r="Q270" i="2"/>
  <c r="P270" i="2"/>
  <c r="M270" i="2"/>
  <c r="J270" i="2"/>
  <c r="G270" i="2"/>
  <c r="AB269" i="2"/>
  <c r="Y269" i="2"/>
  <c r="V269" i="2"/>
  <c r="S269" i="2"/>
  <c r="P269" i="2"/>
  <c r="M269" i="2"/>
  <c r="J269" i="2"/>
  <c r="G269" i="2"/>
  <c r="C269" i="2"/>
  <c r="B269" i="2"/>
  <c r="AB268" i="2"/>
  <c r="Y268" i="2"/>
  <c r="V268" i="2"/>
  <c r="R268" i="2"/>
  <c r="P268" i="2"/>
  <c r="M268" i="2"/>
  <c r="J268" i="2"/>
  <c r="G268" i="2"/>
  <c r="B268" i="2"/>
  <c r="AB267" i="2"/>
  <c r="Y267" i="2"/>
  <c r="V267" i="2"/>
  <c r="S267" i="2"/>
  <c r="P267" i="2"/>
  <c r="M267" i="2"/>
  <c r="J267" i="2"/>
  <c r="G267" i="2"/>
  <c r="D267" i="2" s="1"/>
  <c r="C267" i="2"/>
  <c r="B267" i="2"/>
  <c r="AA266" i="2"/>
  <c r="Z266" i="2"/>
  <c r="X266" i="2"/>
  <c r="W266" i="2"/>
  <c r="U266" i="2"/>
  <c r="T266" i="2"/>
  <c r="V266" i="2" s="1"/>
  <c r="O266" i="2"/>
  <c r="N266" i="2"/>
  <c r="N265" i="2" s="1"/>
  <c r="L266" i="2"/>
  <c r="K266" i="2"/>
  <c r="I266" i="2"/>
  <c r="H266" i="2"/>
  <c r="J266" i="2" s="1"/>
  <c r="F266" i="2"/>
  <c r="E266" i="2"/>
  <c r="AB264" i="2"/>
  <c r="Y264" i="2"/>
  <c r="V264" i="2"/>
  <c r="R264" i="2"/>
  <c r="Q264" i="2"/>
  <c r="P264" i="2"/>
  <c r="M264" i="2"/>
  <c r="J264" i="2"/>
  <c r="G264" i="2"/>
  <c r="B264" i="2"/>
  <c r="AB263" i="2"/>
  <c r="Y263" i="2"/>
  <c r="V263" i="2"/>
  <c r="S263" i="2"/>
  <c r="P263" i="2"/>
  <c r="M263" i="2"/>
  <c r="J263" i="2"/>
  <c r="G263" i="2"/>
  <c r="C263" i="2"/>
  <c r="B263" i="2"/>
  <c r="AB262" i="2"/>
  <c r="Y262" i="2"/>
  <c r="V262" i="2"/>
  <c r="S262" i="2"/>
  <c r="P262" i="2"/>
  <c r="M262" i="2"/>
  <c r="J262" i="2"/>
  <c r="G262" i="2"/>
  <c r="C262" i="2"/>
  <c r="B262" i="2"/>
  <c r="AB261" i="2"/>
  <c r="Y261" i="2"/>
  <c r="V261" i="2"/>
  <c r="S261" i="2"/>
  <c r="P261" i="2"/>
  <c r="M261" i="2"/>
  <c r="J261" i="2"/>
  <c r="G261" i="2"/>
  <c r="C261" i="2"/>
  <c r="B261" i="2"/>
  <c r="AB260" i="2"/>
  <c r="Y260" i="2"/>
  <c r="V260" i="2"/>
  <c r="S260" i="2"/>
  <c r="P260" i="2"/>
  <c r="M260" i="2"/>
  <c r="J260" i="2"/>
  <c r="D260" i="2" s="1"/>
  <c r="G260" i="2"/>
  <c r="C260" i="2"/>
  <c r="B260" i="2"/>
  <c r="AB259" i="2"/>
  <c r="Y259" i="2"/>
  <c r="V259" i="2"/>
  <c r="S259" i="2"/>
  <c r="P259" i="2"/>
  <c r="M259" i="2"/>
  <c r="J259" i="2"/>
  <c r="G259" i="2"/>
  <c r="C259" i="2"/>
  <c r="B259" i="2"/>
  <c r="AB258" i="2"/>
  <c r="Y258" i="2"/>
  <c r="V258" i="2"/>
  <c r="S258" i="2"/>
  <c r="P258" i="2"/>
  <c r="M258" i="2"/>
  <c r="J258" i="2"/>
  <c r="G258" i="2"/>
  <c r="C258" i="2"/>
  <c r="B258" i="2"/>
  <c r="AB257" i="2"/>
  <c r="Y257" i="2"/>
  <c r="V257" i="2"/>
  <c r="S257" i="2"/>
  <c r="P257" i="2"/>
  <c r="M257" i="2"/>
  <c r="J257" i="2"/>
  <c r="G257" i="2"/>
  <c r="C257" i="2"/>
  <c r="B257" i="2"/>
  <c r="AB256" i="2"/>
  <c r="Y256" i="2"/>
  <c r="V256" i="2"/>
  <c r="S256" i="2"/>
  <c r="P256" i="2"/>
  <c r="M256" i="2"/>
  <c r="J256" i="2"/>
  <c r="G256" i="2"/>
  <c r="C256" i="2"/>
  <c r="B256" i="2"/>
  <c r="AB255" i="2"/>
  <c r="Y255" i="2"/>
  <c r="V255" i="2"/>
  <c r="S255" i="2"/>
  <c r="P255" i="2"/>
  <c r="M255" i="2"/>
  <c r="J255" i="2"/>
  <c r="G255" i="2"/>
  <c r="C255" i="2"/>
  <c r="B255" i="2"/>
  <c r="AB254" i="2"/>
  <c r="Y254" i="2"/>
  <c r="V254" i="2"/>
  <c r="S254" i="2"/>
  <c r="P254" i="2"/>
  <c r="M254" i="2"/>
  <c r="J254" i="2"/>
  <c r="G254" i="2"/>
  <c r="C254" i="2"/>
  <c r="B254" i="2"/>
  <c r="AB253" i="2"/>
  <c r="Y253" i="2"/>
  <c r="V253" i="2"/>
  <c r="S253" i="2"/>
  <c r="P253" i="2"/>
  <c r="M253" i="2"/>
  <c r="J253" i="2"/>
  <c r="G253" i="2"/>
  <c r="C253" i="2"/>
  <c r="B253" i="2"/>
  <c r="AA252" i="2"/>
  <c r="Z252" i="2"/>
  <c r="X252" i="2"/>
  <c r="W252" i="2"/>
  <c r="U252" i="2"/>
  <c r="T252" i="2"/>
  <c r="V252" i="2" s="1"/>
  <c r="Q252" i="2"/>
  <c r="O252" i="2"/>
  <c r="N252" i="2"/>
  <c r="L252" i="2"/>
  <c r="K252" i="2"/>
  <c r="I252" i="2"/>
  <c r="H252" i="2"/>
  <c r="F252" i="2"/>
  <c r="E252" i="2"/>
  <c r="AB251" i="2"/>
  <c r="Y251" i="2"/>
  <c r="V251" i="2"/>
  <c r="S251" i="2"/>
  <c r="P251" i="2"/>
  <c r="M251" i="2"/>
  <c r="J251" i="2"/>
  <c r="G251" i="2"/>
  <c r="C251" i="2"/>
  <c r="B251" i="2"/>
  <c r="AB250" i="2"/>
  <c r="Y250" i="2"/>
  <c r="V250" i="2"/>
  <c r="S250" i="2"/>
  <c r="P250" i="2"/>
  <c r="M250" i="2"/>
  <c r="J250" i="2"/>
  <c r="G250" i="2"/>
  <c r="C250" i="2"/>
  <c r="B250" i="2"/>
  <c r="AB249" i="2"/>
  <c r="Y249" i="2"/>
  <c r="V249" i="2"/>
  <c r="S249" i="2"/>
  <c r="P249" i="2"/>
  <c r="M249" i="2"/>
  <c r="J249" i="2"/>
  <c r="G249" i="2"/>
  <c r="D249" i="2"/>
  <c r="C249" i="2"/>
  <c r="B249" i="2"/>
  <c r="AB248" i="2"/>
  <c r="Y248" i="2"/>
  <c r="V248" i="2"/>
  <c r="S248" i="2"/>
  <c r="P248" i="2"/>
  <c r="M248" i="2"/>
  <c r="D248" i="2" s="1"/>
  <c r="J248" i="2"/>
  <c r="G248" i="2"/>
  <c r="C248" i="2"/>
  <c r="B248" i="2"/>
  <c r="AB247" i="2"/>
  <c r="Y247" i="2"/>
  <c r="V247" i="2"/>
  <c r="S247" i="2"/>
  <c r="P247" i="2"/>
  <c r="M247" i="2"/>
  <c r="J247" i="2"/>
  <c r="G247" i="2"/>
  <c r="C247" i="2"/>
  <c r="B247" i="2"/>
  <c r="AB246" i="2"/>
  <c r="Y246" i="2"/>
  <c r="V246" i="2"/>
  <c r="S246" i="2"/>
  <c r="P246" i="2"/>
  <c r="M246" i="2"/>
  <c r="J246" i="2"/>
  <c r="G246" i="2"/>
  <c r="C246" i="2"/>
  <c r="B246" i="2"/>
  <c r="AB245" i="2"/>
  <c r="Y245" i="2"/>
  <c r="V245" i="2"/>
  <c r="S245" i="2"/>
  <c r="P245" i="2"/>
  <c r="M245" i="2"/>
  <c r="J245" i="2"/>
  <c r="G245" i="2"/>
  <c r="D245" i="2" s="1"/>
  <c r="C245" i="2"/>
  <c r="B245" i="2"/>
  <c r="AB244" i="2"/>
  <c r="X244" i="2"/>
  <c r="C244" i="2" s="1"/>
  <c r="W244" i="2"/>
  <c r="V244" i="2"/>
  <c r="S244" i="2"/>
  <c r="P244" i="2"/>
  <c r="M244" i="2"/>
  <c r="J244" i="2"/>
  <c r="G244" i="2"/>
  <c r="AB243" i="2"/>
  <c r="Y243" i="2"/>
  <c r="V243" i="2"/>
  <c r="S243" i="2"/>
  <c r="P243" i="2"/>
  <c r="L243" i="2"/>
  <c r="M243" i="2" s="1"/>
  <c r="J243" i="2"/>
  <c r="G243" i="2"/>
  <c r="C243" i="2"/>
  <c r="B243" i="2"/>
  <c r="AB242" i="2"/>
  <c r="Y242" i="2"/>
  <c r="V242" i="2"/>
  <c r="S242" i="2"/>
  <c r="P242" i="2"/>
  <c r="M242" i="2"/>
  <c r="J242" i="2"/>
  <c r="G242" i="2"/>
  <c r="C242" i="2"/>
  <c r="B242" i="2"/>
  <c r="AB241" i="2"/>
  <c r="Y241" i="2"/>
  <c r="V241" i="2"/>
  <c r="S241" i="2"/>
  <c r="P241" i="2"/>
  <c r="L241" i="2"/>
  <c r="C241" i="2" s="1"/>
  <c r="K241" i="2"/>
  <c r="B241" i="2" s="1"/>
  <c r="J241" i="2"/>
  <c r="G241" i="2"/>
  <c r="AB240" i="2"/>
  <c r="Y240" i="2"/>
  <c r="V240" i="2"/>
  <c r="S240" i="2"/>
  <c r="P240" i="2"/>
  <c r="M240" i="2"/>
  <c r="J240" i="2"/>
  <c r="D240" i="2" s="1"/>
  <c r="G240" i="2"/>
  <c r="C240" i="2"/>
  <c r="B240" i="2"/>
  <c r="AB239" i="2"/>
  <c r="Y239" i="2"/>
  <c r="V239" i="2"/>
  <c r="R239" i="2"/>
  <c r="Q239" i="2"/>
  <c r="P239" i="2"/>
  <c r="M239" i="2"/>
  <c r="J239" i="2"/>
  <c r="G239" i="2"/>
  <c r="B239" i="2"/>
  <c r="AB238" i="2"/>
  <c r="Y238" i="2"/>
  <c r="V238" i="2"/>
  <c r="S238" i="2"/>
  <c r="P238" i="2"/>
  <c r="M238" i="2"/>
  <c r="J238" i="2"/>
  <c r="G238" i="2"/>
  <c r="C238" i="2"/>
  <c r="B238" i="2"/>
  <c r="AB237" i="2"/>
  <c r="Y237" i="2"/>
  <c r="V237" i="2"/>
  <c r="S237" i="2"/>
  <c r="P237" i="2"/>
  <c r="M237" i="2"/>
  <c r="J237" i="2"/>
  <c r="G237" i="2"/>
  <c r="C237" i="2"/>
  <c r="B237" i="2"/>
  <c r="AB236" i="2"/>
  <c r="Y236" i="2"/>
  <c r="V236" i="2"/>
  <c r="R236" i="2"/>
  <c r="C236" i="2" s="1"/>
  <c r="Q236" i="2"/>
  <c r="P236" i="2"/>
  <c r="M236" i="2"/>
  <c r="J236" i="2"/>
  <c r="G236" i="2"/>
  <c r="AA235" i="2"/>
  <c r="AB235" i="2" s="1"/>
  <c r="Z235" i="2"/>
  <c r="U235" i="2"/>
  <c r="T235" i="2"/>
  <c r="V235" i="2" s="1"/>
  <c r="O235" i="2"/>
  <c r="N235" i="2"/>
  <c r="L235" i="2"/>
  <c r="K235" i="2"/>
  <c r="I235" i="2"/>
  <c r="H235" i="2"/>
  <c r="F235" i="2"/>
  <c r="E235" i="2"/>
  <c r="AB234" i="2"/>
  <c r="Y234" i="2"/>
  <c r="V234" i="2"/>
  <c r="S234" i="2"/>
  <c r="P234" i="2"/>
  <c r="M234" i="2"/>
  <c r="J234" i="2"/>
  <c r="G234" i="2"/>
  <c r="C234" i="2"/>
  <c r="B234" i="2"/>
  <c r="AB233" i="2"/>
  <c r="Y233" i="2"/>
  <c r="V233" i="2"/>
  <c r="S233" i="2"/>
  <c r="P233" i="2"/>
  <c r="M233" i="2"/>
  <c r="J233" i="2"/>
  <c r="G233" i="2"/>
  <c r="C233" i="2"/>
  <c r="B233" i="2"/>
  <c r="AA232" i="2"/>
  <c r="C232" i="2" s="1"/>
  <c r="Z232" i="2"/>
  <c r="Z231" i="2" s="1"/>
  <c r="Y232" i="2"/>
  <c r="V232" i="2"/>
  <c r="S232" i="2"/>
  <c r="P232" i="2"/>
  <c r="L232" i="2"/>
  <c r="L231" i="2" s="1"/>
  <c r="K232" i="2"/>
  <c r="K231" i="2" s="1"/>
  <c r="M231" i="2" s="1"/>
  <c r="J232" i="2"/>
  <c r="F232" i="2"/>
  <c r="E232" i="2"/>
  <c r="Y231" i="2"/>
  <c r="X231" i="2"/>
  <c r="W231" i="2"/>
  <c r="U231" i="2"/>
  <c r="T231" i="2"/>
  <c r="R231" i="2"/>
  <c r="S231" i="2" s="1"/>
  <c r="Q231" i="2"/>
  <c r="O231" i="2"/>
  <c r="N231" i="2"/>
  <c r="I231" i="2"/>
  <c r="H231" i="2"/>
  <c r="F231" i="2"/>
  <c r="AB230" i="2"/>
  <c r="Y230" i="2"/>
  <c r="V230" i="2"/>
  <c r="R230" i="2"/>
  <c r="C230" i="2" s="1"/>
  <c r="Q230" i="2"/>
  <c r="B230" i="2" s="1"/>
  <c r="P230" i="2"/>
  <c r="M230" i="2"/>
  <c r="J230" i="2"/>
  <c r="G230" i="2"/>
  <c r="AB229" i="2"/>
  <c r="Y229" i="2"/>
  <c r="V229" i="2"/>
  <c r="S229" i="2"/>
  <c r="P229" i="2"/>
  <c r="L229" i="2"/>
  <c r="K229" i="2"/>
  <c r="B229" i="2" s="1"/>
  <c r="J229" i="2"/>
  <c r="G229" i="2"/>
  <c r="AB228" i="2"/>
  <c r="Y228" i="2"/>
  <c r="V228" i="2"/>
  <c r="R228" i="2"/>
  <c r="C228" i="2" s="1"/>
  <c r="Q228" i="2"/>
  <c r="P228" i="2"/>
  <c r="M228" i="2"/>
  <c r="J228" i="2"/>
  <c r="G228" i="2"/>
  <c r="AB227" i="2"/>
  <c r="Y227" i="2"/>
  <c r="V227" i="2"/>
  <c r="R227" i="2"/>
  <c r="Q227" i="2"/>
  <c r="B227" i="2" s="1"/>
  <c r="P227" i="2"/>
  <c r="M227" i="2"/>
  <c r="J227" i="2"/>
  <c r="G227" i="2"/>
  <c r="AB226" i="2"/>
  <c r="Y226" i="2"/>
  <c r="V226" i="2"/>
  <c r="S226" i="2"/>
  <c r="P226" i="2"/>
  <c r="M226" i="2"/>
  <c r="J226" i="2"/>
  <c r="G226" i="2"/>
  <c r="C226" i="2"/>
  <c r="B226" i="2"/>
  <c r="AB225" i="2"/>
  <c r="Y225" i="2"/>
  <c r="V225" i="2"/>
  <c r="S225" i="2"/>
  <c r="P225" i="2"/>
  <c r="M225" i="2"/>
  <c r="J225" i="2"/>
  <c r="G225" i="2"/>
  <c r="C225" i="2"/>
  <c r="B225" i="2"/>
  <c r="AB224" i="2"/>
  <c r="Y224" i="2"/>
  <c r="V224" i="2"/>
  <c r="S224" i="2"/>
  <c r="P224" i="2"/>
  <c r="M224" i="2"/>
  <c r="J224" i="2"/>
  <c r="G224" i="2"/>
  <c r="C224" i="2"/>
  <c r="B224" i="2"/>
  <c r="AB223" i="2"/>
  <c r="Y223" i="2"/>
  <c r="V223" i="2"/>
  <c r="S223" i="2"/>
  <c r="P223" i="2"/>
  <c r="L223" i="2"/>
  <c r="K223" i="2"/>
  <c r="J223" i="2"/>
  <c r="G223" i="2"/>
  <c r="AB222" i="2"/>
  <c r="Y222" i="2"/>
  <c r="V222" i="2"/>
  <c r="S222" i="2"/>
  <c r="P222" i="2"/>
  <c r="M222" i="2"/>
  <c r="J222" i="2"/>
  <c r="G222" i="2"/>
  <c r="C222" i="2"/>
  <c r="B222" i="2"/>
  <c r="AB221" i="2"/>
  <c r="Y221" i="2"/>
  <c r="V221" i="2"/>
  <c r="S221" i="2"/>
  <c r="P221" i="2"/>
  <c r="M221" i="2"/>
  <c r="J221" i="2"/>
  <c r="G221" i="2"/>
  <c r="C221" i="2"/>
  <c r="B221" i="2"/>
  <c r="AB220" i="2"/>
  <c r="Y220" i="2"/>
  <c r="V220" i="2"/>
  <c r="S220" i="2"/>
  <c r="P220" i="2"/>
  <c r="M220" i="2"/>
  <c r="J220" i="2"/>
  <c r="G220" i="2"/>
  <c r="D220" i="2" s="1"/>
  <c r="C220" i="2"/>
  <c r="B220" i="2"/>
  <c r="AB219" i="2"/>
  <c r="Y219" i="2"/>
  <c r="V219" i="2"/>
  <c r="S219" i="2"/>
  <c r="P219" i="2"/>
  <c r="M219" i="2"/>
  <c r="J219" i="2"/>
  <c r="G219" i="2"/>
  <c r="C219" i="2"/>
  <c r="B219" i="2"/>
  <c r="AB218" i="2"/>
  <c r="Y218" i="2"/>
  <c r="V218" i="2"/>
  <c r="S218" i="2"/>
  <c r="P218" i="2"/>
  <c r="L218" i="2"/>
  <c r="C218" i="2" s="1"/>
  <c r="K218" i="2"/>
  <c r="B218" i="2" s="1"/>
  <c r="J218" i="2"/>
  <c r="G218" i="2"/>
  <c r="AB217" i="2"/>
  <c r="Y217" i="2"/>
  <c r="V217" i="2"/>
  <c r="S217" i="2"/>
  <c r="P217" i="2"/>
  <c r="M217" i="2"/>
  <c r="J217" i="2"/>
  <c r="G217" i="2"/>
  <c r="C217" i="2"/>
  <c r="B217" i="2"/>
  <c r="AB216" i="2"/>
  <c r="Y216" i="2"/>
  <c r="V216" i="2"/>
  <c r="S216" i="2"/>
  <c r="P216" i="2"/>
  <c r="M216" i="2"/>
  <c r="J216" i="2"/>
  <c r="G216" i="2"/>
  <c r="C216" i="2"/>
  <c r="B216" i="2"/>
  <c r="AB215" i="2"/>
  <c r="Y215" i="2"/>
  <c r="V215" i="2"/>
  <c r="S215" i="2"/>
  <c r="P215" i="2"/>
  <c r="M215" i="2"/>
  <c r="J215" i="2"/>
  <c r="G215" i="2"/>
  <c r="C215" i="2"/>
  <c r="B215" i="2"/>
  <c r="AB214" i="2"/>
  <c r="Y214" i="2"/>
  <c r="V214" i="2"/>
  <c r="R214" i="2"/>
  <c r="Q214" i="2"/>
  <c r="B214" i="2" s="1"/>
  <c r="P214" i="2"/>
  <c r="L214" i="2"/>
  <c r="M214" i="2" s="1"/>
  <c r="J214" i="2"/>
  <c r="G214" i="2"/>
  <c r="AB213" i="2"/>
  <c r="Y213" i="2"/>
  <c r="V213" i="2"/>
  <c r="S213" i="2"/>
  <c r="P213" i="2"/>
  <c r="L213" i="2"/>
  <c r="C213" i="2" s="1"/>
  <c r="K213" i="2"/>
  <c r="B213" i="2" s="1"/>
  <c r="J213" i="2"/>
  <c r="G213" i="2"/>
  <c r="AB212" i="2"/>
  <c r="Y212" i="2"/>
  <c r="U212" i="2"/>
  <c r="T212" i="2"/>
  <c r="S212" i="2"/>
  <c r="P212" i="2"/>
  <c r="M212" i="2"/>
  <c r="J212" i="2"/>
  <c r="G212" i="2"/>
  <c r="AA211" i="2"/>
  <c r="Z211" i="2"/>
  <c r="X211" i="2"/>
  <c r="W211" i="2"/>
  <c r="O211" i="2"/>
  <c r="N211" i="2"/>
  <c r="I211" i="2"/>
  <c r="H211" i="2"/>
  <c r="F211" i="2"/>
  <c r="E211" i="2"/>
  <c r="AB209" i="2"/>
  <c r="Y209" i="2"/>
  <c r="V209" i="2"/>
  <c r="S209" i="2"/>
  <c r="P209" i="2"/>
  <c r="M209" i="2"/>
  <c r="J209" i="2"/>
  <c r="G209" i="2"/>
  <c r="C209" i="2"/>
  <c r="B209" i="2"/>
  <c r="AB208" i="2"/>
  <c r="Y208" i="2"/>
  <c r="V208" i="2"/>
  <c r="S208" i="2"/>
  <c r="P208" i="2"/>
  <c r="M208" i="2"/>
  <c r="J208" i="2"/>
  <c r="G208" i="2"/>
  <c r="C208" i="2"/>
  <c r="B208" i="2"/>
  <c r="AB207" i="2"/>
  <c r="Y207" i="2"/>
  <c r="V207" i="2"/>
  <c r="S207" i="2"/>
  <c r="P207" i="2"/>
  <c r="M207" i="2"/>
  <c r="J207" i="2"/>
  <c r="F207" i="2"/>
  <c r="B207" i="2"/>
  <c r="AB206" i="2"/>
  <c r="Y206" i="2"/>
  <c r="V206" i="2"/>
  <c r="S206" i="2"/>
  <c r="P206" i="2"/>
  <c r="M206" i="2"/>
  <c r="J206" i="2"/>
  <c r="G206" i="2"/>
  <c r="C206" i="2"/>
  <c r="B206" i="2"/>
  <c r="AB205" i="2"/>
  <c r="Y205" i="2"/>
  <c r="V205" i="2"/>
  <c r="S205" i="2"/>
  <c r="P205" i="2"/>
  <c r="L205" i="2"/>
  <c r="K205" i="2"/>
  <c r="J205" i="2"/>
  <c r="G205" i="2"/>
  <c r="AA204" i="2"/>
  <c r="Z204" i="2"/>
  <c r="X204" i="2"/>
  <c r="W204" i="2"/>
  <c r="U204" i="2"/>
  <c r="T204" i="2"/>
  <c r="R204" i="2"/>
  <c r="Q204" i="2"/>
  <c r="S204" i="2" s="1"/>
  <c r="P204" i="2"/>
  <c r="O204" i="2"/>
  <c r="N204" i="2"/>
  <c r="I204" i="2"/>
  <c r="H204" i="2"/>
  <c r="E204" i="2"/>
  <c r="AB203" i="2"/>
  <c r="Y203" i="2"/>
  <c r="V203" i="2"/>
  <c r="R203" i="2"/>
  <c r="Q203" i="2"/>
  <c r="Q199" i="2" s="1"/>
  <c r="P203" i="2"/>
  <c r="M203" i="2"/>
  <c r="J203" i="2"/>
  <c r="G203" i="2"/>
  <c r="B203" i="2"/>
  <c r="AB202" i="2"/>
  <c r="Y202" i="2"/>
  <c r="V202" i="2"/>
  <c r="S202" i="2"/>
  <c r="P202" i="2"/>
  <c r="M202" i="2"/>
  <c r="J202" i="2"/>
  <c r="G202" i="2"/>
  <c r="C202" i="2"/>
  <c r="B202" i="2"/>
  <c r="AB201" i="2"/>
  <c r="Y201" i="2"/>
  <c r="V201" i="2"/>
  <c r="S201" i="2"/>
  <c r="P201" i="2"/>
  <c r="M201" i="2"/>
  <c r="J201" i="2"/>
  <c r="G201" i="2"/>
  <c r="C201" i="2"/>
  <c r="B201" i="2"/>
  <c r="AB200" i="2"/>
  <c r="Y200" i="2"/>
  <c r="V200" i="2"/>
  <c r="S200" i="2"/>
  <c r="P200" i="2"/>
  <c r="M200" i="2"/>
  <c r="J200" i="2"/>
  <c r="G200" i="2"/>
  <c r="C200" i="2"/>
  <c r="B200" i="2"/>
  <c r="AA199" i="2"/>
  <c r="Z199" i="2"/>
  <c r="X199" i="2"/>
  <c r="W199" i="2"/>
  <c r="Y199" i="2" s="1"/>
  <c r="U199" i="2"/>
  <c r="V199" i="2" s="1"/>
  <c r="T199" i="2"/>
  <c r="T198" i="2" s="1"/>
  <c r="O199" i="2"/>
  <c r="N199" i="2"/>
  <c r="M199" i="2"/>
  <c r="L199" i="2"/>
  <c r="K199" i="2"/>
  <c r="I199" i="2"/>
  <c r="H199" i="2"/>
  <c r="F199" i="2"/>
  <c r="E199" i="2"/>
  <c r="W198" i="2"/>
  <c r="O198" i="2"/>
  <c r="AB197" i="2"/>
  <c r="Y197" i="2"/>
  <c r="V197" i="2"/>
  <c r="S197" i="2"/>
  <c r="P197" i="2"/>
  <c r="M197" i="2"/>
  <c r="J197" i="2"/>
  <c r="G197" i="2"/>
  <c r="C197" i="2"/>
  <c r="B197" i="2"/>
  <c r="AB196" i="2"/>
  <c r="Y196" i="2"/>
  <c r="V196" i="2"/>
  <c r="S196" i="2"/>
  <c r="P196" i="2"/>
  <c r="M196" i="2"/>
  <c r="J196" i="2"/>
  <c r="G196" i="2"/>
  <c r="C196" i="2"/>
  <c r="B196" i="2"/>
  <c r="AA195" i="2"/>
  <c r="Z195" i="2"/>
  <c r="AB195" i="2" s="1"/>
  <c r="X195" i="2"/>
  <c r="W195" i="2"/>
  <c r="Y195" i="2" s="1"/>
  <c r="U195" i="2"/>
  <c r="T195" i="2"/>
  <c r="R195" i="2"/>
  <c r="Q195" i="2"/>
  <c r="O195" i="2"/>
  <c r="N195" i="2"/>
  <c r="L195" i="2"/>
  <c r="K195" i="2"/>
  <c r="I195" i="2"/>
  <c r="J195" i="2" s="1"/>
  <c r="H195" i="2"/>
  <c r="F195" i="2"/>
  <c r="E195" i="2"/>
  <c r="AB194" i="2"/>
  <c r="Y194" i="2"/>
  <c r="V194" i="2"/>
  <c r="S194" i="2"/>
  <c r="P194" i="2"/>
  <c r="M194" i="2"/>
  <c r="J194" i="2"/>
  <c r="G194" i="2"/>
  <c r="C194" i="2"/>
  <c r="B194" i="2"/>
  <c r="AA193" i="2"/>
  <c r="Z193" i="2"/>
  <c r="X193" i="2"/>
  <c r="W193" i="2"/>
  <c r="U193" i="2"/>
  <c r="T193" i="2"/>
  <c r="R193" i="2"/>
  <c r="S193" i="2" s="1"/>
  <c r="Q193" i="2"/>
  <c r="O193" i="2"/>
  <c r="N193" i="2"/>
  <c r="L193" i="2"/>
  <c r="K193" i="2"/>
  <c r="I193" i="2"/>
  <c r="H193" i="2"/>
  <c r="F193" i="2"/>
  <c r="E193" i="2"/>
  <c r="G193" i="2" s="1"/>
  <c r="AB192" i="2"/>
  <c r="Y192" i="2"/>
  <c r="V192" i="2"/>
  <c r="S192" i="2"/>
  <c r="P192" i="2"/>
  <c r="L192" i="2"/>
  <c r="M192" i="2" s="1"/>
  <c r="K192" i="2"/>
  <c r="B192" i="2" s="1"/>
  <c r="J192" i="2"/>
  <c r="G192" i="2"/>
  <c r="AB191" i="2"/>
  <c r="Y191" i="2"/>
  <c r="V191" i="2"/>
  <c r="S191" i="2"/>
  <c r="P191" i="2"/>
  <c r="M191" i="2"/>
  <c r="J191" i="2"/>
  <c r="G191" i="2"/>
  <c r="C191" i="2"/>
  <c r="B191" i="2"/>
  <c r="AB190" i="2"/>
  <c r="Y190" i="2"/>
  <c r="V190" i="2"/>
  <c r="S190" i="2"/>
  <c r="P190" i="2"/>
  <c r="M190" i="2"/>
  <c r="J190" i="2"/>
  <c r="G190" i="2"/>
  <c r="C190" i="2"/>
  <c r="B190" i="2"/>
  <c r="AA189" i="2"/>
  <c r="Z189" i="2"/>
  <c r="X189" i="2"/>
  <c r="W189" i="2"/>
  <c r="U189" i="2"/>
  <c r="V189" i="2" s="1"/>
  <c r="T189" i="2"/>
  <c r="R189" i="2"/>
  <c r="Q189" i="2"/>
  <c r="O189" i="2"/>
  <c r="N189" i="2"/>
  <c r="I189" i="2"/>
  <c r="H189" i="2"/>
  <c r="F189" i="2"/>
  <c r="E189" i="2"/>
  <c r="AB188" i="2"/>
  <c r="Y188" i="2"/>
  <c r="V188" i="2"/>
  <c r="S188" i="2"/>
  <c r="P188" i="2"/>
  <c r="M188" i="2"/>
  <c r="J188" i="2"/>
  <c r="G188" i="2"/>
  <c r="C188" i="2"/>
  <c r="B188" i="2"/>
  <c r="AA187" i="2"/>
  <c r="Z187" i="2"/>
  <c r="AB187" i="2" s="1"/>
  <c r="X187" i="2"/>
  <c r="W187" i="2"/>
  <c r="U187" i="2"/>
  <c r="T187" i="2"/>
  <c r="V187" i="2" s="1"/>
  <c r="R187" i="2"/>
  <c r="S187" i="2" s="1"/>
  <c r="Q187" i="2"/>
  <c r="O187" i="2"/>
  <c r="N187" i="2"/>
  <c r="L187" i="2"/>
  <c r="K187" i="2"/>
  <c r="I187" i="2"/>
  <c r="H187" i="2"/>
  <c r="G187" i="2"/>
  <c r="F187" i="2"/>
  <c r="E187" i="2"/>
  <c r="AB186" i="2"/>
  <c r="Y186" i="2"/>
  <c r="V186" i="2"/>
  <c r="S186" i="2"/>
  <c r="P186" i="2"/>
  <c r="L186" i="2"/>
  <c r="K186" i="2"/>
  <c r="B186" i="2" s="1"/>
  <c r="J186" i="2"/>
  <c r="G186" i="2"/>
  <c r="AB185" i="2"/>
  <c r="Y185" i="2"/>
  <c r="V185" i="2"/>
  <c r="S185" i="2"/>
  <c r="P185" i="2"/>
  <c r="M185" i="2"/>
  <c r="J185" i="2"/>
  <c r="G185" i="2"/>
  <c r="C185" i="2"/>
  <c r="B185" i="2"/>
  <c r="AB184" i="2"/>
  <c r="Y184" i="2"/>
  <c r="V184" i="2"/>
  <c r="S184" i="2"/>
  <c r="P184" i="2"/>
  <c r="M184" i="2"/>
  <c r="J184" i="2"/>
  <c r="G184" i="2"/>
  <c r="C184" i="2"/>
  <c r="B184" i="2"/>
  <c r="AB183" i="2"/>
  <c r="Y183" i="2"/>
  <c r="V183" i="2"/>
  <c r="S183" i="2"/>
  <c r="P183" i="2"/>
  <c r="M183" i="2"/>
  <c r="J183" i="2"/>
  <c r="G183" i="2"/>
  <c r="C183" i="2"/>
  <c r="B183" i="2"/>
  <c r="AB182" i="2"/>
  <c r="Y182" i="2"/>
  <c r="V182" i="2"/>
  <c r="S182" i="2"/>
  <c r="P182" i="2"/>
  <c r="M182" i="2"/>
  <c r="J182" i="2"/>
  <c r="D182" i="2" s="1"/>
  <c r="G182" i="2"/>
  <c r="C182" i="2"/>
  <c r="B182" i="2"/>
  <c r="AB181" i="2"/>
  <c r="Y181" i="2"/>
  <c r="V181" i="2"/>
  <c r="S181" i="2"/>
  <c r="P181" i="2"/>
  <c r="L181" i="2"/>
  <c r="K181" i="2"/>
  <c r="J181" i="2"/>
  <c r="G181" i="2"/>
  <c r="B181" i="2"/>
  <c r="AA180" i="2"/>
  <c r="Z180" i="2"/>
  <c r="Z179" i="2" s="1"/>
  <c r="X180" i="2"/>
  <c r="W180" i="2"/>
  <c r="U180" i="2"/>
  <c r="T180" i="2"/>
  <c r="T179" i="2" s="1"/>
  <c r="R180" i="2"/>
  <c r="Q180" i="2"/>
  <c r="O180" i="2"/>
  <c r="N180" i="2"/>
  <c r="I180" i="2"/>
  <c r="H180" i="2"/>
  <c r="F180" i="2"/>
  <c r="E180" i="2"/>
  <c r="AB177" i="2"/>
  <c r="Y177" i="2"/>
  <c r="V177" i="2"/>
  <c r="S177" i="2"/>
  <c r="P177" i="2"/>
  <c r="M177" i="2"/>
  <c r="J177" i="2"/>
  <c r="D177" i="2" s="1"/>
  <c r="G177" i="2"/>
  <c r="C177" i="2"/>
  <c r="B177" i="2"/>
  <c r="AB176" i="2"/>
  <c r="Y176" i="2"/>
  <c r="V176" i="2"/>
  <c r="S176" i="2"/>
  <c r="P176" i="2"/>
  <c r="M176" i="2"/>
  <c r="J176" i="2"/>
  <c r="G176" i="2"/>
  <c r="C176" i="2"/>
  <c r="B176" i="2"/>
  <c r="AB175" i="2"/>
  <c r="Y175" i="2"/>
  <c r="V175" i="2"/>
  <c r="S175" i="2"/>
  <c r="P175" i="2"/>
  <c r="M175" i="2"/>
  <c r="J175" i="2"/>
  <c r="G175" i="2"/>
  <c r="C175" i="2"/>
  <c r="B175" i="2"/>
  <c r="AB174" i="2"/>
  <c r="Y174" i="2"/>
  <c r="V174" i="2"/>
  <c r="S174" i="2"/>
  <c r="P174" i="2"/>
  <c r="M174" i="2"/>
  <c r="J174" i="2"/>
  <c r="G174" i="2"/>
  <c r="C174" i="2"/>
  <c r="B174" i="2"/>
  <c r="AB173" i="2"/>
  <c r="Y173" i="2"/>
  <c r="V173" i="2"/>
  <c r="S173" i="2"/>
  <c r="O173" i="2"/>
  <c r="C173" i="2" s="1"/>
  <c r="N173" i="2"/>
  <c r="N172" i="2" s="1"/>
  <c r="N171" i="2" s="1"/>
  <c r="M173" i="2"/>
  <c r="J173" i="2"/>
  <c r="G173" i="2"/>
  <c r="B173" i="2"/>
  <c r="AA172" i="2"/>
  <c r="AB172" i="2" s="1"/>
  <c r="Z172" i="2"/>
  <c r="Z171" i="2" s="1"/>
  <c r="X172" i="2"/>
  <c r="W172" i="2"/>
  <c r="W171" i="2" s="1"/>
  <c r="U172" i="2"/>
  <c r="V172" i="2" s="1"/>
  <c r="T172" i="2"/>
  <c r="R172" i="2"/>
  <c r="Q172" i="2"/>
  <c r="Q171" i="2" s="1"/>
  <c r="O172" i="2"/>
  <c r="L172" i="2"/>
  <c r="K172" i="2"/>
  <c r="K171" i="2" s="1"/>
  <c r="I172" i="2"/>
  <c r="I171" i="2" s="1"/>
  <c r="H172" i="2"/>
  <c r="F172" i="2"/>
  <c r="E172" i="2"/>
  <c r="X171" i="2"/>
  <c r="T171" i="2"/>
  <c r="L171" i="2"/>
  <c r="H171" i="2"/>
  <c r="AB170" i="2"/>
  <c r="Y170" i="2"/>
  <c r="V170" i="2"/>
  <c r="S170" i="2"/>
  <c r="P170" i="2"/>
  <c r="M170" i="2"/>
  <c r="J170" i="2"/>
  <c r="G170" i="2"/>
  <c r="C170" i="2"/>
  <c r="B170" i="2"/>
  <c r="AB169" i="2"/>
  <c r="Y169" i="2"/>
  <c r="V169" i="2"/>
  <c r="S169" i="2"/>
  <c r="P169" i="2"/>
  <c r="M169" i="2"/>
  <c r="J169" i="2"/>
  <c r="G169" i="2"/>
  <c r="C169" i="2"/>
  <c r="B169" i="2"/>
  <c r="AB168" i="2"/>
  <c r="Y168" i="2"/>
  <c r="V168" i="2"/>
  <c r="S168" i="2"/>
  <c r="O168" i="2"/>
  <c r="C168" i="2" s="1"/>
  <c r="N168" i="2"/>
  <c r="B168" i="2" s="1"/>
  <c r="M168" i="2"/>
  <c r="J168" i="2"/>
  <c r="G168" i="2"/>
  <c r="AB167" i="2"/>
  <c r="Y167" i="2"/>
  <c r="V167" i="2"/>
  <c r="S167" i="2"/>
  <c r="O167" i="2"/>
  <c r="N167" i="2"/>
  <c r="B167" i="2" s="1"/>
  <c r="M167" i="2"/>
  <c r="J167" i="2"/>
  <c r="G167" i="2"/>
  <c r="AB166" i="2"/>
  <c r="Y166" i="2"/>
  <c r="V166" i="2"/>
  <c r="S166" i="2"/>
  <c r="P166" i="2"/>
  <c r="M166" i="2"/>
  <c r="J166" i="2"/>
  <c r="G166" i="2"/>
  <c r="C166" i="2"/>
  <c r="B166" i="2"/>
  <c r="AB165" i="2"/>
  <c r="Y165" i="2"/>
  <c r="V165" i="2"/>
  <c r="S165" i="2"/>
  <c r="P165" i="2"/>
  <c r="M165" i="2"/>
  <c r="J165" i="2"/>
  <c r="G165" i="2"/>
  <c r="C165" i="2"/>
  <c r="B165" i="2"/>
  <c r="AB164" i="2"/>
  <c r="Y164" i="2"/>
  <c r="V164" i="2"/>
  <c r="S164" i="2"/>
  <c r="P164" i="2"/>
  <c r="M164" i="2"/>
  <c r="J164" i="2"/>
  <c r="G164" i="2"/>
  <c r="C164" i="2"/>
  <c r="B164" i="2"/>
  <c r="AB163" i="2"/>
  <c r="Y163" i="2"/>
  <c r="V163" i="2"/>
  <c r="S163" i="2"/>
  <c r="P163" i="2"/>
  <c r="M163" i="2"/>
  <c r="J163" i="2"/>
  <c r="G163" i="2"/>
  <c r="C163" i="2"/>
  <c r="B163" i="2"/>
  <c r="AB162" i="2"/>
  <c r="Y162" i="2"/>
  <c r="V162" i="2"/>
  <c r="S162" i="2"/>
  <c r="P162" i="2"/>
  <c r="M162" i="2"/>
  <c r="J162" i="2"/>
  <c r="F162" i="2"/>
  <c r="E162" i="2"/>
  <c r="B162" i="2" s="1"/>
  <c r="AB161" i="2"/>
  <c r="Y161" i="2"/>
  <c r="V161" i="2"/>
  <c r="S161" i="2"/>
  <c r="P161" i="2"/>
  <c r="L161" i="2"/>
  <c r="K161" i="2"/>
  <c r="K150" i="2" s="1"/>
  <c r="K149" i="2" s="1"/>
  <c r="J161" i="2"/>
  <c r="G161" i="2"/>
  <c r="C161" i="2"/>
  <c r="B161" i="2"/>
  <c r="AB160" i="2"/>
  <c r="Y160" i="2"/>
  <c r="V160" i="2"/>
  <c r="S160" i="2"/>
  <c r="P160" i="2"/>
  <c r="M160" i="2"/>
  <c r="J160" i="2"/>
  <c r="G160" i="2"/>
  <c r="C160" i="2"/>
  <c r="B160" i="2"/>
  <c r="AB159" i="2"/>
  <c r="Y159" i="2"/>
  <c r="V159" i="2"/>
  <c r="S159" i="2"/>
  <c r="P159" i="2"/>
  <c r="M159" i="2"/>
  <c r="J159" i="2"/>
  <c r="G159" i="2"/>
  <c r="C159" i="2"/>
  <c r="B159" i="2"/>
  <c r="AB158" i="2"/>
  <c r="Y158" i="2"/>
  <c r="V158" i="2"/>
  <c r="S158" i="2"/>
  <c r="P158" i="2"/>
  <c r="M158" i="2"/>
  <c r="J158" i="2"/>
  <c r="G158" i="2"/>
  <c r="C158" i="2"/>
  <c r="B158" i="2"/>
  <c r="AB157" i="2"/>
  <c r="Y157" i="2"/>
  <c r="V157" i="2"/>
  <c r="S157" i="2"/>
  <c r="P157" i="2"/>
  <c r="M157" i="2"/>
  <c r="J157" i="2"/>
  <c r="G157" i="2"/>
  <c r="C157" i="2"/>
  <c r="B157" i="2"/>
  <c r="AB156" i="2"/>
  <c r="Y156" i="2"/>
  <c r="V156" i="2"/>
  <c r="S156" i="2"/>
  <c r="P156" i="2"/>
  <c r="M156" i="2"/>
  <c r="J156" i="2"/>
  <c r="G156" i="2"/>
  <c r="C156" i="2"/>
  <c r="B156" i="2"/>
  <c r="AB155" i="2"/>
  <c r="Y155" i="2"/>
  <c r="V155" i="2"/>
  <c r="S155" i="2"/>
  <c r="P155" i="2"/>
  <c r="M155" i="2"/>
  <c r="J155" i="2"/>
  <c r="G155" i="2"/>
  <c r="C155" i="2"/>
  <c r="B155" i="2"/>
  <c r="AB154" i="2"/>
  <c r="Y154" i="2"/>
  <c r="V154" i="2"/>
  <c r="S154" i="2"/>
  <c r="P154" i="2"/>
  <c r="M154" i="2"/>
  <c r="I154" i="2"/>
  <c r="H154" i="2"/>
  <c r="G154" i="2"/>
  <c r="AB153" i="2"/>
  <c r="Y153" i="2"/>
  <c r="V153" i="2"/>
  <c r="S153" i="2"/>
  <c r="P153" i="2"/>
  <c r="M153" i="2"/>
  <c r="J153" i="2"/>
  <c r="F153" i="2"/>
  <c r="C153" i="2" s="1"/>
  <c r="E153" i="2"/>
  <c r="G153" i="2" s="1"/>
  <c r="B153" i="2"/>
  <c r="AB152" i="2"/>
  <c r="Y152" i="2"/>
  <c r="V152" i="2"/>
  <c r="S152" i="2"/>
  <c r="P152" i="2"/>
  <c r="M152" i="2"/>
  <c r="J152" i="2"/>
  <c r="G152" i="2"/>
  <c r="D152" i="2" s="1"/>
  <c r="C152" i="2"/>
  <c r="B152" i="2"/>
  <c r="AB151" i="2"/>
  <c r="Y151" i="2"/>
  <c r="V151" i="2"/>
  <c r="S151" i="2"/>
  <c r="P151" i="2"/>
  <c r="M151" i="2"/>
  <c r="J151" i="2"/>
  <c r="F151" i="2"/>
  <c r="C151" i="2" s="1"/>
  <c r="E151" i="2"/>
  <c r="B151" i="2"/>
  <c r="AA150" i="2"/>
  <c r="Z150" i="2"/>
  <c r="Z149" i="2" s="1"/>
  <c r="X150" i="2"/>
  <c r="X149" i="2" s="1"/>
  <c r="Y149" i="2" s="1"/>
  <c r="W150" i="2"/>
  <c r="W149" i="2" s="1"/>
  <c r="U150" i="2"/>
  <c r="V150" i="2" s="1"/>
  <c r="T150" i="2"/>
  <c r="T149" i="2" s="1"/>
  <c r="R150" i="2"/>
  <c r="Q150" i="2"/>
  <c r="Q149" i="2" s="1"/>
  <c r="L150" i="2"/>
  <c r="U149" i="2"/>
  <c r="V149" i="2" s="1"/>
  <c r="AB148" i="2"/>
  <c r="Y148" i="2"/>
  <c r="V148" i="2"/>
  <c r="S148" i="2"/>
  <c r="P148" i="2"/>
  <c r="M148" i="2"/>
  <c r="J148" i="2"/>
  <c r="G148" i="2"/>
  <c r="C148" i="2"/>
  <c r="B148" i="2"/>
  <c r="AB147" i="2"/>
  <c r="Y147" i="2"/>
  <c r="V147" i="2"/>
  <c r="S147" i="2"/>
  <c r="P147" i="2"/>
  <c r="M147" i="2"/>
  <c r="J147" i="2"/>
  <c r="G147" i="2"/>
  <c r="C147" i="2"/>
  <c r="B147" i="2"/>
  <c r="AB146" i="2"/>
  <c r="Y146" i="2"/>
  <c r="V146" i="2"/>
  <c r="S146" i="2"/>
  <c r="P146" i="2"/>
  <c r="L146" i="2"/>
  <c r="C146" i="2" s="1"/>
  <c r="J146" i="2"/>
  <c r="G146" i="2"/>
  <c r="B146" i="2"/>
  <c r="AB145" i="2"/>
  <c r="Y145" i="2"/>
  <c r="V145" i="2"/>
  <c r="S145" i="2"/>
  <c r="P145" i="2"/>
  <c r="M145" i="2"/>
  <c r="J145" i="2"/>
  <c r="G145" i="2"/>
  <c r="C145" i="2"/>
  <c r="B145" i="2"/>
  <c r="AB144" i="2"/>
  <c r="Y144" i="2"/>
  <c r="V144" i="2"/>
  <c r="S144" i="2"/>
  <c r="P144" i="2"/>
  <c r="M144" i="2"/>
  <c r="J144" i="2"/>
  <c r="G144" i="2"/>
  <c r="C144" i="2"/>
  <c r="B144" i="2"/>
  <c r="AB143" i="2"/>
  <c r="Y143" i="2"/>
  <c r="V143" i="2"/>
  <c r="S143" i="2"/>
  <c r="P143" i="2"/>
  <c r="M143" i="2"/>
  <c r="J143" i="2"/>
  <c r="G143" i="2"/>
  <c r="C143" i="2"/>
  <c r="B143" i="2"/>
  <c r="AB142" i="2"/>
  <c r="Y142" i="2"/>
  <c r="V142" i="2"/>
  <c r="S142" i="2"/>
  <c r="P142" i="2"/>
  <c r="M142" i="2"/>
  <c r="J142" i="2"/>
  <c r="G142" i="2"/>
  <c r="C142" i="2"/>
  <c r="B142" i="2"/>
  <c r="AB141" i="2"/>
  <c r="Y141" i="2"/>
  <c r="V141" i="2"/>
  <c r="S141" i="2"/>
  <c r="P141" i="2"/>
  <c r="M141" i="2"/>
  <c r="J141" i="2"/>
  <c r="G141" i="2"/>
  <c r="C141" i="2"/>
  <c r="B141" i="2"/>
  <c r="AB140" i="2"/>
  <c r="Y140" i="2"/>
  <c r="V140" i="2"/>
  <c r="S140" i="2"/>
  <c r="P140" i="2"/>
  <c r="M140" i="2"/>
  <c r="J140" i="2"/>
  <c r="G140" i="2"/>
  <c r="C140" i="2"/>
  <c r="B140" i="2"/>
  <c r="AB139" i="2"/>
  <c r="Y139" i="2"/>
  <c r="V139" i="2"/>
  <c r="S139" i="2"/>
  <c r="P139" i="2"/>
  <c r="M139" i="2"/>
  <c r="J139" i="2"/>
  <c r="G139" i="2"/>
  <c r="C139" i="2"/>
  <c r="B139" i="2"/>
  <c r="AB138" i="2"/>
  <c r="Y138" i="2"/>
  <c r="V138" i="2"/>
  <c r="S138" i="2"/>
  <c r="P138" i="2"/>
  <c r="M138" i="2"/>
  <c r="J138" i="2"/>
  <c r="G138" i="2"/>
  <c r="C138" i="2"/>
  <c r="B138" i="2"/>
  <c r="AB137" i="2"/>
  <c r="Y137" i="2"/>
  <c r="V137" i="2"/>
  <c r="S137" i="2"/>
  <c r="P137" i="2"/>
  <c r="M137" i="2"/>
  <c r="J137" i="2"/>
  <c r="G137" i="2"/>
  <c r="C137" i="2"/>
  <c r="B137" i="2"/>
  <c r="AB136" i="2"/>
  <c r="Y136" i="2"/>
  <c r="V136" i="2"/>
  <c r="S136" i="2"/>
  <c r="P136" i="2"/>
  <c r="M136" i="2"/>
  <c r="J136" i="2"/>
  <c r="G136" i="2"/>
  <c r="C136" i="2"/>
  <c r="B136" i="2"/>
  <c r="AB135" i="2"/>
  <c r="Y135" i="2"/>
  <c r="V135" i="2"/>
  <c r="S135" i="2"/>
  <c r="P135" i="2"/>
  <c r="M135" i="2"/>
  <c r="J135" i="2"/>
  <c r="G135" i="2"/>
  <c r="C135" i="2"/>
  <c r="B135" i="2"/>
  <c r="AB134" i="2"/>
  <c r="Y134" i="2"/>
  <c r="V134" i="2"/>
  <c r="S134" i="2"/>
  <c r="P134" i="2"/>
  <c r="M134" i="2"/>
  <c r="J134" i="2"/>
  <c r="G134" i="2"/>
  <c r="C134" i="2"/>
  <c r="B134" i="2"/>
  <c r="AB133" i="2"/>
  <c r="Y133" i="2"/>
  <c r="V133" i="2"/>
  <c r="S133" i="2"/>
  <c r="P133" i="2"/>
  <c r="M133" i="2"/>
  <c r="J133" i="2"/>
  <c r="G133" i="2"/>
  <c r="C133" i="2"/>
  <c r="B133" i="2"/>
  <c r="AB132" i="2"/>
  <c r="Y132" i="2"/>
  <c r="V132" i="2"/>
  <c r="S132" i="2"/>
  <c r="P132" i="2"/>
  <c r="M132" i="2"/>
  <c r="J132" i="2"/>
  <c r="G132" i="2"/>
  <c r="C132" i="2"/>
  <c r="B132" i="2"/>
  <c r="AB131" i="2"/>
  <c r="Y131" i="2"/>
  <c r="V131" i="2"/>
  <c r="S131" i="2"/>
  <c r="P131" i="2"/>
  <c r="M131" i="2"/>
  <c r="J131" i="2"/>
  <c r="G131" i="2"/>
  <c r="C131" i="2"/>
  <c r="B131" i="2"/>
  <c r="AB130" i="2"/>
  <c r="Y130" i="2"/>
  <c r="V130" i="2"/>
  <c r="S130" i="2"/>
  <c r="P130" i="2"/>
  <c r="M130" i="2"/>
  <c r="J130" i="2"/>
  <c r="G130" i="2"/>
  <c r="C130" i="2"/>
  <c r="B130" i="2"/>
  <c r="AB129" i="2"/>
  <c r="Y129" i="2"/>
  <c r="V129" i="2"/>
  <c r="S129" i="2"/>
  <c r="P129" i="2"/>
  <c r="M129" i="2"/>
  <c r="J129" i="2"/>
  <c r="G129" i="2"/>
  <c r="C129" i="2"/>
  <c r="B129" i="2"/>
  <c r="AB128" i="2"/>
  <c r="Y128" i="2"/>
  <c r="V128" i="2"/>
  <c r="S128" i="2"/>
  <c r="P128" i="2"/>
  <c r="M128" i="2"/>
  <c r="J128" i="2"/>
  <c r="G128" i="2"/>
  <c r="C128" i="2"/>
  <c r="B128" i="2"/>
  <c r="AB127" i="2"/>
  <c r="Y127" i="2"/>
  <c r="V127" i="2"/>
  <c r="S127" i="2"/>
  <c r="P127" i="2"/>
  <c r="M127" i="2"/>
  <c r="J127" i="2"/>
  <c r="G127" i="2"/>
  <c r="C127" i="2"/>
  <c r="B127" i="2"/>
  <c r="AB126" i="2"/>
  <c r="Y126" i="2"/>
  <c r="V126" i="2"/>
  <c r="S126" i="2"/>
  <c r="P126" i="2"/>
  <c r="M126" i="2"/>
  <c r="J126" i="2"/>
  <c r="G126" i="2"/>
  <c r="C126" i="2"/>
  <c r="B126" i="2"/>
  <c r="AB125" i="2"/>
  <c r="Y125" i="2"/>
  <c r="V125" i="2"/>
  <c r="S125" i="2"/>
  <c r="P125" i="2"/>
  <c r="M125" i="2"/>
  <c r="J125" i="2"/>
  <c r="G125" i="2"/>
  <c r="C125" i="2"/>
  <c r="B125" i="2"/>
  <c r="AB124" i="2"/>
  <c r="Y124" i="2"/>
  <c r="V124" i="2"/>
  <c r="S124" i="2"/>
  <c r="P124" i="2"/>
  <c r="M124" i="2"/>
  <c r="J124" i="2"/>
  <c r="G124" i="2"/>
  <c r="C124" i="2"/>
  <c r="B124" i="2"/>
  <c r="AB123" i="2"/>
  <c r="Y123" i="2"/>
  <c r="V123" i="2"/>
  <c r="S123" i="2"/>
  <c r="P123" i="2"/>
  <c r="M123" i="2"/>
  <c r="J123" i="2"/>
  <c r="G123" i="2"/>
  <c r="C123" i="2"/>
  <c r="B123" i="2"/>
  <c r="AB122" i="2"/>
  <c r="Y122" i="2"/>
  <c r="V122" i="2"/>
  <c r="S122" i="2"/>
  <c r="P122" i="2"/>
  <c r="M122" i="2"/>
  <c r="J122" i="2"/>
  <c r="G122" i="2"/>
  <c r="C122" i="2"/>
  <c r="B122" i="2"/>
  <c r="AB121" i="2"/>
  <c r="Y121" i="2"/>
  <c r="V121" i="2"/>
  <c r="S121" i="2"/>
  <c r="P121" i="2"/>
  <c r="M121" i="2"/>
  <c r="J121" i="2"/>
  <c r="G121" i="2"/>
  <c r="C121" i="2"/>
  <c r="B121" i="2"/>
  <c r="AB120" i="2"/>
  <c r="Y120" i="2"/>
  <c r="V120" i="2"/>
  <c r="S120" i="2"/>
  <c r="P120" i="2"/>
  <c r="M120" i="2"/>
  <c r="J120" i="2"/>
  <c r="G120" i="2"/>
  <c r="C120" i="2"/>
  <c r="B120" i="2"/>
  <c r="AB119" i="2"/>
  <c r="Y119" i="2"/>
  <c r="V119" i="2"/>
  <c r="S119" i="2"/>
  <c r="P119" i="2"/>
  <c r="M119" i="2"/>
  <c r="J119" i="2"/>
  <c r="G119" i="2"/>
  <c r="C119" i="2"/>
  <c r="B119" i="2"/>
  <c r="AB118" i="2"/>
  <c r="Y118" i="2"/>
  <c r="V118" i="2"/>
  <c r="S118" i="2"/>
  <c r="P118" i="2"/>
  <c r="M118" i="2"/>
  <c r="J118" i="2"/>
  <c r="G118" i="2"/>
  <c r="C118" i="2"/>
  <c r="B118" i="2"/>
  <c r="AA117" i="2"/>
  <c r="Z117" i="2"/>
  <c r="X117" i="2"/>
  <c r="W117" i="2"/>
  <c r="V117" i="2"/>
  <c r="U117" i="2"/>
  <c r="T117" i="2"/>
  <c r="R117" i="2"/>
  <c r="Q117" i="2"/>
  <c r="O117" i="2"/>
  <c r="N117" i="2"/>
  <c r="K117" i="2"/>
  <c r="I117" i="2"/>
  <c r="J117" i="2" s="1"/>
  <c r="H117" i="2"/>
  <c r="F117" i="2"/>
  <c r="E117" i="2"/>
  <c r="E66" i="2" s="1"/>
  <c r="AB116" i="2"/>
  <c r="Y116" i="2"/>
  <c r="V116" i="2"/>
  <c r="S116" i="2"/>
  <c r="P116" i="2"/>
  <c r="M116" i="2"/>
  <c r="J116" i="2"/>
  <c r="G116" i="2"/>
  <c r="D116" i="2" s="1"/>
  <c r="C116" i="2"/>
  <c r="B116" i="2"/>
  <c r="AB115" i="2"/>
  <c r="Y115" i="2"/>
  <c r="V115" i="2"/>
  <c r="S115" i="2"/>
  <c r="P115" i="2"/>
  <c r="M115" i="2"/>
  <c r="L115" i="2"/>
  <c r="K115" i="2"/>
  <c r="I115" i="2"/>
  <c r="H115" i="2"/>
  <c r="G115" i="2"/>
  <c r="AB114" i="2"/>
  <c r="Y114" i="2"/>
  <c r="V114" i="2"/>
  <c r="S114" i="2"/>
  <c r="P114" i="2"/>
  <c r="M114" i="2"/>
  <c r="J114" i="2"/>
  <c r="G114" i="2"/>
  <c r="C114" i="2"/>
  <c r="B114" i="2"/>
  <c r="AB113" i="2"/>
  <c r="Y113" i="2"/>
  <c r="V113" i="2"/>
  <c r="S113" i="2"/>
  <c r="P113" i="2"/>
  <c r="M113" i="2"/>
  <c r="J113" i="2"/>
  <c r="G113" i="2"/>
  <c r="C113" i="2"/>
  <c r="B113" i="2"/>
  <c r="AB112" i="2"/>
  <c r="Y112" i="2"/>
  <c r="V112" i="2"/>
  <c r="S112" i="2"/>
  <c r="P112" i="2"/>
  <c r="M112" i="2"/>
  <c r="J112" i="2"/>
  <c r="G112" i="2"/>
  <c r="C112" i="2"/>
  <c r="B112" i="2"/>
  <c r="AB111" i="2"/>
  <c r="Y111" i="2"/>
  <c r="V111" i="2"/>
  <c r="S111" i="2"/>
  <c r="P111" i="2"/>
  <c r="M111" i="2"/>
  <c r="J111" i="2"/>
  <c r="G111" i="2"/>
  <c r="C111" i="2"/>
  <c r="B111" i="2"/>
  <c r="AB110" i="2"/>
  <c r="Y110" i="2"/>
  <c r="V110" i="2"/>
  <c r="S110" i="2"/>
  <c r="P110" i="2"/>
  <c r="M110" i="2"/>
  <c r="J110" i="2"/>
  <c r="G110" i="2"/>
  <c r="C110" i="2"/>
  <c r="B110" i="2"/>
  <c r="AB109" i="2"/>
  <c r="Y109" i="2"/>
  <c r="V109" i="2"/>
  <c r="S109" i="2"/>
  <c r="P109" i="2"/>
  <c r="L109" i="2"/>
  <c r="K109" i="2"/>
  <c r="B109" i="2" s="1"/>
  <c r="J109" i="2"/>
  <c r="G109" i="2"/>
  <c r="C109" i="2"/>
  <c r="AB108" i="2"/>
  <c r="Y108" i="2"/>
  <c r="V108" i="2"/>
  <c r="S108" i="2"/>
  <c r="P108" i="2"/>
  <c r="M108" i="2"/>
  <c r="J108" i="2"/>
  <c r="G108" i="2"/>
  <c r="C108" i="2"/>
  <c r="B108" i="2"/>
  <c r="AB107" i="2"/>
  <c r="Y107" i="2"/>
  <c r="V107" i="2"/>
  <c r="S107" i="2"/>
  <c r="P107" i="2"/>
  <c r="M107" i="2"/>
  <c r="J107" i="2"/>
  <c r="G107" i="2"/>
  <c r="C107" i="2"/>
  <c r="B107" i="2"/>
  <c r="AB106" i="2"/>
  <c r="Y106" i="2"/>
  <c r="V106" i="2"/>
  <c r="S106" i="2"/>
  <c r="P106" i="2"/>
  <c r="L106" i="2"/>
  <c r="K106" i="2"/>
  <c r="J106" i="2"/>
  <c r="G106" i="2"/>
  <c r="C106" i="2"/>
  <c r="B106" i="2"/>
  <c r="AB105" i="2"/>
  <c r="Y105" i="2"/>
  <c r="V105" i="2"/>
  <c r="S105" i="2"/>
  <c r="P105" i="2"/>
  <c r="M105" i="2"/>
  <c r="J105" i="2"/>
  <c r="G105" i="2"/>
  <c r="C105" i="2"/>
  <c r="B105" i="2"/>
  <c r="AB104" i="2"/>
  <c r="Y104" i="2"/>
  <c r="V104" i="2"/>
  <c r="S104" i="2"/>
  <c r="P104" i="2"/>
  <c r="M104" i="2"/>
  <c r="J104" i="2"/>
  <c r="G104" i="2"/>
  <c r="C104" i="2"/>
  <c r="B104" i="2"/>
  <c r="AB103" i="2"/>
  <c r="Y103" i="2"/>
  <c r="V103" i="2"/>
  <c r="S103" i="2"/>
  <c r="P103" i="2"/>
  <c r="L103" i="2"/>
  <c r="K103" i="2"/>
  <c r="J103" i="2"/>
  <c r="G103" i="2"/>
  <c r="C103" i="2"/>
  <c r="B103" i="2"/>
  <c r="AB102" i="2"/>
  <c r="Y102" i="2"/>
  <c r="V102" i="2"/>
  <c r="S102" i="2"/>
  <c r="P102" i="2"/>
  <c r="L102" i="2"/>
  <c r="K102" i="2"/>
  <c r="J102" i="2"/>
  <c r="G102" i="2"/>
  <c r="C102" i="2"/>
  <c r="B102" i="2"/>
  <c r="AB101" i="2"/>
  <c r="Y101" i="2"/>
  <c r="V101" i="2"/>
  <c r="S101" i="2"/>
  <c r="P101" i="2"/>
  <c r="M101" i="2"/>
  <c r="J101" i="2"/>
  <c r="G101" i="2"/>
  <c r="C101" i="2"/>
  <c r="B101" i="2"/>
  <c r="AB100" i="2"/>
  <c r="Y100" i="2"/>
  <c r="V100" i="2"/>
  <c r="S100" i="2"/>
  <c r="P100" i="2"/>
  <c r="M100" i="2"/>
  <c r="J100" i="2"/>
  <c r="G100" i="2"/>
  <c r="C100" i="2"/>
  <c r="B100" i="2"/>
  <c r="AB99" i="2"/>
  <c r="Y99" i="2"/>
  <c r="V99" i="2"/>
  <c r="S99" i="2"/>
  <c r="P99" i="2"/>
  <c r="L99" i="2"/>
  <c r="C99" i="2" s="1"/>
  <c r="K99" i="2"/>
  <c r="J99" i="2"/>
  <c r="G99" i="2"/>
  <c r="B99" i="2"/>
  <c r="AB98" i="2"/>
  <c r="Y98" i="2"/>
  <c r="V98" i="2"/>
  <c r="S98" i="2"/>
  <c r="P98" i="2"/>
  <c r="L98" i="2"/>
  <c r="K98" i="2"/>
  <c r="J98" i="2"/>
  <c r="G98" i="2"/>
  <c r="C98" i="2"/>
  <c r="B98" i="2"/>
  <c r="AB97" i="2"/>
  <c r="Y97" i="2"/>
  <c r="V97" i="2"/>
  <c r="S97" i="2"/>
  <c r="P97" i="2"/>
  <c r="M97" i="2"/>
  <c r="J97" i="2"/>
  <c r="G97" i="2"/>
  <c r="C97" i="2"/>
  <c r="B97" i="2"/>
  <c r="AB96" i="2"/>
  <c r="Y96" i="2"/>
  <c r="V96" i="2"/>
  <c r="S96" i="2"/>
  <c r="P96" i="2"/>
  <c r="M96" i="2"/>
  <c r="I96" i="2"/>
  <c r="H96" i="2"/>
  <c r="B96" i="2" s="1"/>
  <c r="G96" i="2"/>
  <c r="AB95" i="2"/>
  <c r="Y95" i="2"/>
  <c r="V95" i="2"/>
  <c r="S95" i="2"/>
  <c r="P95" i="2"/>
  <c r="M95" i="2"/>
  <c r="J95" i="2"/>
  <c r="G95" i="2"/>
  <c r="C95" i="2"/>
  <c r="B95" i="2"/>
  <c r="AB94" i="2"/>
  <c r="Y94" i="2"/>
  <c r="V94" i="2"/>
  <c r="S94" i="2"/>
  <c r="P94" i="2"/>
  <c r="M94" i="2"/>
  <c r="J94" i="2"/>
  <c r="G94" i="2"/>
  <c r="C94" i="2"/>
  <c r="B94" i="2"/>
  <c r="AB93" i="2"/>
  <c r="Y93" i="2"/>
  <c r="V93" i="2"/>
  <c r="S93" i="2"/>
  <c r="P93" i="2"/>
  <c r="M93" i="2"/>
  <c r="J93" i="2"/>
  <c r="D93" i="2" s="1"/>
  <c r="G93" i="2"/>
  <c r="C93" i="2"/>
  <c r="B93" i="2"/>
  <c r="AB92" i="2"/>
  <c r="Y92" i="2"/>
  <c r="V92" i="2"/>
  <c r="S92" i="2"/>
  <c r="P92" i="2"/>
  <c r="L92" i="2"/>
  <c r="C92" i="2" s="1"/>
  <c r="K92" i="2"/>
  <c r="J92" i="2"/>
  <c r="G92" i="2"/>
  <c r="B92" i="2"/>
  <c r="AB91" i="2"/>
  <c r="Y91" i="2"/>
  <c r="V91" i="2"/>
  <c r="S91" i="2"/>
  <c r="P91" i="2"/>
  <c r="M91" i="2"/>
  <c r="J91" i="2"/>
  <c r="G91" i="2"/>
  <c r="C91" i="2"/>
  <c r="B91" i="2"/>
  <c r="AB90" i="2"/>
  <c r="Y90" i="2"/>
  <c r="V90" i="2"/>
  <c r="S90" i="2"/>
  <c r="P90" i="2"/>
  <c r="M90" i="2"/>
  <c r="I90" i="2"/>
  <c r="J90" i="2" s="1"/>
  <c r="H90" i="2"/>
  <c r="B90" i="2" s="1"/>
  <c r="G90" i="2"/>
  <c r="C90" i="2"/>
  <c r="AB89" i="2"/>
  <c r="Y89" i="2"/>
  <c r="V89" i="2"/>
  <c r="S89" i="2"/>
  <c r="P89" i="2"/>
  <c r="M89" i="2"/>
  <c r="J89" i="2"/>
  <c r="G89" i="2"/>
  <c r="C89" i="2"/>
  <c r="B89" i="2"/>
  <c r="AB88" i="2"/>
  <c r="Y88" i="2"/>
  <c r="V88" i="2"/>
  <c r="S88" i="2"/>
  <c r="P88" i="2"/>
  <c r="M88" i="2"/>
  <c r="J88" i="2"/>
  <c r="G88" i="2"/>
  <c r="C88" i="2"/>
  <c r="B88" i="2"/>
  <c r="AB87" i="2"/>
  <c r="Y87" i="2"/>
  <c r="V87" i="2"/>
  <c r="S87" i="2"/>
  <c r="P87" i="2"/>
  <c r="M87" i="2"/>
  <c r="J87" i="2"/>
  <c r="G87" i="2"/>
  <c r="D87" i="2" s="1"/>
  <c r="C87" i="2"/>
  <c r="B87" i="2"/>
  <c r="AB86" i="2"/>
  <c r="Y86" i="2"/>
  <c r="V86" i="2"/>
  <c r="S86" i="2"/>
  <c r="P86" i="2"/>
  <c r="M86" i="2"/>
  <c r="J86" i="2"/>
  <c r="G86" i="2"/>
  <c r="C86" i="2"/>
  <c r="B86" i="2"/>
  <c r="AB85" i="2"/>
  <c r="Y85" i="2"/>
  <c r="V85" i="2"/>
  <c r="S85" i="2"/>
  <c r="P85" i="2"/>
  <c r="M85" i="2"/>
  <c r="J85" i="2"/>
  <c r="G85" i="2"/>
  <c r="C85" i="2"/>
  <c r="B85" i="2"/>
  <c r="AB84" i="2"/>
  <c r="Y84" i="2"/>
  <c r="V84" i="2"/>
  <c r="S84" i="2"/>
  <c r="P84" i="2"/>
  <c r="M84" i="2"/>
  <c r="J84" i="2"/>
  <c r="G84" i="2"/>
  <c r="C84" i="2"/>
  <c r="B84" i="2"/>
  <c r="AB83" i="2"/>
  <c r="Y83" i="2"/>
  <c r="V83" i="2"/>
  <c r="S83" i="2"/>
  <c r="P83" i="2"/>
  <c r="L83" i="2"/>
  <c r="K83" i="2"/>
  <c r="I83" i="2"/>
  <c r="H83" i="2"/>
  <c r="B83" i="2" s="1"/>
  <c r="G83" i="2"/>
  <c r="AB82" i="2"/>
  <c r="Y82" i="2"/>
  <c r="V82" i="2"/>
  <c r="S82" i="2"/>
  <c r="P82" i="2"/>
  <c r="M82" i="2"/>
  <c r="J82" i="2"/>
  <c r="G82" i="2"/>
  <c r="C82" i="2"/>
  <c r="B82" i="2"/>
  <c r="AB81" i="2"/>
  <c r="Y81" i="2"/>
  <c r="V81" i="2"/>
  <c r="S81" i="2"/>
  <c r="P81" i="2"/>
  <c r="L81" i="2"/>
  <c r="M81" i="2" s="1"/>
  <c r="K81" i="2"/>
  <c r="I81" i="2"/>
  <c r="H81" i="2"/>
  <c r="G81" i="2"/>
  <c r="AA80" i="2"/>
  <c r="Z80" i="2"/>
  <c r="X80" i="2"/>
  <c r="W80" i="2"/>
  <c r="V80" i="2"/>
  <c r="U80" i="2"/>
  <c r="T80" i="2"/>
  <c r="R80" i="2"/>
  <c r="S80" i="2" s="1"/>
  <c r="Q80" i="2"/>
  <c r="O80" i="2"/>
  <c r="N80" i="2"/>
  <c r="G80" i="2"/>
  <c r="F80" i="2"/>
  <c r="E80" i="2"/>
  <c r="AB79" i="2"/>
  <c r="Y79" i="2"/>
  <c r="V79" i="2"/>
  <c r="S79" i="2"/>
  <c r="P79" i="2"/>
  <c r="M79" i="2"/>
  <c r="J79" i="2"/>
  <c r="G79" i="2"/>
  <c r="C79" i="2"/>
  <c r="B79" i="2"/>
  <c r="AB78" i="2"/>
  <c r="Y78" i="2"/>
  <c r="U78" i="2"/>
  <c r="C78" i="2" s="1"/>
  <c r="T78" i="2"/>
  <c r="T66" i="2" s="1"/>
  <c r="T65" i="2" s="1"/>
  <c r="S78" i="2"/>
  <c r="P78" i="2"/>
  <c r="M78" i="2"/>
  <c r="J78" i="2"/>
  <c r="G78" i="2"/>
  <c r="AB77" i="2"/>
  <c r="Y77" i="2"/>
  <c r="V77" i="2"/>
  <c r="S77" i="2"/>
  <c r="P77" i="2"/>
  <c r="M77" i="2"/>
  <c r="J77" i="2"/>
  <c r="G77" i="2"/>
  <c r="C77" i="2"/>
  <c r="B77" i="2"/>
  <c r="AB76" i="2"/>
  <c r="X76" i="2"/>
  <c r="W76" i="2"/>
  <c r="U76" i="2"/>
  <c r="U66" i="2" s="1"/>
  <c r="U65" i="2" s="1"/>
  <c r="V65" i="2" s="1"/>
  <c r="T76" i="2"/>
  <c r="S76" i="2"/>
  <c r="P76" i="2"/>
  <c r="L76" i="2"/>
  <c r="M76" i="2" s="1"/>
  <c r="K76" i="2"/>
  <c r="J76" i="2"/>
  <c r="G76" i="2"/>
  <c r="C76" i="2"/>
  <c r="AB75" i="2"/>
  <c r="Y75" i="2"/>
  <c r="V75" i="2"/>
  <c r="S75" i="2"/>
  <c r="P75" i="2"/>
  <c r="M75" i="2"/>
  <c r="J75" i="2"/>
  <c r="G75" i="2"/>
  <c r="C75" i="2"/>
  <c r="B75" i="2"/>
  <c r="AB74" i="2"/>
  <c r="Y74" i="2"/>
  <c r="V74" i="2"/>
  <c r="S74" i="2"/>
  <c r="P74" i="2"/>
  <c r="M74" i="2"/>
  <c r="J74" i="2"/>
  <c r="D74" i="2" s="1"/>
  <c r="G74" i="2"/>
  <c r="C74" i="2"/>
  <c r="B74" i="2"/>
  <c r="AB73" i="2"/>
  <c r="Y73" i="2"/>
  <c r="V73" i="2"/>
  <c r="S73" i="2"/>
  <c r="P73" i="2"/>
  <c r="M73" i="2"/>
  <c r="J73" i="2"/>
  <c r="F73" i="2"/>
  <c r="E73" i="2"/>
  <c r="B73" i="2"/>
  <c r="AB72" i="2"/>
  <c r="Y72" i="2"/>
  <c r="V72" i="2"/>
  <c r="S72" i="2"/>
  <c r="P72" i="2"/>
  <c r="M72" i="2"/>
  <c r="J72" i="2"/>
  <c r="G72" i="2"/>
  <c r="C72" i="2"/>
  <c r="B72" i="2"/>
  <c r="AB71" i="2"/>
  <c r="Y71" i="2"/>
  <c r="V71" i="2"/>
  <c r="S71" i="2"/>
  <c r="P71" i="2"/>
  <c r="M71" i="2"/>
  <c r="J71" i="2"/>
  <c r="D71" i="2" s="1"/>
  <c r="G71" i="2"/>
  <c r="C71" i="2"/>
  <c r="B71" i="2"/>
  <c r="AB70" i="2"/>
  <c r="Y70" i="2"/>
  <c r="V70" i="2"/>
  <c r="S70" i="2"/>
  <c r="P70" i="2"/>
  <c r="M70" i="2"/>
  <c r="J70" i="2"/>
  <c r="G70" i="2"/>
  <c r="C70" i="2"/>
  <c r="B70" i="2"/>
  <c r="AB69" i="2"/>
  <c r="Y69" i="2"/>
  <c r="V69" i="2"/>
  <c r="S69" i="2"/>
  <c r="P69" i="2"/>
  <c r="L69" i="2"/>
  <c r="K69" i="2"/>
  <c r="J69" i="2"/>
  <c r="F69" i="2"/>
  <c r="AB68" i="2"/>
  <c r="Y68" i="2"/>
  <c r="V68" i="2"/>
  <c r="S68" i="2"/>
  <c r="P68" i="2"/>
  <c r="M68" i="2"/>
  <c r="J68" i="2"/>
  <c r="G68" i="2"/>
  <c r="C68" i="2"/>
  <c r="B68" i="2"/>
  <c r="AB67" i="2"/>
  <c r="Y67" i="2"/>
  <c r="V67" i="2"/>
  <c r="S67" i="2"/>
  <c r="P67" i="2"/>
  <c r="M67" i="2"/>
  <c r="J67" i="2"/>
  <c r="G67" i="2"/>
  <c r="C67" i="2"/>
  <c r="B67" i="2"/>
  <c r="Z66" i="2"/>
  <c r="Z65" i="2" s="1"/>
  <c r="N66" i="2"/>
  <c r="N65" i="2" s="1"/>
  <c r="AB64" i="2"/>
  <c r="Y64" i="2"/>
  <c r="V64" i="2"/>
  <c r="S64" i="2"/>
  <c r="O64" i="2"/>
  <c r="N64" i="2"/>
  <c r="M64" i="2"/>
  <c r="J64" i="2"/>
  <c r="G64" i="2"/>
  <c r="B64" i="2"/>
  <c r="AB63" i="2"/>
  <c r="Y63" i="2"/>
  <c r="V63" i="2"/>
  <c r="S63" i="2"/>
  <c r="P63" i="2"/>
  <c r="M63" i="2"/>
  <c r="J63" i="2"/>
  <c r="G63" i="2"/>
  <c r="C63" i="2"/>
  <c r="B63" i="2"/>
  <c r="AB62" i="2"/>
  <c r="Y62" i="2"/>
  <c r="V62" i="2"/>
  <c r="S62" i="2"/>
  <c r="P62" i="2"/>
  <c r="L62" i="2"/>
  <c r="M62" i="2" s="1"/>
  <c r="J62" i="2"/>
  <c r="G62" i="2"/>
  <c r="C62" i="2"/>
  <c r="B62" i="2"/>
  <c r="AB61" i="2"/>
  <c r="Y61" i="2"/>
  <c r="V61" i="2"/>
  <c r="S61" i="2"/>
  <c r="P61" i="2"/>
  <c r="M61" i="2"/>
  <c r="J61" i="2"/>
  <c r="G61" i="2"/>
  <c r="C61" i="2"/>
  <c r="B61" i="2"/>
  <c r="AB60" i="2"/>
  <c r="Y60" i="2"/>
  <c r="V60" i="2"/>
  <c r="S60" i="2"/>
  <c r="P60" i="2"/>
  <c r="M60" i="2"/>
  <c r="J60" i="2"/>
  <c r="G60" i="2"/>
  <c r="C60" i="2"/>
  <c r="B60" i="2"/>
  <c r="AB59" i="2"/>
  <c r="Y59" i="2"/>
  <c r="V59" i="2"/>
  <c r="S59" i="2"/>
  <c r="P59" i="2"/>
  <c r="M59" i="2"/>
  <c r="J59" i="2"/>
  <c r="G59" i="2"/>
  <c r="C59" i="2"/>
  <c r="B59" i="2"/>
  <c r="AB58" i="2"/>
  <c r="Y58" i="2"/>
  <c r="V58" i="2"/>
  <c r="S58" i="2"/>
  <c r="P58" i="2"/>
  <c r="M58" i="2"/>
  <c r="I58" i="2"/>
  <c r="H58" i="2"/>
  <c r="H54" i="2" s="1"/>
  <c r="H53" i="2" s="1"/>
  <c r="G58" i="2"/>
  <c r="P57" i="2"/>
  <c r="M57" i="2"/>
  <c r="J57" i="2"/>
  <c r="G57" i="2"/>
  <c r="C57" i="2"/>
  <c r="B57" i="2"/>
  <c r="AB56" i="2"/>
  <c r="Y56" i="2"/>
  <c r="V56" i="2"/>
  <c r="S56" i="2"/>
  <c r="P56" i="2"/>
  <c r="M56" i="2"/>
  <c r="J56" i="2"/>
  <c r="G56" i="2"/>
  <c r="D56" i="2" s="1"/>
  <c r="C56" i="2"/>
  <c r="B56" i="2"/>
  <c r="AB55" i="2"/>
  <c r="Y55" i="2"/>
  <c r="V55" i="2"/>
  <c r="S55" i="2"/>
  <c r="O55" i="2"/>
  <c r="N55" i="2"/>
  <c r="N54" i="2" s="1"/>
  <c r="N53" i="2" s="1"/>
  <c r="M55" i="2"/>
  <c r="J55" i="2"/>
  <c r="G55" i="2"/>
  <c r="B55" i="2"/>
  <c r="AA54" i="2"/>
  <c r="AA53" i="2" s="1"/>
  <c r="AB53" i="2" s="1"/>
  <c r="Z54" i="2"/>
  <c r="Z53" i="2" s="1"/>
  <c r="X54" i="2"/>
  <c r="W54" i="2"/>
  <c r="W53" i="2" s="1"/>
  <c r="U54" i="2"/>
  <c r="T54" i="2"/>
  <c r="T53" i="2" s="1"/>
  <c r="R54" i="2"/>
  <c r="Q54" i="2"/>
  <c r="Q53" i="2" s="1"/>
  <c r="L54" i="2"/>
  <c r="K54" i="2"/>
  <c r="K53" i="2" s="1"/>
  <c r="F54" i="2"/>
  <c r="E54" i="2"/>
  <c r="AB52" i="2"/>
  <c r="Y52" i="2"/>
  <c r="V52" i="2"/>
  <c r="S52" i="2"/>
  <c r="P52" i="2"/>
  <c r="M52" i="2"/>
  <c r="J52" i="2"/>
  <c r="G52" i="2"/>
  <c r="C52" i="2"/>
  <c r="B52" i="2"/>
  <c r="AB51" i="2"/>
  <c r="Y51" i="2"/>
  <c r="V51" i="2"/>
  <c r="S51" i="2"/>
  <c r="R51" i="2"/>
  <c r="C51" i="2" s="1"/>
  <c r="Q51" i="2"/>
  <c r="B51" i="2" s="1"/>
  <c r="P51" i="2"/>
  <c r="M51" i="2"/>
  <c r="D51" i="2" s="1"/>
  <c r="J51" i="2"/>
  <c r="G51" i="2"/>
  <c r="AB50" i="2"/>
  <c r="Y50" i="2"/>
  <c r="V50" i="2"/>
  <c r="S50" i="2"/>
  <c r="P50" i="2"/>
  <c r="M50" i="2"/>
  <c r="J50" i="2"/>
  <c r="G50" i="2"/>
  <c r="C50" i="2"/>
  <c r="B50" i="2"/>
  <c r="AA49" i="2"/>
  <c r="Z49" i="2"/>
  <c r="Z48" i="2" s="1"/>
  <c r="X49" i="2"/>
  <c r="Y49" i="2" s="1"/>
  <c r="W49" i="2"/>
  <c r="W48" i="2" s="1"/>
  <c r="U49" i="2"/>
  <c r="T49" i="2"/>
  <c r="T48" i="2" s="1"/>
  <c r="R49" i="2"/>
  <c r="Q49" i="2"/>
  <c r="Q48" i="2" s="1"/>
  <c r="O49" i="2"/>
  <c r="N49" i="2"/>
  <c r="N48" i="2" s="1"/>
  <c r="M49" i="2"/>
  <c r="L49" i="2"/>
  <c r="K49" i="2"/>
  <c r="K48" i="2" s="1"/>
  <c r="I49" i="2"/>
  <c r="H49" i="2"/>
  <c r="H48" i="2" s="1"/>
  <c r="F49" i="2"/>
  <c r="E49" i="2"/>
  <c r="L48" i="2"/>
  <c r="AB47" i="2"/>
  <c r="Y47" i="2"/>
  <c r="V47" i="2"/>
  <c r="S47" i="2"/>
  <c r="P47" i="2"/>
  <c r="M47" i="2"/>
  <c r="J47" i="2"/>
  <c r="F47" i="2"/>
  <c r="C47" i="2" s="1"/>
  <c r="B47" i="2"/>
  <c r="AB46" i="2"/>
  <c r="Y46" i="2"/>
  <c r="V46" i="2"/>
  <c r="S46" i="2"/>
  <c r="P46" i="2"/>
  <c r="M46" i="2"/>
  <c r="J46" i="2"/>
  <c r="F46" i="2"/>
  <c r="E46" i="2"/>
  <c r="B46" i="2" s="1"/>
  <c r="AB45" i="2"/>
  <c r="Y45" i="2"/>
  <c r="V45" i="2"/>
  <c r="S45" i="2"/>
  <c r="P45" i="2"/>
  <c r="M45" i="2"/>
  <c r="J45" i="2"/>
  <c r="F45" i="2"/>
  <c r="B45" i="2"/>
  <c r="AB44" i="2"/>
  <c r="Y44" i="2"/>
  <c r="V44" i="2"/>
  <c r="S44" i="2"/>
  <c r="P44" i="2"/>
  <c r="L44" i="2"/>
  <c r="M44" i="2" s="1"/>
  <c r="K44" i="2"/>
  <c r="J44" i="2"/>
  <c r="G44" i="2"/>
  <c r="C44" i="2"/>
  <c r="B44" i="2"/>
  <c r="AB43" i="2"/>
  <c r="Y43" i="2"/>
  <c r="V43" i="2"/>
  <c r="S43" i="2"/>
  <c r="P43" i="2"/>
  <c r="M43" i="2"/>
  <c r="J43" i="2"/>
  <c r="G43" i="2"/>
  <c r="C43" i="2"/>
  <c r="B43" i="2"/>
  <c r="AB42" i="2"/>
  <c r="Y42" i="2"/>
  <c r="V42" i="2"/>
  <c r="S42" i="2"/>
  <c r="P42" i="2"/>
  <c r="M42" i="2"/>
  <c r="J42" i="2"/>
  <c r="G42" i="2"/>
  <c r="D42" i="2" s="1"/>
  <c r="C42" i="2"/>
  <c r="B42" i="2"/>
  <c r="AB41" i="2"/>
  <c r="Y41" i="2"/>
  <c r="V41" i="2"/>
  <c r="S41" i="2"/>
  <c r="P41" i="2"/>
  <c r="M41" i="2"/>
  <c r="L41" i="2"/>
  <c r="K41" i="2"/>
  <c r="J41" i="2"/>
  <c r="G41" i="2"/>
  <c r="F41" i="2"/>
  <c r="C41" i="2" s="1"/>
  <c r="E41" i="2"/>
  <c r="B41" i="2" s="1"/>
  <c r="AB40" i="2"/>
  <c r="Y40" i="2"/>
  <c r="V40" i="2"/>
  <c r="S40" i="2"/>
  <c r="P40" i="2"/>
  <c r="L40" i="2"/>
  <c r="K40" i="2"/>
  <c r="J40" i="2"/>
  <c r="G40" i="2"/>
  <c r="B40" i="2"/>
  <c r="AB39" i="2"/>
  <c r="Y39" i="2"/>
  <c r="V39" i="2"/>
  <c r="S39" i="2"/>
  <c r="P39" i="2"/>
  <c r="M39" i="2"/>
  <c r="J39" i="2"/>
  <c r="G39" i="2"/>
  <c r="C39" i="2"/>
  <c r="B39" i="2"/>
  <c r="AB38" i="2"/>
  <c r="Y38" i="2"/>
  <c r="V38" i="2"/>
  <c r="S38" i="2"/>
  <c r="P38" i="2"/>
  <c r="M38" i="2"/>
  <c r="J38" i="2"/>
  <c r="G38" i="2"/>
  <c r="C38" i="2"/>
  <c r="B38" i="2"/>
  <c r="AA37" i="2"/>
  <c r="Z37" i="2"/>
  <c r="Z36" i="2" s="1"/>
  <c r="Y37" i="2"/>
  <c r="X37" i="2"/>
  <c r="X36" i="2" s="1"/>
  <c r="Y36" i="2" s="1"/>
  <c r="W37" i="2"/>
  <c r="W36" i="2" s="1"/>
  <c r="U37" i="2"/>
  <c r="T37" i="2"/>
  <c r="T36" i="2" s="1"/>
  <c r="R37" i="2"/>
  <c r="S37" i="2" s="1"/>
  <c r="Q37" i="2"/>
  <c r="Q36" i="2" s="1"/>
  <c r="O37" i="2"/>
  <c r="N37" i="2"/>
  <c r="N36" i="2" s="1"/>
  <c r="I37" i="2"/>
  <c r="H37" i="2"/>
  <c r="H36" i="2"/>
  <c r="AA35" i="2"/>
  <c r="Z35" i="2"/>
  <c r="Z21" i="2" s="1"/>
  <c r="Z20" i="2" s="1"/>
  <c r="Y35" i="2"/>
  <c r="V35" i="2"/>
  <c r="S35" i="2"/>
  <c r="P35" i="2"/>
  <c r="M35" i="2"/>
  <c r="J35" i="2"/>
  <c r="G35" i="2"/>
  <c r="B35" i="2"/>
  <c r="AB34" i="2"/>
  <c r="Y34" i="2"/>
  <c r="V34" i="2"/>
  <c r="S34" i="2"/>
  <c r="P34" i="2"/>
  <c r="M34" i="2"/>
  <c r="J34" i="2"/>
  <c r="G34" i="2"/>
  <c r="C34" i="2"/>
  <c r="B34" i="2"/>
  <c r="AB33" i="2"/>
  <c r="Y33" i="2"/>
  <c r="U33" i="2"/>
  <c r="C33" i="2" s="1"/>
  <c r="T33" i="2"/>
  <c r="B33" i="2" s="1"/>
  <c r="S33" i="2"/>
  <c r="P33" i="2"/>
  <c r="M33" i="2"/>
  <c r="J33" i="2"/>
  <c r="G33" i="2"/>
  <c r="AB32" i="2"/>
  <c r="Y32" i="2"/>
  <c r="V32" i="2"/>
  <c r="S32" i="2"/>
  <c r="P32" i="2"/>
  <c r="M32" i="2"/>
  <c r="J32" i="2"/>
  <c r="F32" i="2"/>
  <c r="E32" i="2"/>
  <c r="B32" i="2"/>
  <c r="AB31" i="2"/>
  <c r="Y31" i="2"/>
  <c r="U31" i="2"/>
  <c r="T31" i="2"/>
  <c r="B31" i="2" s="1"/>
  <c r="S31" i="2"/>
  <c r="P31" i="2"/>
  <c r="M31" i="2"/>
  <c r="J31" i="2"/>
  <c r="G31" i="2"/>
  <c r="AB30" i="2"/>
  <c r="Y30" i="2"/>
  <c r="V30" i="2"/>
  <c r="S30" i="2"/>
  <c r="P30" i="2"/>
  <c r="M30" i="2"/>
  <c r="J30" i="2"/>
  <c r="G30" i="2"/>
  <c r="C30" i="2"/>
  <c r="B30" i="2"/>
  <c r="AB29" i="2"/>
  <c r="Y29" i="2"/>
  <c r="V29" i="2"/>
  <c r="S29" i="2"/>
  <c r="P29" i="2"/>
  <c r="M29" i="2"/>
  <c r="J29" i="2"/>
  <c r="G29" i="2"/>
  <c r="C29" i="2"/>
  <c r="B29" i="2"/>
  <c r="AB28" i="2"/>
  <c r="Y28" i="2"/>
  <c r="V28" i="2"/>
  <c r="S28" i="2"/>
  <c r="P28" i="2"/>
  <c r="M28" i="2"/>
  <c r="J28" i="2"/>
  <c r="G28" i="2"/>
  <c r="C28" i="2"/>
  <c r="B28" i="2"/>
  <c r="AB27" i="2"/>
  <c r="Y27" i="2"/>
  <c r="V27" i="2"/>
  <c r="S27" i="2"/>
  <c r="P27" i="2"/>
  <c r="M27" i="2"/>
  <c r="J27" i="2"/>
  <c r="G27" i="2"/>
  <c r="C27" i="2"/>
  <c r="B27" i="2"/>
  <c r="AB26" i="2"/>
  <c r="Y26" i="2"/>
  <c r="V26" i="2"/>
  <c r="S26" i="2"/>
  <c r="P26" i="2"/>
  <c r="L26" i="2"/>
  <c r="M26" i="2" s="1"/>
  <c r="J26" i="2"/>
  <c r="G26" i="2"/>
  <c r="B26" i="2"/>
  <c r="AB25" i="2"/>
  <c r="Y25" i="2"/>
  <c r="V25" i="2"/>
  <c r="S25" i="2"/>
  <c r="P25" i="2"/>
  <c r="M25" i="2"/>
  <c r="J25" i="2"/>
  <c r="G25" i="2"/>
  <c r="C25" i="2"/>
  <c r="B25" i="2"/>
  <c r="AB24" i="2"/>
  <c r="Y24" i="2"/>
  <c r="V24" i="2"/>
  <c r="S24" i="2"/>
  <c r="P24" i="2"/>
  <c r="M24" i="2"/>
  <c r="J24" i="2"/>
  <c r="G24" i="2"/>
  <c r="C24" i="2"/>
  <c r="B24" i="2"/>
  <c r="AB23" i="2"/>
  <c r="Y23" i="2"/>
  <c r="V23" i="2"/>
  <c r="S23" i="2"/>
  <c r="P23" i="2"/>
  <c r="M23" i="2"/>
  <c r="J23" i="2"/>
  <c r="G23" i="2"/>
  <c r="C23" i="2"/>
  <c r="B23" i="2"/>
  <c r="AB22" i="2"/>
  <c r="Y22" i="2"/>
  <c r="V22" i="2"/>
  <c r="S22" i="2"/>
  <c r="P22" i="2"/>
  <c r="M22" i="2"/>
  <c r="J22" i="2"/>
  <c r="F22" i="2"/>
  <c r="E22" i="2"/>
  <c r="X21" i="2"/>
  <c r="W21" i="2"/>
  <c r="W20" i="2" s="1"/>
  <c r="T21" i="2"/>
  <c r="T20" i="2" s="1"/>
  <c r="R21" i="2"/>
  <c r="S21" i="2" s="1"/>
  <c r="Q21" i="2"/>
  <c r="Q20" i="2" s="1"/>
  <c r="O21" i="2"/>
  <c r="N21" i="2"/>
  <c r="N20" i="2" s="1"/>
  <c r="K21" i="2"/>
  <c r="I21" i="2"/>
  <c r="H21" i="2"/>
  <c r="H20" i="2" s="1"/>
  <c r="K20" i="2"/>
  <c r="AB19" i="2"/>
  <c r="Y19" i="2"/>
  <c r="V19" i="2"/>
  <c r="S19" i="2"/>
  <c r="P19" i="2"/>
  <c r="M19" i="2"/>
  <c r="J19" i="2"/>
  <c r="G19" i="2"/>
  <c r="C19" i="2"/>
  <c r="B19" i="2"/>
  <c r="AB18" i="2"/>
  <c r="Y18" i="2"/>
  <c r="V18" i="2"/>
  <c r="S18" i="2"/>
  <c r="P18" i="2"/>
  <c r="M18" i="2"/>
  <c r="I18" i="2"/>
  <c r="H18" i="2"/>
  <c r="G18" i="2"/>
  <c r="C18" i="2"/>
  <c r="B18" i="2"/>
  <c r="AB17" i="2"/>
  <c r="Y17" i="2"/>
  <c r="V17" i="2"/>
  <c r="S17" i="2"/>
  <c r="P17" i="2"/>
  <c r="M17" i="2"/>
  <c r="J17" i="2"/>
  <c r="D17" i="2" s="1"/>
  <c r="G17" i="2"/>
  <c r="C17" i="2"/>
  <c r="B17" i="2"/>
  <c r="AB16" i="2"/>
  <c r="Y16" i="2"/>
  <c r="V16" i="2"/>
  <c r="S16" i="2"/>
  <c r="P16" i="2"/>
  <c r="M16" i="2"/>
  <c r="J16" i="2"/>
  <c r="G16" i="2"/>
  <c r="C16" i="2"/>
  <c r="B16" i="2"/>
  <c r="AB15" i="2"/>
  <c r="Y15" i="2"/>
  <c r="V15" i="2"/>
  <c r="S15" i="2"/>
  <c r="P15" i="2"/>
  <c r="M15" i="2"/>
  <c r="J15" i="2"/>
  <c r="G15" i="2"/>
  <c r="C15" i="2"/>
  <c r="B15" i="2"/>
  <c r="AB14" i="2"/>
  <c r="Y14" i="2"/>
  <c r="V14" i="2"/>
  <c r="S14" i="2"/>
  <c r="P14" i="2"/>
  <c r="M14" i="2"/>
  <c r="J14" i="2"/>
  <c r="G14" i="2"/>
  <c r="C14" i="2"/>
  <c r="B14" i="2"/>
  <c r="AB13" i="2"/>
  <c r="Y13" i="2"/>
  <c r="V13" i="2"/>
  <c r="S13" i="2"/>
  <c r="P13" i="2"/>
  <c r="M13" i="2"/>
  <c r="J13" i="2"/>
  <c r="G13" i="2"/>
  <c r="C13" i="2"/>
  <c r="B13" i="2"/>
  <c r="AB12" i="2"/>
  <c r="Y12" i="2"/>
  <c r="V12" i="2"/>
  <c r="S12" i="2"/>
  <c r="P12" i="2"/>
  <c r="M12" i="2"/>
  <c r="J12" i="2"/>
  <c r="G12" i="2"/>
  <c r="C12" i="2"/>
  <c r="B12" i="2"/>
  <c r="AA11" i="2"/>
  <c r="Z11" i="2"/>
  <c r="Z10" i="2" s="1"/>
  <c r="X11" i="2"/>
  <c r="W11" i="2"/>
  <c r="W10" i="2" s="1"/>
  <c r="U11" i="2"/>
  <c r="T11" i="2"/>
  <c r="T10" i="2" s="1"/>
  <c r="R11" i="2"/>
  <c r="Q11" i="2"/>
  <c r="Q10" i="2" s="1"/>
  <c r="O11" i="2"/>
  <c r="O10" i="2" s="1"/>
  <c r="N11" i="2"/>
  <c r="N10" i="2" s="1"/>
  <c r="L11" i="2"/>
  <c r="K11" i="2"/>
  <c r="K10" i="2" s="1"/>
  <c r="H11" i="2"/>
  <c r="H10" i="2" s="1"/>
  <c r="F11" i="2"/>
  <c r="E11" i="2"/>
  <c r="AA10" i="2"/>
  <c r="D247" i="2" l="1"/>
  <c r="C264" i="2"/>
  <c r="R252" i="2"/>
  <c r="S252" i="2" s="1"/>
  <c r="S264" i="2"/>
  <c r="P21" i="2"/>
  <c r="D29" i="2"/>
  <c r="X48" i="2"/>
  <c r="Y48" i="2" s="1"/>
  <c r="AB54" i="2"/>
  <c r="B58" i="2"/>
  <c r="J58" i="2"/>
  <c r="D72" i="2"/>
  <c r="V76" i="2"/>
  <c r="D82" i="2"/>
  <c r="K80" i="2"/>
  <c r="K66" i="2" s="1"/>
  <c r="K65" i="2" s="1"/>
  <c r="K9" i="2" s="1"/>
  <c r="D92" i="2"/>
  <c r="M92" i="2"/>
  <c r="E150" i="2"/>
  <c r="E149" i="2" s="1"/>
  <c r="D153" i="2"/>
  <c r="C212" i="2"/>
  <c r="U211" i="2"/>
  <c r="G279" i="2"/>
  <c r="R284" i="2"/>
  <c r="S284" i="2" s="1"/>
  <c r="M302" i="2"/>
  <c r="B305" i="2"/>
  <c r="N302" i="2"/>
  <c r="P314" i="2"/>
  <c r="L326" i="2"/>
  <c r="M326" i="2" s="1"/>
  <c r="M329" i="2"/>
  <c r="C329" i="2"/>
  <c r="C341" i="2"/>
  <c r="U333" i="2"/>
  <c r="V333" i="2" s="1"/>
  <c r="P418" i="2"/>
  <c r="D12" i="2"/>
  <c r="P11" i="2"/>
  <c r="V11" i="2"/>
  <c r="AB11" i="2"/>
  <c r="D23" i="2"/>
  <c r="D34" i="2"/>
  <c r="Z9" i="2"/>
  <c r="K37" i="2"/>
  <c r="K36" i="2" s="1"/>
  <c r="I54" i="2"/>
  <c r="S54" i="2"/>
  <c r="C58" i="2"/>
  <c r="D59" i="2"/>
  <c r="D63" i="2"/>
  <c r="D136" i="2"/>
  <c r="D155" i="2"/>
  <c r="AB193" i="2"/>
  <c r="Q211" i="2"/>
  <c r="O210" i="2"/>
  <c r="F284" i="2"/>
  <c r="V363" i="2"/>
  <c r="V430" i="2"/>
  <c r="D15" i="2"/>
  <c r="D41" i="2"/>
  <c r="D86" i="2"/>
  <c r="D100" i="2"/>
  <c r="D112" i="2"/>
  <c r="D128" i="2"/>
  <c r="H150" i="2"/>
  <c r="H149" i="2" s="1"/>
  <c r="B154" i="2"/>
  <c r="AB204" i="2"/>
  <c r="AA198" i="2"/>
  <c r="C205" i="2"/>
  <c r="L204" i="2"/>
  <c r="L198" i="2" s="1"/>
  <c r="Y189" i="2"/>
  <c r="B195" i="2"/>
  <c r="J199" i="2"/>
  <c r="AB211" i="2"/>
  <c r="D217" i="2"/>
  <c r="D304" i="2"/>
  <c r="G307" i="2"/>
  <c r="M307" i="2"/>
  <c r="J311" i="2"/>
  <c r="P311" i="2"/>
  <c r="D330" i="2"/>
  <c r="F333" i="2"/>
  <c r="M349" i="2"/>
  <c r="D353" i="2"/>
  <c r="J384" i="2"/>
  <c r="B384" i="2"/>
  <c r="D388" i="2"/>
  <c r="S400" i="2"/>
  <c r="R396" i="2"/>
  <c r="D419" i="2"/>
  <c r="C81" i="2"/>
  <c r="M103" i="2"/>
  <c r="J115" i="2"/>
  <c r="D115" i="2" s="1"/>
  <c r="D145" i="2"/>
  <c r="D147" i="2"/>
  <c r="D163" i="2"/>
  <c r="D164" i="2"/>
  <c r="M171" i="2"/>
  <c r="P180" i="2"/>
  <c r="AB180" i="2"/>
  <c r="K180" i="2"/>
  <c r="M195" i="2"/>
  <c r="D201" i="2"/>
  <c r="G235" i="2"/>
  <c r="D238" i="2"/>
  <c r="G252" i="2"/>
  <c r="D258" i="2"/>
  <c r="K265" i="2"/>
  <c r="Z265" i="2"/>
  <c r="D269" i="2"/>
  <c r="M277" i="2"/>
  <c r="C279" i="2"/>
  <c r="AB279" i="2"/>
  <c r="X284" i="2"/>
  <c r="M293" i="2"/>
  <c r="B302" i="2"/>
  <c r="K314" i="2"/>
  <c r="V314" i="2"/>
  <c r="Y317" i="2"/>
  <c r="B322" i="2"/>
  <c r="AB322" i="2"/>
  <c r="M328" i="2"/>
  <c r="D350" i="2"/>
  <c r="H354" i="2"/>
  <c r="S391" i="2"/>
  <c r="D398" i="2"/>
  <c r="N396" i="2"/>
  <c r="P396" i="2" s="1"/>
  <c r="Z396" i="2"/>
  <c r="J404" i="2"/>
  <c r="J407" i="2"/>
  <c r="Z406" i="2"/>
  <c r="D411" i="2"/>
  <c r="G413" i="2"/>
  <c r="D414" i="2"/>
  <c r="D415" i="2"/>
  <c r="E412" i="2"/>
  <c r="U412" i="2"/>
  <c r="AB418" i="2"/>
  <c r="J425" i="2"/>
  <c r="AB430" i="2"/>
  <c r="D111" i="2"/>
  <c r="D120" i="2"/>
  <c r="D124" i="2"/>
  <c r="D127" i="2"/>
  <c r="D131" i="2"/>
  <c r="D132" i="2"/>
  <c r="D135" i="2"/>
  <c r="M150" i="2"/>
  <c r="D158" i="2"/>
  <c r="D159" i="2"/>
  <c r="F179" i="2"/>
  <c r="D192" i="2"/>
  <c r="V212" i="2"/>
  <c r="D226" i="2"/>
  <c r="H210" i="2"/>
  <c r="G266" i="2"/>
  <c r="P277" i="2"/>
  <c r="J279" i="2"/>
  <c r="D291" i="2"/>
  <c r="N284" i="2"/>
  <c r="AB302" i="2"/>
  <c r="S311" i="2"/>
  <c r="Y311" i="2"/>
  <c r="N313" i="2"/>
  <c r="G322" i="2"/>
  <c r="D324" i="2"/>
  <c r="S326" i="2"/>
  <c r="V341" i="2"/>
  <c r="D347" i="2"/>
  <c r="C349" i="2"/>
  <c r="Y381" i="2"/>
  <c r="B391" i="2"/>
  <c r="T354" i="2"/>
  <c r="D394" i="2"/>
  <c r="K396" i="2"/>
  <c r="AB397" i="2"/>
  <c r="J400" i="2"/>
  <c r="D405" i="2"/>
  <c r="B413" i="2"/>
  <c r="N412" i="2"/>
  <c r="Y413" i="2"/>
  <c r="Q412" i="2"/>
  <c r="S412" i="2" s="1"/>
  <c r="Y430" i="2"/>
  <c r="E10" i="3"/>
  <c r="E9" i="3" s="1"/>
  <c r="D62" i="2"/>
  <c r="D90" i="2"/>
  <c r="B244" i="2"/>
  <c r="W235" i="2"/>
  <c r="W210" i="2" s="1"/>
  <c r="P49" i="2"/>
  <c r="W66" i="2"/>
  <c r="W65" i="2" s="1"/>
  <c r="Y80" i="2"/>
  <c r="J81" i="2"/>
  <c r="D81" i="2" s="1"/>
  <c r="D85" i="2"/>
  <c r="D91" i="2"/>
  <c r="D95" i="2"/>
  <c r="M98" i="2"/>
  <c r="M99" i="2"/>
  <c r="D99" i="2" s="1"/>
  <c r="D110" i="2"/>
  <c r="C115" i="2"/>
  <c r="B115" i="2"/>
  <c r="Y117" i="2"/>
  <c r="D123" i="2"/>
  <c r="D125" i="2"/>
  <c r="D129" i="2"/>
  <c r="D134" i="2"/>
  <c r="Y150" i="2"/>
  <c r="D156" i="2"/>
  <c r="D170" i="2"/>
  <c r="M172" i="2"/>
  <c r="Y172" i="2"/>
  <c r="Y187" i="2"/>
  <c r="B232" i="2"/>
  <c r="D243" i="2"/>
  <c r="Q266" i="2"/>
  <c r="B270" i="2"/>
  <c r="H333" i="2"/>
  <c r="J333" i="2" s="1"/>
  <c r="J352" i="2"/>
  <c r="V381" i="2"/>
  <c r="U354" i="2"/>
  <c r="V354" i="2" s="1"/>
  <c r="AB381" i="2"/>
  <c r="C397" i="2"/>
  <c r="F396" i="2"/>
  <c r="U407" i="2"/>
  <c r="V407" i="2" s="1"/>
  <c r="V408" i="2"/>
  <c r="B172" i="2"/>
  <c r="E171" i="2"/>
  <c r="B171" i="2" s="1"/>
  <c r="B352" i="2"/>
  <c r="B381" i="2"/>
  <c r="V421" i="2"/>
  <c r="U420" i="2"/>
  <c r="B11" i="2"/>
  <c r="D16" i="2"/>
  <c r="D19" i="2"/>
  <c r="O20" i="2"/>
  <c r="G22" i="2"/>
  <c r="D22" i="2" s="1"/>
  <c r="D25" i="2"/>
  <c r="C26" i="2"/>
  <c r="D28" i="2"/>
  <c r="E37" i="2"/>
  <c r="E36" i="2" s="1"/>
  <c r="B36" i="2" s="1"/>
  <c r="P37" i="2"/>
  <c r="D39" i="2"/>
  <c r="G11" i="2"/>
  <c r="S11" i="2"/>
  <c r="D14" i="2"/>
  <c r="L21" i="2"/>
  <c r="D24" i="2"/>
  <c r="D27" i="2"/>
  <c r="V33" i="2"/>
  <c r="D33" i="2" s="1"/>
  <c r="AB37" i="2"/>
  <c r="D38" i="2"/>
  <c r="D44" i="2"/>
  <c r="G49" i="2"/>
  <c r="AB49" i="2"/>
  <c r="D50" i="2"/>
  <c r="G54" i="2"/>
  <c r="V54" i="2"/>
  <c r="D61" i="2"/>
  <c r="X66" i="2"/>
  <c r="X65" i="2" s="1"/>
  <c r="D68" i="2"/>
  <c r="D79" i="2"/>
  <c r="B81" i="2"/>
  <c r="D84" i="2"/>
  <c r="D89" i="2"/>
  <c r="D119" i="2"/>
  <c r="D144" i="2"/>
  <c r="D148" i="2"/>
  <c r="L149" i="2"/>
  <c r="M149" i="2" s="1"/>
  <c r="J154" i="2"/>
  <c r="D154" i="2" s="1"/>
  <c r="I150" i="2"/>
  <c r="C154" i="2"/>
  <c r="U171" i="2"/>
  <c r="V171" i="2" s="1"/>
  <c r="D173" i="2"/>
  <c r="P173" i="2"/>
  <c r="D194" i="2"/>
  <c r="V195" i="2"/>
  <c r="D197" i="2"/>
  <c r="H198" i="2"/>
  <c r="P211" i="2"/>
  <c r="E231" i="2"/>
  <c r="E210" i="2" s="1"/>
  <c r="G232" i="2"/>
  <c r="Z210" i="2"/>
  <c r="D233" i="2"/>
  <c r="M235" i="2"/>
  <c r="D237" i="2"/>
  <c r="AB252" i="2"/>
  <c r="D257" i="2"/>
  <c r="D261" i="2"/>
  <c r="D263" i="2"/>
  <c r="F265" i="2"/>
  <c r="Y271" i="2"/>
  <c r="Z284" i="2"/>
  <c r="D300" i="2"/>
  <c r="D306" i="2"/>
  <c r="H284" i="2"/>
  <c r="V307" i="2"/>
  <c r="AA284" i="2"/>
  <c r="AB284" i="2" s="1"/>
  <c r="AB307" i="2"/>
  <c r="E354" i="2"/>
  <c r="G397" i="2"/>
  <c r="K204" i="2"/>
  <c r="K198" i="2" s="1"/>
  <c r="B205" i="2"/>
  <c r="D280" i="2"/>
  <c r="D13" i="2"/>
  <c r="D30" i="2"/>
  <c r="D43" i="2"/>
  <c r="D52" i="2"/>
  <c r="D57" i="2"/>
  <c r="D58" i="2"/>
  <c r="D60" i="2"/>
  <c r="D67" i="2"/>
  <c r="D88" i="2"/>
  <c r="D94" i="2"/>
  <c r="D104" i="2"/>
  <c r="B117" i="2"/>
  <c r="D118" i="2"/>
  <c r="D139" i="2"/>
  <c r="D141" i="2"/>
  <c r="W179" i="2"/>
  <c r="C181" i="2"/>
  <c r="M181" i="2"/>
  <c r="D181" i="2" s="1"/>
  <c r="AB189" i="2"/>
  <c r="D190" i="2"/>
  <c r="D191" i="2"/>
  <c r="D219" i="2"/>
  <c r="D224" i="2"/>
  <c r="D225" i="2"/>
  <c r="AA231" i="2"/>
  <c r="C231" i="2" s="1"/>
  <c r="AB232" i="2"/>
  <c r="D254" i="2"/>
  <c r="D287" i="2"/>
  <c r="F313" i="2"/>
  <c r="D316" i="2"/>
  <c r="S317" i="2"/>
  <c r="R313" i="2"/>
  <c r="W313" i="2"/>
  <c r="C385" i="2"/>
  <c r="O384" i="2"/>
  <c r="D389" i="2"/>
  <c r="X354" i="2"/>
  <c r="Y391" i="2"/>
  <c r="B404" i="2"/>
  <c r="G408" i="2"/>
  <c r="C421" i="2"/>
  <c r="F420" i="2"/>
  <c r="F406" i="2" s="1"/>
  <c r="D431" i="2"/>
  <c r="D133" i="2"/>
  <c r="D140" i="2"/>
  <c r="D143" i="2"/>
  <c r="D160" i="2"/>
  <c r="D169" i="2"/>
  <c r="Y171" i="2"/>
  <c r="D176" i="2"/>
  <c r="J189" i="2"/>
  <c r="D202" i="2"/>
  <c r="D208" i="2"/>
  <c r="V231" i="2"/>
  <c r="D253" i="2"/>
  <c r="D255" i="2"/>
  <c r="D256" i="2"/>
  <c r="D262" i="2"/>
  <c r="W265" i="2"/>
  <c r="M271" i="2"/>
  <c r="V277" i="2"/>
  <c r="D278" i="2"/>
  <c r="D290" i="2"/>
  <c r="C295" i="2"/>
  <c r="D301" i="2"/>
  <c r="V302" i="2"/>
  <c r="S314" i="2"/>
  <c r="P317" i="2"/>
  <c r="D329" i="2"/>
  <c r="D332" i="2"/>
  <c r="Z354" i="2"/>
  <c r="D376" i="2"/>
  <c r="V391" i="2"/>
  <c r="S397" i="2"/>
  <c r="B400" i="2"/>
  <c r="V400" i="2"/>
  <c r="P402" i="2"/>
  <c r="V404" i="2"/>
  <c r="J413" i="2"/>
  <c r="G418" i="2"/>
  <c r="M418" i="2"/>
  <c r="G421" i="2"/>
  <c r="R420" i="2"/>
  <c r="S420" i="2" s="1"/>
  <c r="S421" i="2"/>
  <c r="H429" i="2"/>
  <c r="H428" i="2" s="1"/>
  <c r="B430" i="2"/>
  <c r="M102" i="2"/>
  <c r="D102" i="2" s="1"/>
  <c r="D103" i="2"/>
  <c r="M106" i="2"/>
  <c r="D107" i="2"/>
  <c r="D114" i="2"/>
  <c r="D121" i="2"/>
  <c r="D126" i="2"/>
  <c r="D137" i="2"/>
  <c r="D142" i="2"/>
  <c r="D166" i="2"/>
  <c r="J171" i="2"/>
  <c r="D175" i="2"/>
  <c r="D184" i="2"/>
  <c r="D185" i="2"/>
  <c r="D188" i="2"/>
  <c r="P189" i="2"/>
  <c r="V193" i="2"/>
  <c r="M205" i="2"/>
  <c r="D205" i="2" s="1"/>
  <c r="D206" i="2"/>
  <c r="Y211" i="2"/>
  <c r="C214" i="2"/>
  <c r="D215" i="2"/>
  <c r="D221" i="2"/>
  <c r="J231" i="2"/>
  <c r="M232" i="2"/>
  <c r="D234" i="2"/>
  <c r="P235" i="2"/>
  <c r="X235" i="2"/>
  <c r="M241" i="2"/>
  <c r="D241" i="2" s="1"/>
  <c r="D242" i="2"/>
  <c r="Y244" i="2"/>
  <c r="D244" i="2" s="1"/>
  <c r="D250" i="2"/>
  <c r="P271" i="2"/>
  <c r="B277" i="2"/>
  <c r="D282" i="2"/>
  <c r="K284" i="2"/>
  <c r="T284" i="2"/>
  <c r="Y285" i="2"/>
  <c r="Y293" i="2"/>
  <c r="S295" i="2"/>
  <c r="D309" i="2"/>
  <c r="Q313" i="2"/>
  <c r="J322" i="2"/>
  <c r="S333" i="2"/>
  <c r="D338" i="2"/>
  <c r="G344" i="2"/>
  <c r="D344" i="2" s="1"/>
  <c r="G351" i="2"/>
  <c r="D358" i="2"/>
  <c r="AB363" i="2"/>
  <c r="D367" i="2"/>
  <c r="D380" i="2"/>
  <c r="V384" i="2"/>
  <c r="G400" i="2"/>
  <c r="C404" i="2"/>
  <c r="G404" i="2"/>
  <c r="F407" i="2"/>
  <c r="D410" i="2"/>
  <c r="D422" i="2"/>
  <c r="B426" i="2"/>
  <c r="K425" i="2"/>
  <c r="K424" i="2" s="1"/>
  <c r="J430" i="2"/>
  <c r="D273" i="2"/>
  <c r="P279" i="2"/>
  <c r="D283" i="2"/>
  <c r="D288" i="2"/>
  <c r="AB295" i="2"/>
  <c r="D298" i="2"/>
  <c r="D323" i="2"/>
  <c r="D331" i="2"/>
  <c r="D339" i="2"/>
  <c r="I333" i="2"/>
  <c r="V355" i="2"/>
  <c r="D357" i="2"/>
  <c r="M360" i="2"/>
  <c r="D360" i="2" s="1"/>
  <c r="D361" i="2"/>
  <c r="K363" i="2"/>
  <c r="B363" i="2" s="1"/>
  <c r="D366" i="2"/>
  <c r="D373" i="2"/>
  <c r="D375" i="2"/>
  <c r="Q381" i="2"/>
  <c r="Q354" i="2" s="1"/>
  <c r="D387" i="2"/>
  <c r="D395" i="2"/>
  <c r="M400" i="2"/>
  <c r="M404" i="2"/>
  <c r="S408" i="2"/>
  <c r="D409" i="2"/>
  <c r="K412" i="2"/>
  <c r="V413" i="2"/>
  <c r="D417" i="2"/>
  <c r="S418" i="2"/>
  <c r="Y418" i="2"/>
  <c r="Y421" i="2"/>
  <c r="D423" i="2"/>
  <c r="V279" i="2"/>
  <c r="D286" i="2"/>
  <c r="B295" i="2"/>
  <c r="D296" i="2"/>
  <c r="S302" i="2"/>
  <c r="Y307" i="2"/>
  <c r="M311" i="2"/>
  <c r="M315" i="2"/>
  <c r="D315" i="2" s="1"/>
  <c r="D325" i="2"/>
  <c r="V326" i="2"/>
  <c r="D327" i="2"/>
  <c r="Y333" i="2"/>
  <c r="D337" i="2"/>
  <c r="J345" i="2"/>
  <c r="G352" i="2"/>
  <c r="M352" i="2"/>
  <c r="J355" i="2"/>
  <c r="AB355" i="2"/>
  <c r="D356" i="2"/>
  <c r="D372" i="2"/>
  <c r="C384" i="2"/>
  <c r="W354" i="2"/>
  <c r="D393" i="2"/>
  <c r="B397" i="2"/>
  <c r="J397" i="2"/>
  <c r="D399" i="2"/>
  <c r="Y400" i="2"/>
  <c r="Y404" i="2"/>
  <c r="W412" i="2"/>
  <c r="W406" i="2" s="1"/>
  <c r="D416" i="2"/>
  <c r="I412" i="2"/>
  <c r="I406" i="2" s="1"/>
  <c r="B421" i="2"/>
  <c r="J421" i="2"/>
  <c r="V420" i="2"/>
  <c r="P10" i="2"/>
  <c r="B54" i="2"/>
  <c r="M11" i="2"/>
  <c r="L10" i="2"/>
  <c r="J21" i="2"/>
  <c r="V31" i="2"/>
  <c r="D31" i="2" s="1"/>
  <c r="U21" i="2"/>
  <c r="AA21" i="2"/>
  <c r="C35" i="2"/>
  <c r="AB35" i="2"/>
  <c r="D35" i="2" s="1"/>
  <c r="C40" i="2"/>
  <c r="L37" i="2"/>
  <c r="M40" i="2"/>
  <c r="D40" i="2" s="1"/>
  <c r="F37" i="2"/>
  <c r="C45" i="2"/>
  <c r="G45" i="2"/>
  <c r="D45" i="2" s="1"/>
  <c r="S49" i="2"/>
  <c r="M54" i="2"/>
  <c r="L53" i="2"/>
  <c r="M53" i="2" s="1"/>
  <c r="Y54" i="2"/>
  <c r="X53" i="2"/>
  <c r="Y53" i="2" s="1"/>
  <c r="D64" i="2"/>
  <c r="C64" i="2"/>
  <c r="P64" i="2"/>
  <c r="W9" i="2"/>
  <c r="Y11" i="2"/>
  <c r="X10" i="2"/>
  <c r="E21" i="2"/>
  <c r="B22" i="2"/>
  <c r="D26" i="2"/>
  <c r="C31" i="2"/>
  <c r="G32" i="2"/>
  <c r="D32" i="2" s="1"/>
  <c r="C32" i="2"/>
  <c r="U36" i="2"/>
  <c r="V36" i="2" s="1"/>
  <c r="V37" i="2"/>
  <c r="G46" i="2"/>
  <c r="D46" i="2" s="1"/>
  <c r="M48" i="2"/>
  <c r="J49" i="2"/>
  <c r="I48" i="2"/>
  <c r="J48" i="2" s="1"/>
  <c r="O54" i="2"/>
  <c r="C54" i="2" s="1"/>
  <c r="C55" i="2"/>
  <c r="P55" i="2"/>
  <c r="D55" i="2" s="1"/>
  <c r="AB10" i="2"/>
  <c r="T9" i="2"/>
  <c r="J18" i="2"/>
  <c r="D18" i="2" s="1"/>
  <c r="I11" i="2"/>
  <c r="C11" i="2" s="1"/>
  <c r="P20" i="2"/>
  <c r="L20" i="2"/>
  <c r="M20" i="2" s="1"/>
  <c r="M21" i="2"/>
  <c r="Y21" i="2"/>
  <c r="X20" i="2"/>
  <c r="Y20" i="2" s="1"/>
  <c r="I36" i="2"/>
  <c r="J36" i="2" s="1"/>
  <c r="J37" i="2"/>
  <c r="E48" i="2"/>
  <c r="B48" i="2" s="1"/>
  <c r="B49" i="2"/>
  <c r="V49" i="2"/>
  <c r="U48" i="2"/>
  <c r="V48" i="2" s="1"/>
  <c r="J54" i="2"/>
  <c r="P80" i="2"/>
  <c r="O66" i="2"/>
  <c r="G117" i="2"/>
  <c r="J180" i="2"/>
  <c r="I179" i="2"/>
  <c r="V180" i="2"/>
  <c r="U179" i="2"/>
  <c r="C193" i="2"/>
  <c r="P193" i="2"/>
  <c r="J252" i="2"/>
  <c r="B252" i="2"/>
  <c r="E265" i="2"/>
  <c r="B271" i="2"/>
  <c r="D342" i="2"/>
  <c r="C342" i="2"/>
  <c r="AB342" i="2"/>
  <c r="AA333" i="2"/>
  <c r="B343" i="2"/>
  <c r="K333" i="2"/>
  <c r="E65" i="2"/>
  <c r="F66" i="2"/>
  <c r="V66" i="2"/>
  <c r="B69" i="2"/>
  <c r="M83" i="2"/>
  <c r="C83" i="2"/>
  <c r="L80" i="2"/>
  <c r="M80" i="2" s="1"/>
  <c r="S117" i="2"/>
  <c r="AB117" i="2"/>
  <c r="S150" i="2"/>
  <c r="R149" i="2"/>
  <c r="S149" i="2" s="1"/>
  <c r="AB150" i="2"/>
  <c r="P168" i="2"/>
  <c r="D168" i="2" s="1"/>
  <c r="J172" i="2"/>
  <c r="B180" i="2"/>
  <c r="G180" i="2"/>
  <c r="E179" i="2"/>
  <c r="Q179" i="2"/>
  <c r="S180" i="2"/>
  <c r="C186" i="2"/>
  <c r="L180" i="2"/>
  <c r="C180" i="2" s="1"/>
  <c r="C187" i="2"/>
  <c r="P187" i="2"/>
  <c r="S195" i="2"/>
  <c r="R179" i="2"/>
  <c r="U198" i="2"/>
  <c r="V198" i="2" s="1"/>
  <c r="B199" i="2"/>
  <c r="E198" i="2"/>
  <c r="P199" i="2"/>
  <c r="N198" i="2"/>
  <c r="P198" i="2" s="1"/>
  <c r="J204" i="2"/>
  <c r="X198" i="2"/>
  <c r="Y198" i="2" s="1"/>
  <c r="Y204" i="2"/>
  <c r="M229" i="2"/>
  <c r="D229" i="2" s="1"/>
  <c r="C229" i="2"/>
  <c r="P266" i="2"/>
  <c r="O265" i="2"/>
  <c r="P265" i="2" s="1"/>
  <c r="I284" i="2"/>
  <c r="J284" i="2" s="1"/>
  <c r="J302" i="2"/>
  <c r="S172" i="2"/>
  <c r="R171" i="2"/>
  <c r="S171" i="2" s="1"/>
  <c r="J187" i="2"/>
  <c r="B187" i="2"/>
  <c r="M223" i="2"/>
  <c r="D223" i="2" s="1"/>
  <c r="C223" i="2"/>
  <c r="D264" i="2"/>
  <c r="R266" i="2"/>
  <c r="C268" i="2"/>
  <c r="S268" i="2"/>
  <c r="D268" i="2" s="1"/>
  <c r="S270" i="2"/>
  <c r="C270" i="2"/>
  <c r="G430" i="2"/>
  <c r="C430" i="2"/>
  <c r="F429" i="2"/>
  <c r="E10" i="2"/>
  <c r="U10" i="2"/>
  <c r="I20" i="2"/>
  <c r="J20" i="2" s="1"/>
  <c r="F21" i="2"/>
  <c r="C22" i="2"/>
  <c r="R36" i="2"/>
  <c r="S36" i="2" s="1"/>
  <c r="C46" i="2"/>
  <c r="G47" i="2"/>
  <c r="D47" i="2" s="1"/>
  <c r="F48" i="2"/>
  <c r="R48" i="2"/>
  <c r="S48" i="2" s="1"/>
  <c r="C49" i="2"/>
  <c r="E53" i="2"/>
  <c r="B53" i="2" s="1"/>
  <c r="I53" i="2"/>
  <c r="J53" i="2" s="1"/>
  <c r="U53" i="2"/>
  <c r="V53" i="2" s="1"/>
  <c r="Q66" i="2"/>
  <c r="Q65" i="2" s="1"/>
  <c r="Q9" i="2" s="1"/>
  <c r="M69" i="2"/>
  <c r="G73" i="2"/>
  <c r="D73" i="2" s="1"/>
  <c r="C73" i="2"/>
  <c r="AB80" i="2"/>
  <c r="AA66" i="2"/>
  <c r="H80" i="2"/>
  <c r="J96" i="2"/>
  <c r="D96" i="2" s="1"/>
  <c r="D98" i="2"/>
  <c r="D106" i="2"/>
  <c r="F150" i="2"/>
  <c r="G151" i="2"/>
  <c r="D151" i="2" s="1"/>
  <c r="C167" i="2"/>
  <c r="P167" i="2"/>
  <c r="D167" i="2" s="1"/>
  <c r="O150" i="2"/>
  <c r="G172" i="2"/>
  <c r="C172" i="2"/>
  <c r="F171" i="2"/>
  <c r="P172" i="2"/>
  <c r="O179" i="2"/>
  <c r="Y180" i="2"/>
  <c r="M186" i="2"/>
  <c r="D186" i="2" s="1"/>
  <c r="P195" i="2"/>
  <c r="N179" i="2"/>
  <c r="G199" i="2"/>
  <c r="Q198" i="2"/>
  <c r="J211" i="2"/>
  <c r="I210" i="2"/>
  <c r="F210" i="2"/>
  <c r="G231" i="2"/>
  <c r="L117" i="2"/>
  <c r="M117" i="2" s="1"/>
  <c r="M146" i="2"/>
  <c r="D146" i="2" s="1"/>
  <c r="C192" i="2"/>
  <c r="L189" i="2"/>
  <c r="U210" i="2"/>
  <c r="F10" i="2"/>
  <c r="R10" i="2"/>
  <c r="R20" i="2"/>
  <c r="S20" i="2" s="1"/>
  <c r="O36" i="2"/>
  <c r="P36" i="2" s="1"/>
  <c r="AA36" i="2"/>
  <c r="AB36" i="2" s="1"/>
  <c r="O48" i="2"/>
  <c r="P48" i="2" s="1"/>
  <c r="AA48" i="2"/>
  <c r="AB48" i="2" s="1"/>
  <c r="F53" i="2"/>
  <c r="R53" i="2"/>
  <c r="S53" i="2" s="1"/>
  <c r="R66" i="2"/>
  <c r="C69" i="2"/>
  <c r="G69" i="2"/>
  <c r="D70" i="2"/>
  <c r="D75" i="2"/>
  <c r="B76" i="2"/>
  <c r="Y76" i="2"/>
  <c r="D76" i="2" s="1"/>
  <c r="D77" i="2"/>
  <c r="B78" i="2"/>
  <c r="V78" i="2"/>
  <c r="D78" i="2" s="1"/>
  <c r="I80" i="2"/>
  <c r="J83" i="2"/>
  <c r="C96" i="2"/>
  <c r="D97" i="2"/>
  <c r="D101" i="2"/>
  <c r="D105" i="2"/>
  <c r="D108" i="2"/>
  <c r="M109" i="2"/>
  <c r="D109" i="2" s="1"/>
  <c r="D113" i="2"/>
  <c r="P117" i="2"/>
  <c r="D122" i="2"/>
  <c r="D130" i="2"/>
  <c r="D138" i="2"/>
  <c r="N150" i="2"/>
  <c r="D157" i="2"/>
  <c r="M161" i="2"/>
  <c r="D161" i="2" s="1"/>
  <c r="G162" i="2"/>
  <c r="D162" i="2" s="1"/>
  <c r="C162" i="2"/>
  <c r="D165" i="2"/>
  <c r="D174" i="2"/>
  <c r="AA179" i="2"/>
  <c r="H179" i="2"/>
  <c r="J193" i="2"/>
  <c r="B193" i="2"/>
  <c r="Y193" i="2"/>
  <c r="I198" i="2"/>
  <c r="J198" i="2" s="1"/>
  <c r="C207" i="2"/>
  <c r="F204" i="2"/>
  <c r="G207" i="2"/>
  <c r="D207" i="2" s="1"/>
  <c r="G211" i="2"/>
  <c r="L211" i="2"/>
  <c r="S227" i="2"/>
  <c r="D227" i="2" s="1"/>
  <c r="C227" i="2"/>
  <c r="Q279" i="2"/>
  <c r="Q265" i="2" s="1"/>
  <c r="B281" i="2"/>
  <c r="D212" i="2"/>
  <c r="P231" i="2"/>
  <c r="N210" i="2"/>
  <c r="J235" i="2"/>
  <c r="Y252" i="2"/>
  <c r="G265" i="2"/>
  <c r="Y266" i="2"/>
  <c r="G271" i="2"/>
  <c r="G277" i="2"/>
  <c r="V285" i="2"/>
  <c r="U284" i="2"/>
  <c r="V284" i="2" s="1"/>
  <c r="B311" i="2"/>
  <c r="E428" i="2"/>
  <c r="G189" i="2"/>
  <c r="S189" i="2"/>
  <c r="G195" i="2"/>
  <c r="D195" i="2" s="1"/>
  <c r="C195" i="2"/>
  <c r="AB199" i="2"/>
  <c r="Z198" i="2"/>
  <c r="AB198" i="2" s="1"/>
  <c r="D200" i="2"/>
  <c r="S203" i="2"/>
  <c r="D203" i="2" s="1"/>
  <c r="C203" i="2"/>
  <c r="D209" i="2"/>
  <c r="R211" i="2"/>
  <c r="S228" i="2"/>
  <c r="D228" i="2" s="1"/>
  <c r="B228" i="2"/>
  <c r="S230" i="2"/>
  <c r="D230" i="2" s="1"/>
  <c r="B231" i="2"/>
  <c r="S236" i="2"/>
  <c r="D236" i="2" s="1"/>
  <c r="B236" i="2"/>
  <c r="Q235" i="2"/>
  <c r="B235" i="2" s="1"/>
  <c r="P252" i="2"/>
  <c r="D259" i="2"/>
  <c r="M266" i="2"/>
  <c r="S277" i="2"/>
  <c r="Y279" i="2"/>
  <c r="B285" i="2"/>
  <c r="E284" i="2"/>
  <c r="Q284" i="2"/>
  <c r="G293" i="2"/>
  <c r="B293" i="2"/>
  <c r="Y295" i="2"/>
  <c r="W284" i="2"/>
  <c r="M314" i="2"/>
  <c r="AA313" i="2"/>
  <c r="AB314" i="2"/>
  <c r="C322" i="2"/>
  <c r="P322" i="2"/>
  <c r="O313" i="2"/>
  <c r="P313" i="2" s="1"/>
  <c r="C382" i="2"/>
  <c r="R381" i="2"/>
  <c r="S381" i="2" s="1"/>
  <c r="S382" i="2"/>
  <c r="D382" i="2" s="1"/>
  <c r="AA149" i="2"/>
  <c r="AB149" i="2" s="1"/>
  <c r="O171" i="2"/>
  <c r="P171" i="2" s="1"/>
  <c r="AA171" i="2"/>
  <c r="AB171" i="2" s="1"/>
  <c r="X179" i="2"/>
  <c r="D183" i="2"/>
  <c r="M187" i="2"/>
  <c r="M193" i="2"/>
  <c r="D196" i="2"/>
  <c r="R199" i="2"/>
  <c r="V204" i="2"/>
  <c r="T211" i="2"/>
  <c r="T210" i="2" s="1"/>
  <c r="B212" i="2"/>
  <c r="M213" i="2"/>
  <c r="D213" i="2" s="1"/>
  <c r="S214" i="2"/>
  <c r="D214" i="2" s="1"/>
  <c r="D216" i="2"/>
  <c r="M218" i="2"/>
  <c r="D218" i="2" s="1"/>
  <c r="D222" i="2"/>
  <c r="B223" i="2"/>
  <c r="K211" i="2"/>
  <c r="K210" i="2" s="1"/>
  <c r="R235" i="2"/>
  <c r="S239" i="2"/>
  <c r="D239" i="2" s="1"/>
  <c r="C239" i="2"/>
  <c r="D246" i="2"/>
  <c r="D251" i="2"/>
  <c r="M252" i="2"/>
  <c r="AB266" i="2"/>
  <c r="AA265" i="2"/>
  <c r="AB265" i="2" s="1"/>
  <c r="D270" i="2"/>
  <c r="I265" i="2"/>
  <c r="J271" i="2"/>
  <c r="U265" i="2"/>
  <c r="V271" i="2"/>
  <c r="S272" i="2"/>
  <c r="D272" i="2" s="1"/>
  <c r="C272" i="2"/>
  <c r="R271" i="2"/>
  <c r="S271" i="2" s="1"/>
  <c r="D274" i="2"/>
  <c r="M279" i="2"/>
  <c r="C314" i="2"/>
  <c r="E333" i="2"/>
  <c r="E313" i="2" s="1"/>
  <c r="B345" i="2"/>
  <c r="C348" i="2"/>
  <c r="M348" i="2"/>
  <c r="D348" i="2" s="1"/>
  <c r="L333" i="2"/>
  <c r="G363" i="2"/>
  <c r="F354" i="2"/>
  <c r="S363" i="2"/>
  <c r="G285" i="2"/>
  <c r="O285" i="2"/>
  <c r="C285" i="2" s="1"/>
  <c r="C292" i="2"/>
  <c r="V293" i="2"/>
  <c r="P295" i="2"/>
  <c r="S307" i="2"/>
  <c r="G311" i="2"/>
  <c r="V311" i="2"/>
  <c r="I313" i="2"/>
  <c r="J317" i="2"/>
  <c r="B320" i="2"/>
  <c r="K317" i="2"/>
  <c r="B326" i="2"/>
  <c r="J326" i="2"/>
  <c r="Y326" i="2"/>
  <c r="M362" i="2"/>
  <c r="D362" i="2" s="1"/>
  <c r="M384" i="2"/>
  <c r="AA354" i="2"/>
  <c r="AB384" i="2"/>
  <c r="M386" i="2"/>
  <c r="D386" i="2" s="1"/>
  <c r="I354" i="2"/>
  <c r="J354" i="2" s="1"/>
  <c r="J391" i="2"/>
  <c r="E406" i="2"/>
  <c r="V412" i="2"/>
  <c r="S430" i="2"/>
  <c r="R429" i="2"/>
  <c r="K189" i="2"/>
  <c r="H265" i="2"/>
  <c r="L265" i="2"/>
  <c r="M265" i="2" s="1"/>
  <c r="T265" i="2"/>
  <c r="X265" i="2"/>
  <c r="C277" i="2"/>
  <c r="C281" i="2"/>
  <c r="S281" i="2"/>
  <c r="D281" i="2" s="1"/>
  <c r="L284" i="2"/>
  <c r="S285" i="2"/>
  <c r="D289" i="2"/>
  <c r="P292" i="2"/>
  <c r="D292" i="2" s="1"/>
  <c r="D294" i="2"/>
  <c r="G295" i="2"/>
  <c r="D299" i="2"/>
  <c r="G302" i="2"/>
  <c r="D303" i="2"/>
  <c r="C305" i="2"/>
  <c r="P305" i="2"/>
  <c r="D305" i="2" s="1"/>
  <c r="O302" i="2"/>
  <c r="P302" i="2" s="1"/>
  <c r="J307" i="2"/>
  <c r="P310" i="2"/>
  <c r="D310" i="2" s="1"/>
  <c r="D312" i="2"/>
  <c r="B314" i="2"/>
  <c r="J314" i="2"/>
  <c r="Y314" i="2"/>
  <c r="X313" i="2"/>
  <c r="B317" i="2"/>
  <c r="U313" i="2"/>
  <c r="V317" i="2"/>
  <c r="D319" i="2"/>
  <c r="M320" i="2"/>
  <c r="D320" i="2" s="1"/>
  <c r="M322" i="2"/>
  <c r="V322" i="2"/>
  <c r="P326" i="2"/>
  <c r="D328" i="2"/>
  <c r="M351" i="2"/>
  <c r="C370" i="2"/>
  <c r="L363" i="2"/>
  <c r="C363" i="2" s="1"/>
  <c r="C374" i="2"/>
  <c r="M374" i="2"/>
  <c r="D374" i="2" s="1"/>
  <c r="S384" i="2"/>
  <c r="S402" i="2"/>
  <c r="Q396" i="2"/>
  <c r="S396" i="2" s="1"/>
  <c r="P413" i="2"/>
  <c r="O412" i="2"/>
  <c r="P412" i="2" s="1"/>
  <c r="C413" i="2"/>
  <c r="B266" i="2"/>
  <c r="B279" i="2"/>
  <c r="J285" i="2"/>
  <c r="C293" i="2"/>
  <c r="J293" i="2"/>
  <c r="B307" i="2"/>
  <c r="D308" i="2"/>
  <c r="O307" i="2"/>
  <c r="P307" i="2" s="1"/>
  <c r="C308" i="2"/>
  <c r="T313" i="2"/>
  <c r="D318" i="2"/>
  <c r="D321" i="2"/>
  <c r="AB349" i="2"/>
  <c r="B349" i="2"/>
  <c r="Z333" i="2"/>
  <c r="Z313" i="2" s="1"/>
  <c r="M370" i="2"/>
  <c r="D370" i="2" s="1"/>
  <c r="D377" i="2"/>
  <c r="H396" i="2"/>
  <c r="AB400" i="2"/>
  <c r="C400" i="2"/>
  <c r="AA396" i="2"/>
  <c r="AB396" i="2" s="1"/>
  <c r="C402" i="2"/>
  <c r="J402" i="2"/>
  <c r="Y402" i="2"/>
  <c r="X396" i="2"/>
  <c r="Y396" i="2" s="1"/>
  <c r="S407" i="2"/>
  <c r="AB425" i="2"/>
  <c r="AA424" i="2"/>
  <c r="AB424" i="2" s="1"/>
  <c r="D341" i="2"/>
  <c r="M343" i="2"/>
  <c r="D343" i="2" s="1"/>
  <c r="G345" i="2"/>
  <c r="C345" i="2"/>
  <c r="D346" i="2"/>
  <c r="J351" i="2"/>
  <c r="B351" i="2"/>
  <c r="P352" i="2"/>
  <c r="P355" i="2"/>
  <c r="N354" i="2"/>
  <c r="G381" i="2"/>
  <c r="P381" i="2"/>
  <c r="O354" i="2"/>
  <c r="P384" i="2"/>
  <c r="Y384" i="2"/>
  <c r="V397" i="2"/>
  <c r="T396" i="2"/>
  <c r="V396" i="2" s="1"/>
  <c r="AB408" i="2"/>
  <c r="AA407" i="2"/>
  <c r="M426" i="2"/>
  <c r="D426" i="2" s="1"/>
  <c r="L425" i="2"/>
  <c r="C426" i="2"/>
  <c r="C307" i="2"/>
  <c r="C311" i="2"/>
  <c r="C317" i="2"/>
  <c r="D334" i="2"/>
  <c r="M336" i="2"/>
  <c r="D336" i="2" s="1"/>
  <c r="D340" i="2"/>
  <c r="G355" i="2"/>
  <c r="C355" i="2"/>
  <c r="D359" i="2"/>
  <c r="K355" i="2"/>
  <c r="K354" i="2" s="1"/>
  <c r="P363" i="2"/>
  <c r="M364" i="2"/>
  <c r="D364" i="2" s="1"/>
  <c r="D365" i="2"/>
  <c r="D378" i="2"/>
  <c r="D383" i="2"/>
  <c r="P385" i="2"/>
  <c r="D385" i="2" s="1"/>
  <c r="G391" i="2"/>
  <c r="C391" i="2"/>
  <c r="P391" i="2"/>
  <c r="M397" i="2"/>
  <c r="D397" i="2" s="1"/>
  <c r="L396" i="2"/>
  <c r="D403" i="2"/>
  <c r="AB404" i="2"/>
  <c r="G407" i="2"/>
  <c r="C408" i="2"/>
  <c r="B408" i="2"/>
  <c r="N407" i="2"/>
  <c r="N406" i="2" s="1"/>
  <c r="P421" i="2"/>
  <c r="O420" i="2"/>
  <c r="P420" i="2" s="1"/>
  <c r="G402" i="2"/>
  <c r="B402" i="2"/>
  <c r="P408" i="2"/>
  <c r="O407" i="2"/>
  <c r="Y408" i="2"/>
  <c r="G412" i="2"/>
  <c r="AB413" i="2"/>
  <c r="AA412" i="2"/>
  <c r="AB412" i="2" s="1"/>
  <c r="AB421" i="2"/>
  <c r="AA420" i="2"/>
  <c r="AB420" i="2" s="1"/>
  <c r="G424" i="2"/>
  <c r="Y425" i="2"/>
  <c r="I428" i="2"/>
  <c r="J428" i="2" s="1"/>
  <c r="E396" i="2"/>
  <c r="G396" i="2" s="1"/>
  <c r="I396" i="2"/>
  <c r="Y397" i="2"/>
  <c r="P400" i="2"/>
  <c r="D400" i="2" s="1"/>
  <c r="V402" i="2"/>
  <c r="P404" i="2"/>
  <c r="M408" i="2"/>
  <c r="K407" i="2"/>
  <c r="M413" i="2"/>
  <c r="M421" i="2"/>
  <c r="P425" i="2"/>
  <c r="O424" i="2"/>
  <c r="P424" i="2" s="1"/>
  <c r="V429" i="2"/>
  <c r="U428" i="2"/>
  <c r="V428" i="2" s="1"/>
  <c r="P430" i="2"/>
  <c r="C24" i="4"/>
  <c r="E27" i="4"/>
  <c r="C27" i="4" s="1"/>
  <c r="A9" i="4" s="1"/>
  <c r="A11" i="4" s="1"/>
  <c r="H412" i="2"/>
  <c r="H406" i="2" s="1"/>
  <c r="L412" i="2"/>
  <c r="X412" i="2"/>
  <c r="B418" i="2"/>
  <c r="J418" i="2"/>
  <c r="V418" i="2"/>
  <c r="L420" i="2"/>
  <c r="M420" i="2" s="1"/>
  <c r="X420" i="2"/>
  <c r="Y420" i="2" s="1"/>
  <c r="H424" i="2"/>
  <c r="T424" i="2"/>
  <c r="V424" i="2" s="1"/>
  <c r="X424" i="2"/>
  <c r="Y424" i="2" s="1"/>
  <c r="K429" i="2"/>
  <c r="O429" i="2"/>
  <c r="W429" i="2"/>
  <c r="AA429" i="2"/>
  <c r="C418" i="2"/>
  <c r="B425" i="2"/>
  <c r="D277" i="2" l="1"/>
  <c r="M198" i="2"/>
  <c r="J406" i="2"/>
  <c r="J429" i="2"/>
  <c r="D352" i="2"/>
  <c r="D349" i="2"/>
  <c r="R354" i="2"/>
  <c r="S354" i="2" s="1"/>
  <c r="B284" i="2"/>
  <c r="D404" i="2"/>
  <c r="P210" i="2"/>
  <c r="M189" i="2"/>
  <c r="D189" i="2" s="1"/>
  <c r="J210" i="2"/>
  <c r="G179" i="2"/>
  <c r="B37" i="2"/>
  <c r="C326" i="2"/>
  <c r="S313" i="2"/>
  <c r="Q406" i="2"/>
  <c r="C381" i="2"/>
  <c r="L313" i="2"/>
  <c r="B204" i="2"/>
  <c r="C211" i="2"/>
  <c r="G420" i="2"/>
  <c r="Y313" i="2"/>
  <c r="M396" i="2"/>
  <c r="D396" i="2" s="1"/>
  <c r="D351" i="2"/>
  <c r="U406" i="2"/>
  <c r="V406" i="2" s="1"/>
  <c r="D83" i="2"/>
  <c r="C252" i="2"/>
  <c r="M204" i="2"/>
  <c r="D302" i="2"/>
  <c r="V265" i="2"/>
  <c r="D232" i="2"/>
  <c r="D384" i="2"/>
  <c r="D381" i="2"/>
  <c r="H313" i="2"/>
  <c r="G284" i="2"/>
  <c r="T178" i="2"/>
  <c r="C189" i="2"/>
  <c r="Z178" i="2"/>
  <c r="Z8" i="2" s="1"/>
  <c r="Y235" i="2"/>
  <c r="X210" i="2"/>
  <c r="Y210" i="2" s="1"/>
  <c r="D413" i="2"/>
  <c r="C412" i="2"/>
  <c r="D345" i="2"/>
  <c r="D295" i="2"/>
  <c r="AB354" i="2"/>
  <c r="J265" i="2"/>
  <c r="D193" i="2"/>
  <c r="Y66" i="2"/>
  <c r="D49" i="2"/>
  <c r="Y65" i="2"/>
  <c r="D418" i="2"/>
  <c r="D421" i="2"/>
  <c r="D408" i="2"/>
  <c r="D402" i="2"/>
  <c r="B354" i="2"/>
  <c r="R406" i="2"/>
  <c r="S406" i="2" s="1"/>
  <c r="D322" i="2"/>
  <c r="D314" i="2"/>
  <c r="D307" i="2"/>
  <c r="M284" i="2"/>
  <c r="Y265" i="2"/>
  <c r="D326" i="2"/>
  <c r="D311" i="2"/>
  <c r="W178" i="2"/>
  <c r="H178" i="2"/>
  <c r="Y354" i="2"/>
  <c r="AB231" i="2"/>
  <c r="D231" i="2" s="1"/>
  <c r="AA210" i="2"/>
  <c r="AB210" i="2" s="1"/>
  <c r="J150" i="2"/>
  <c r="I149" i="2"/>
  <c r="J149" i="2" s="1"/>
  <c r="G313" i="2"/>
  <c r="C396" i="2"/>
  <c r="J396" i="2"/>
  <c r="P407" i="2"/>
  <c r="O406" i="2"/>
  <c r="P406" i="2" s="1"/>
  <c r="G354" i="2"/>
  <c r="N149" i="2"/>
  <c r="B150" i="2"/>
  <c r="G53" i="2"/>
  <c r="G10" i="2"/>
  <c r="G210" i="2"/>
  <c r="G48" i="2"/>
  <c r="D48" i="2" s="1"/>
  <c r="C48" i="2"/>
  <c r="B10" i="2"/>
  <c r="S266" i="2"/>
  <c r="D266" i="2" s="1"/>
  <c r="R265" i="2"/>
  <c r="S265" i="2" s="1"/>
  <c r="G66" i="2"/>
  <c r="F65" i="2"/>
  <c r="P66" i="2"/>
  <c r="O65" i="2"/>
  <c r="P65" i="2" s="1"/>
  <c r="Y10" i="2"/>
  <c r="X9" i="2"/>
  <c r="M10" i="2"/>
  <c r="AB429" i="2"/>
  <c r="AA428" i="2"/>
  <c r="AB428" i="2" s="1"/>
  <c r="Y412" i="2"/>
  <c r="X406" i="2"/>
  <c r="Y406" i="2" s="1"/>
  <c r="B396" i="2"/>
  <c r="D391" i="2"/>
  <c r="M425" i="2"/>
  <c r="D425" i="2" s="1"/>
  <c r="L424" i="2"/>
  <c r="C425" i="2"/>
  <c r="P354" i="2"/>
  <c r="C302" i="2"/>
  <c r="C271" i="2"/>
  <c r="J313" i="2"/>
  <c r="C235" i="2"/>
  <c r="S235" i="2"/>
  <c r="D235" i="2" s="1"/>
  <c r="AB313" i="2"/>
  <c r="S211" i="2"/>
  <c r="R210" i="2"/>
  <c r="D271" i="2"/>
  <c r="L210" i="2"/>
  <c r="M210" i="2" s="1"/>
  <c r="M211" i="2"/>
  <c r="AB179" i="2"/>
  <c r="S66" i="2"/>
  <c r="R65" i="2"/>
  <c r="S65" i="2" s="1"/>
  <c r="Y284" i="2"/>
  <c r="N178" i="2"/>
  <c r="P179" i="2"/>
  <c r="D172" i="2"/>
  <c r="H66" i="2"/>
  <c r="B80" i="2"/>
  <c r="L66" i="2"/>
  <c r="G21" i="2"/>
  <c r="C21" i="2"/>
  <c r="F20" i="2"/>
  <c r="G429" i="2"/>
  <c r="C429" i="2"/>
  <c r="F428" i="2"/>
  <c r="D187" i="2"/>
  <c r="S179" i="2"/>
  <c r="L179" i="2"/>
  <c r="M180" i="2"/>
  <c r="AB333" i="2"/>
  <c r="S279" i="2"/>
  <c r="D279" i="2" s="1"/>
  <c r="D252" i="2"/>
  <c r="U178" i="2"/>
  <c r="V179" i="2"/>
  <c r="T8" i="2"/>
  <c r="G37" i="2"/>
  <c r="C37" i="2"/>
  <c r="F36" i="2"/>
  <c r="AA20" i="2"/>
  <c r="AB21" i="2"/>
  <c r="Y179" i="2"/>
  <c r="W428" i="2"/>
  <c r="Y428" i="2" s="1"/>
  <c r="Y429" i="2"/>
  <c r="M412" i="2"/>
  <c r="L406" i="2"/>
  <c r="C420" i="2"/>
  <c r="K406" i="2"/>
  <c r="B406" i="2" s="1"/>
  <c r="B407" i="2"/>
  <c r="M407" i="2"/>
  <c r="J412" i="2"/>
  <c r="G406" i="2"/>
  <c r="B355" i="2"/>
  <c r="M355" i="2"/>
  <c r="D355" i="2" s="1"/>
  <c r="B189" i="2"/>
  <c r="K179" i="2"/>
  <c r="M317" i="2"/>
  <c r="D317" i="2" s="1"/>
  <c r="K313" i="2"/>
  <c r="O284" i="2"/>
  <c r="P285" i="2"/>
  <c r="C313" i="2"/>
  <c r="D293" i="2"/>
  <c r="Q210" i="2"/>
  <c r="B210" i="2" s="1"/>
  <c r="G204" i="2"/>
  <c r="D204" i="2" s="1"/>
  <c r="C204" i="2"/>
  <c r="I66" i="2"/>
  <c r="J80" i="2"/>
  <c r="D80" i="2" s="1"/>
  <c r="C80" i="2"/>
  <c r="D69" i="2"/>
  <c r="V210" i="2"/>
  <c r="F198" i="2"/>
  <c r="P150" i="2"/>
  <c r="O149" i="2"/>
  <c r="AB66" i="2"/>
  <c r="AA65" i="2"/>
  <c r="AB65" i="2" s="1"/>
  <c r="B198" i="2"/>
  <c r="B179" i="2"/>
  <c r="E178" i="2"/>
  <c r="C117" i="2"/>
  <c r="P54" i="2"/>
  <c r="D54" i="2" s="1"/>
  <c r="O53" i="2"/>
  <c r="P53" i="2" s="1"/>
  <c r="K428" i="2"/>
  <c r="M428" i="2" s="1"/>
  <c r="M429" i="2"/>
  <c r="D285" i="2"/>
  <c r="P429" i="2"/>
  <c r="O428" i="2"/>
  <c r="P428" i="2" s="1"/>
  <c r="J424" i="2"/>
  <c r="B424" i="2"/>
  <c r="D420" i="2"/>
  <c r="C407" i="2"/>
  <c r="AB407" i="2"/>
  <c r="D407" i="2" s="1"/>
  <c r="AA406" i="2"/>
  <c r="AB406" i="2" s="1"/>
  <c r="L354" i="2"/>
  <c r="M354" i="2" s="1"/>
  <c r="M363" i="2"/>
  <c r="D363" i="2" s="1"/>
  <c r="V313" i="2"/>
  <c r="S429" i="2"/>
  <c r="R428" i="2"/>
  <c r="S428" i="2" s="1"/>
  <c r="B412" i="2"/>
  <c r="M333" i="2"/>
  <c r="C333" i="2"/>
  <c r="B333" i="2"/>
  <c r="G333" i="2"/>
  <c r="S199" i="2"/>
  <c r="D199" i="2" s="1"/>
  <c r="R198" i="2"/>
  <c r="S198" i="2" s="1"/>
  <c r="B429" i="2"/>
  <c r="B211" i="2"/>
  <c r="R9" i="2"/>
  <c r="S10" i="2"/>
  <c r="V211" i="2"/>
  <c r="C199" i="2"/>
  <c r="G171" i="2"/>
  <c r="D171" i="2" s="1"/>
  <c r="C171" i="2"/>
  <c r="G150" i="2"/>
  <c r="C150" i="2"/>
  <c r="F149" i="2"/>
  <c r="V10" i="2"/>
  <c r="D430" i="2"/>
  <c r="C266" i="2"/>
  <c r="D180" i="2"/>
  <c r="B265" i="2"/>
  <c r="I178" i="2"/>
  <c r="J178" i="2" s="1"/>
  <c r="J179" i="2"/>
  <c r="D117" i="2"/>
  <c r="J11" i="2"/>
  <c r="D11" i="2" s="1"/>
  <c r="I10" i="2"/>
  <c r="B21" i="2"/>
  <c r="E20" i="2"/>
  <c r="B20" i="2" s="1"/>
  <c r="M37" i="2"/>
  <c r="L36" i="2"/>
  <c r="M36" i="2" s="1"/>
  <c r="V21" i="2"/>
  <c r="U20" i="2"/>
  <c r="V20" i="2" s="1"/>
  <c r="D21" i="2" l="1"/>
  <c r="D412" i="2"/>
  <c r="C265" i="2"/>
  <c r="C66" i="2"/>
  <c r="M313" i="2"/>
  <c r="D211" i="2"/>
  <c r="R178" i="2"/>
  <c r="R8" i="2" s="1"/>
  <c r="S8" i="2" s="1"/>
  <c r="S210" i="2"/>
  <c r="U9" i="2"/>
  <c r="X178" i="2"/>
  <c r="Y178" i="2" s="1"/>
  <c r="Q178" i="2"/>
  <c r="Q8" i="2" s="1"/>
  <c r="D210" i="2"/>
  <c r="E9" i="2"/>
  <c r="D150" i="2"/>
  <c r="D333" i="2"/>
  <c r="V178" i="2"/>
  <c r="W8" i="2"/>
  <c r="AA178" i="2"/>
  <c r="AB178" i="2" s="1"/>
  <c r="D265" i="2"/>
  <c r="V9" i="2"/>
  <c r="U8" i="2"/>
  <c r="V8" i="2" s="1"/>
  <c r="M179" i="2"/>
  <c r="D179" i="2" s="1"/>
  <c r="L178" i="2"/>
  <c r="H65" i="2"/>
  <c r="B66" i="2"/>
  <c r="M424" i="2"/>
  <c r="D424" i="2" s="1"/>
  <c r="C424" i="2"/>
  <c r="C179" i="2"/>
  <c r="B149" i="2"/>
  <c r="N9" i="2"/>
  <c r="N8" i="2" s="1"/>
  <c r="D313" i="2"/>
  <c r="J10" i="2"/>
  <c r="D10" i="2" s="1"/>
  <c r="B428" i="2"/>
  <c r="D37" i="2"/>
  <c r="D429" i="2"/>
  <c r="M66" i="2"/>
  <c r="L65" i="2"/>
  <c r="C210" i="2"/>
  <c r="D53" i="2"/>
  <c r="D354" i="2"/>
  <c r="B313" i="2"/>
  <c r="P284" i="2"/>
  <c r="D284" i="2" s="1"/>
  <c r="C284" i="2"/>
  <c r="G36" i="2"/>
  <c r="D36" i="2" s="1"/>
  <c r="C36" i="2"/>
  <c r="G428" i="2"/>
  <c r="D428" i="2" s="1"/>
  <c r="C428" i="2"/>
  <c r="E8" i="2"/>
  <c r="G198" i="2"/>
  <c r="D198" i="2" s="1"/>
  <c r="C198" i="2"/>
  <c r="F178" i="2"/>
  <c r="F9" i="2"/>
  <c r="C354" i="2"/>
  <c r="G149" i="2"/>
  <c r="C149" i="2"/>
  <c r="S9" i="2"/>
  <c r="J66" i="2"/>
  <c r="I65" i="2"/>
  <c r="C65" i="2" s="1"/>
  <c r="O9" i="2"/>
  <c r="P149" i="2"/>
  <c r="K178" i="2"/>
  <c r="K8" i="2" s="1"/>
  <c r="C406" i="2"/>
  <c r="M406" i="2"/>
  <c r="D406" i="2" s="1"/>
  <c r="AB20" i="2"/>
  <c r="AA9" i="2"/>
  <c r="C20" i="2"/>
  <c r="G20" i="2"/>
  <c r="O178" i="2"/>
  <c r="P178" i="2" s="1"/>
  <c r="Y9" i="2"/>
  <c r="G65" i="2"/>
  <c r="C10" i="2"/>
  <c r="C53" i="2"/>
  <c r="X8" i="2" l="1"/>
  <c r="Y8" i="2" s="1"/>
  <c r="D66" i="2"/>
  <c r="B178" i="2"/>
  <c r="S178" i="2"/>
  <c r="P9" i="2"/>
  <c r="O8" i="2"/>
  <c r="P8" i="2" s="1"/>
  <c r="H9" i="2"/>
  <c r="B65" i="2"/>
  <c r="J65" i="2"/>
  <c r="G9" i="2"/>
  <c r="F8" i="2"/>
  <c r="I9" i="2"/>
  <c r="M178" i="2"/>
  <c r="D149" i="2"/>
  <c r="D20" i="2"/>
  <c r="M65" i="2"/>
  <c r="L9" i="2"/>
  <c r="AB9" i="2"/>
  <c r="AA8" i="2"/>
  <c r="AB8" i="2" s="1"/>
  <c r="G178" i="2"/>
  <c r="C178" i="2"/>
  <c r="D65" i="2" l="1"/>
  <c r="H8" i="2"/>
  <c r="B8" i="2" s="1"/>
  <c r="B9" i="2"/>
  <c r="I8" i="2"/>
  <c r="J8" i="2" s="1"/>
  <c r="J9" i="2"/>
  <c r="M9" i="2"/>
  <c r="L8" i="2"/>
  <c r="M8" i="2" s="1"/>
  <c r="C9" i="2"/>
  <c r="D178" i="2"/>
  <c r="G8" i="2"/>
  <c r="D8" i="2" s="1"/>
  <c r="D9" i="2" l="1"/>
  <c r="C8" i="2"/>
</calcChain>
</file>

<file path=xl/comments1.xml><?xml version="1.0" encoding="utf-8"?>
<comments xmlns="http://schemas.openxmlformats.org/spreadsheetml/2006/main">
  <authors>
    <author>Diana Gavrailova</author>
    <author>Автор</author>
  </authors>
  <commentList>
    <comment ref="E29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3 284</t>
        </r>
      </text>
    </comment>
    <comment ref="F29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3 284</t>
        </r>
      </text>
    </comment>
    <comment ref="K34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3 284</t>
        </r>
      </text>
    </comment>
    <comment ref="L34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3 284</t>
        </r>
      </text>
    </comment>
    <comment ref="Z38" authorId="1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Проектно предложение</t>
        </r>
      </text>
    </comment>
    <comment ref="AA38" authorId="1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Проектно предложение</t>
        </r>
      </text>
    </comment>
    <comment ref="W62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Трансфер МТСП
6101</t>
        </r>
      </text>
    </comment>
    <comment ref="X62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Трансфер МТСП
6101</t>
        </r>
      </text>
    </comment>
    <comment ref="K109" authorId="1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2000 в бюджета на Група кметства Килифарево</t>
        </r>
      </text>
    </comment>
    <comment ref="L109" authorId="1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2000 в бюджета на Група кметства Килифарево</t>
        </r>
      </text>
    </comment>
    <comment ref="K115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23256 в бюджета на Кметство с. Ресен</t>
        </r>
      </text>
    </comment>
    <comment ref="L115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23256 в бюджета на Кметство с. Ресен</t>
        </r>
      </text>
    </comment>
    <comment ref="E207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3 284</t>
        </r>
      </text>
    </comment>
    <comment ref="F207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3 284</t>
        </r>
      </text>
    </comment>
    <comment ref="W219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Gavrailova:Трансфер от Министерство на образованието
6101</t>
        </r>
      </text>
    </comment>
    <comment ref="X219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Gavrailova:Трансфер от Министерство на образованието
6101</t>
        </r>
      </text>
    </comment>
    <comment ref="Z233" authorId="1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Проектно предложение</t>
        </r>
      </text>
    </comment>
    <comment ref="AA233" authorId="1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Проектно предложение</t>
        </r>
      </text>
    </comment>
    <comment ref="W336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Трансфер от ПУДООС
6401</t>
        </r>
      </text>
    </comment>
    <comment ref="X336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Трансфер от ПУДООС
6401</t>
        </r>
      </text>
    </comment>
    <comment ref="T341" authorId="1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35 782 от ЦСКР, 3503649 други целеви разходи</t>
        </r>
      </text>
    </comment>
    <comment ref="U341" authorId="1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35 782 от ЦСКР, 3503649 други целеви разходи</t>
        </r>
      </text>
    </comment>
    <comment ref="W348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Трансфер ПУДООС 
6401</t>
        </r>
      </text>
    </comment>
    <comment ref="X348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Трансфер ПУДООС 
6401</t>
        </r>
      </text>
    </comment>
  </commentList>
</comments>
</file>

<file path=xl/sharedStrings.xml><?xml version="1.0" encoding="utf-8"?>
<sst xmlns="http://schemas.openxmlformats.org/spreadsheetml/2006/main" count="567" uniqueCount="450">
  <si>
    <t>ВСИЧКО РАЗХОДИ:</t>
  </si>
  <si>
    <t>Сн. Данева - Иванова</t>
  </si>
  <si>
    <t>Зам. - кмет "Финанси"</t>
  </si>
  <si>
    <t>Съгласувал,</t>
  </si>
  <si>
    <t>М. Маринов</t>
  </si>
  <si>
    <t>Изготвил,</t>
  </si>
  <si>
    <t>ПРИЛОЖЕНИЕ 1</t>
  </si>
  <si>
    <t>ИНВЕСТИЦИОННА ПРОГРАМА</t>
  </si>
  <si>
    <t>КЪМ 30.11.2021 ГОДИНА</t>
  </si>
  <si>
    <t>НАИМЕНОВАНИЕ НА ОБЕКТИТЕ</t>
  </si>
  <si>
    <t xml:space="preserve">ВСИЧКО </t>
  </si>
  <si>
    <t>Целева субсидия</t>
  </si>
  <si>
    <t>Приватизация</t>
  </si>
  <si>
    <t>Собствени бюджетни средства</t>
  </si>
  <si>
    <t>Сметки за средства от Европейския съюз</t>
  </si>
  <si>
    <t xml:space="preserve">Преходен остатък по бюджета </t>
  </si>
  <si>
    <t>Прех.остатъци от трансфери м/у бюджета и ЦБ и други</t>
  </si>
  <si>
    <t>Трансфери м/у бюджета и ЦБ и други</t>
  </si>
  <si>
    <t>Други извънбюджетни средства</t>
  </si>
  <si>
    <t>било</t>
  </si>
  <si>
    <t>става</t>
  </si>
  <si>
    <t>промяна</t>
  </si>
  <si>
    <t>5100  ОСНОВЕН  РЕМОНТ НА ДМА</t>
  </si>
  <si>
    <t>Функция 01 Общи държавни служби</t>
  </si>
  <si>
    <t>ОБЕКТИ</t>
  </si>
  <si>
    <t>Основен ремонт сгради общинска собственост на територията на кметство с. Хотница, 30% от продажби на общинско имущество</t>
  </si>
  <si>
    <t>Основен ремонт сгради общинска собственост на територията на кметство с. Въглевци</t>
  </si>
  <si>
    <t>Основен ремонт сгради общинска собственост на територията на кметство с. Балван</t>
  </si>
  <si>
    <t>Основен ремонт сгради общинска собственост на територията на кметство с. Момин сбор</t>
  </si>
  <si>
    <t>Основен ремонт сгради общинска собственост на територията на кметство с. Ново село</t>
  </si>
  <si>
    <t>Основен ремонт сгради общинска собственост на територията на кметство с. Шемшево</t>
  </si>
  <si>
    <t>Основен ремонт сграда (отоплителна инсталация кметство Никюп, 30% от продажби на общинско имущество)</t>
  </si>
  <si>
    <t>Основен ремонт кметство с. Ветринци, 30% от продажби на общинско имущество</t>
  </si>
  <si>
    <t>Функция 02 Отбрана и сигурност</t>
  </si>
  <si>
    <t>Укрепване улица "Пета", с. Малки чифлик</t>
  </si>
  <si>
    <t>Основен ремонт видеонаблюдение</t>
  </si>
  <si>
    <t>Възстановяване на подпорна стена, северно от жилищен блок с адм.адрес: ул. "Симеон Велики" 4</t>
  </si>
  <si>
    <t>Възстановяване на улици в с. Ново село - водостоци, ПМС 92/17.04.2015 г.</t>
  </si>
  <si>
    <t xml:space="preserve">Възстановяване на ул. "Трапезица" и извършване на укрепителни мероприятия на свлачище на №VTR 04.10447.28 над ул. "Трапезица" (северно откъм хълм "Трапезица",  гр. В. Търново) - ПМС 160/04.08.2017 г. </t>
  </si>
  <si>
    <t>Възтановяване на покрив на Детска градина "Здравец", гр. Велико Търново, ПМС 247/07.11.2017 г.</t>
  </si>
  <si>
    <t>Възстановяване на мост над р. Белица на път GAB 1111/III-303/, гр. Килифарево- с. Плаково, ПМС 247/07.11.2017 г.</t>
  </si>
  <si>
    <t>Трайно възстановяване на каменния мост над река Белица в гр. Дебелец по ПМС 96 от 25.04.2019 г.</t>
  </si>
  <si>
    <t>Възстановяване на стоманобетонов мост над река Белица на общински път  VTR1010 "/I-5/ Дебелец - жп гара Дебелец - Велико Търново, кв. Чолаковци, ул. "Сан Стефано" (GAB 3110) по ПМС 292 от 12.12.2018 г. и по ПМС 96 от 25.04.2019 г.</t>
  </si>
  <si>
    <t>Възстановяване на ул. „Климент Охридски” (път ІІІ-514) при манастирски комплекс „Великата Лавра” до църквата „Св. Четиридесет мъченици”, гр. Велико Търново, по ПМС 96 от 25.04.2019 г. и ПМС 250 от 04.09.2020 г.</t>
  </si>
  <si>
    <t xml:space="preserve">Възстановяване на  пътGAB 3110/ ІІІ-303 Пушево - Дряново/Керека - граница общини (Дряново - Велико Търново) - Шемшево - Велико Търново, в участъка от км 8+300 през с. Шемшево до км 12+400, ПМС 284/15.11.2019 г.
</t>
  </si>
  <si>
    <t xml:space="preserve">Възстановяване на водосток и общински път GAB 3110 (път ІІІ-303) Керека-граница общини (Дряново - В.Търново) - Шемшево - Велико Търново, в участъка между новостроящ се мост над р. Янтра и гр. Велико Търново по ПМС 250 от 04.09.2020 г.
</t>
  </si>
  <si>
    <t>Възстановяване сградата на детска градина „Слънце”, гр. Велико Търново, УПИ-II, кв. 109 по ПМС 250 от 04.09.2020 г.</t>
  </si>
  <si>
    <t>Възстановяване сградата на детска градина „Пинокио”, с. Самоводене, УПИ-I, кв. 37, по ПМС 250 от 04.09.2020 г. и ПМС 207/29.06.2021 г.</t>
  </si>
  <si>
    <t>Функция 03 Образование</t>
  </si>
  <si>
    <t>Реконструкция на сграда на ПМГ "В. Друмев" за осигуряване на едносменен режим на обучение</t>
  </si>
  <si>
    <t>Ремонтни дейности в учебните стаи на 4-ти етаж на ОУ "П.Р.Славейков"  град Велико Търново</t>
  </si>
  <si>
    <t>Изработване на инвестиционен проект - актуализация на проект "Внедряване на мерки за енергийна ефективност в ОУ "П.Р.Славейков", гр. В. Търново и извършване на енергийно обследване и издаване на сертификат</t>
  </si>
  <si>
    <t xml:space="preserve">Основен ремонт покрив ОУ "П.Р.Славейков", гр. В. Търново </t>
  </si>
  <si>
    <t>Енергийна ефективност ОУ "П.Р.Славейков", гр. В. Търново - собствено участие 315 044 лв. и НДЕФ 621 164 лв.</t>
  </si>
  <si>
    <t>ПМГ "Васил Друмев"  гр. В. Търново -  изграждане на Център за природни науки, изследвания и иновации</t>
  </si>
  <si>
    <t xml:space="preserve">Основен ремонт - изграждане на STEM център за природни науки, изследвания и иновации ОУ "Бачо Киро" </t>
  </si>
  <si>
    <t>Основен ремонт детски площадки ДГ "Св.Св. Кирил и Методий", Велико Търново</t>
  </si>
  <si>
    <t>Основен ремонт покрив ДГ "Соня", Велико Търново</t>
  </si>
  <si>
    <t>Основен ремонт на детска площадка в ДГ "Пламъче", гр. Дебелец</t>
  </si>
  <si>
    <t>Функция 04 Здравеопазване</t>
  </si>
  <si>
    <t>Център за обучение и превенция на зависимости</t>
  </si>
  <si>
    <t>ДЯ "Пролет" - укрепване на северната едноетажна част на сградата</t>
  </si>
  <si>
    <t>Детска площадка КСУД, гр. В. Търново, ул. "Симеон Велики" №3 - ремонт парапет</t>
  </si>
  <si>
    <t>Функция 05  Социално осигур., подпомагане и грижи</t>
  </si>
  <si>
    <t>Ремонтиране и адаптиране помещения в сграда общинска собственост ул. "Цветарска" 14, гр. Велико Търново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</si>
  <si>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Основен ремонт дом за стари хора "Венета Ботева", гр. В. Търново по проект "Патронажна грижа+ ", ОП "Развитие на човешките ресурси" 2014-2020, №BG05M9OP001-6.002-0077-C01 /код 98/</t>
  </si>
  <si>
    <t>Основен ремонт  Домашен социален патронаж- гр. Велико Търново, филиал с. Ново село</t>
  </si>
  <si>
    <t>Подмяна дограма на Клуб на пенсионера и инвалида Кметство с. Балван /30% продажба на общинско имущество/</t>
  </si>
  <si>
    <t>Основен ремонт сгради общинска собственост на територията на кметство с. Хотница - пенсионерски клуб</t>
  </si>
  <si>
    <t>Основен ремонт ЦРДМ с. Хотница - подмяна дограма</t>
  </si>
  <si>
    <t>Основен ремонт КПИ с. Хотница - подова настилка</t>
  </si>
  <si>
    <t>Реновиране и модернизация на материалната база на ЦНСТПЛУИ с. Церова Кория</t>
  </si>
  <si>
    <t>Основен ремонт защитени жилища І и ІІ, гр. Дебелец</t>
  </si>
  <si>
    <t>Основен ремонт сграда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</si>
  <si>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Функция 06 Жилищно строителство, Б К С и опазване  околната среда</t>
  </si>
  <si>
    <t>Ремонт площадно пространство с. Присово /30% продажба на общинско имущество</t>
  </si>
  <si>
    <t>Основен ремонт на съществуваща водопроводна мрежа гр. Велико Търново</t>
  </si>
  <si>
    <t>Подмяна на настилка Градски площад, гр. Дебелец</t>
  </si>
  <si>
    <t>Обновяване на детска площадка с. Самоводене</t>
  </si>
  <si>
    <t>Ремонт водопроводна мрежа ул. "Втора", с. Шереметя /30% продажба на общинско имущество/</t>
  </si>
  <si>
    <t>Рехабилитация и модернизация на системи за външно изкуствено осветление в гр. В. Търново  по програма "Възобновяема енергия,енергийна ефективност и енергийна сигурност", Финансов механизъм на Европейското икономическо пространство" 2014-2021, №BGENERGY-2.001-0003-017 /код 97/</t>
  </si>
  <si>
    <t xml:space="preserve">Основен ремонт Улична осветителна мрежа </t>
  </si>
  <si>
    <t>Ремонтни и рехабиталиционни дейности на засегнати части от улична мрежа съобразно реализация на проект с Европейско финансиране</t>
  </si>
  <si>
    <t>Рехабилитация и реконструкция на ул."Опълченска", ул. "Теодосий Търновски", ул. "Димитър Найденов", ул. "Сливница", ул. "Климент Охриски" и ул. "Ксилифорска" и участъка изрън регулация по проект 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</si>
  <si>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Рекултивация на депо за ТБО в с. Шереметя, Община Велико Търново /възстановяване/</t>
  </si>
  <si>
    <t>Основен ремонт багер "Неусон"</t>
  </si>
  <si>
    <t>Ремонт стълбищна мрежа, гр. В. Търново, в т.ч. стълбище към автогара Юг</t>
  </si>
  <si>
    <t>Изграждане на водопровод и канализация на бул. България", гр. В. Търново по ПМС 360/10.12.2020 г., писмо №ФО-70/17.12.2020 г. на МФ</t>
  </si>
  <si>
    <t xml:space="preserve">Основен ремонт улична мрежа на територията на кметствата и кметските наместничества на територията на Община Велико Търново </t>
  </si>
  <si>
    <t>Арбанаси /в т.ч. 46 171 лева от 30% продажба на общинско имущество/</t>
  </si>
  <si>
    <t>Балван</t>
  </si>
  <si>
    <t>Беляковец /в т.ч. 4 780 лева преходен остатък, 17 221 лева от 30% продажба на общинско имущество/</t>
  </si>
  <si>
    <t xml:space="preserve">Буковец </t>
  </si>
  <si>
    <t>Велчево</t>
  </si>
  <si>
    <t>Ветренци</t>
  </si>
  <si>
    <t>Водолей</t>
  </si>
  <si>
    <t>Дичин /в т.ч.8 898 лева от 30% продажба на общинско имущество/</t>
  </si>
  <si>
    <t>Емен</t>
  </si>
  <si>
    <t>Къпиново  /в т.ч.15 702 лева от 30% продажба на общинско имущество/</t>
  </si>
  <si>
    <t xml:space="preserve">Леденик </t>
  </si>
  <si>
    <t>Малки Чифлик /в т.ч. 197 лева от 30% продажба на общинско имущество/</t>
  </si>
  <si>
    <t>Миндя  /в т.ч.  8 500 лева преходен остатък/</t>
  </si>
  <si>
    <t>Момин сбор</t>
  </si>
  <si>
    <t xml:space="preserve">Никюп </t>
  </si>
  <si>
    <t>Ново село /в т.ч.  19 364 лева от 30% продажба на общинско имущество,  11 000 лева преходен остатък/</t>
  </si>
  <si>
    <t xml:space="preserve">Плаково </t>
  </si>
  <si>
    <t>Присово /в т.ч. 36 432 лева от 30% продажба на общинско имущество/</t>
  </si>
  <si>
    <t>Пушево  /в т.ч. 2550 лева от 30 % продажба на общинско имущество/</t>
  </si>
  <si>
    <t xml:space="preserve">Пчелище </t>
  </si>
  <si>
    <t>Русаля</t>
  </si>
  <si>
    <t>Хотница /в т.ч. 3 270 лева от 30% продажба на общинско имущество/</t>
  </si>
  <si>
    <t>Шереметя /в т.ч. 3 034 лева от 30% продажба на общинско имущество/</t>
  </si>
  <si>
    <t>Шемшево</t>
  </si>
  <si>
    <t>Церова кория</t>
  </si>
  <si>
    <t>Войнежа /в т.ч. 1 398 лева 30% продажба на общинско имущество/</t>
  </si>
  <si>
    <t>Вонеща вода</t>
  </si>
  <si>
    <t xml:space="preserve">Въглевци </t>
  </si>
  <si>
    <t>Габровци  /в т.ч. 2 000 лева преходен остатък,  1 227 лева от 30% продажба на общинско имущество/</t>
  </si>
  <si>
    <t>Големаните</t>
  </si>
  <si>
    <t xml:space="preserve">Райковци </t>
  </si>
  <si>
    <t>Ялово</t>
  </si>
  <si>
    <t>Дебелец</t>
  </si>
  <si>
    <t>Килифарево  /в т.ч. 3 600 лева преходен остатък/</t>
  </si>
  <si>
    <t>Ресен /в т.ч. 70 180 лева от 30% продажба на общинско имущество/</t>
  </si>
  <si>
    <t>Самоводене  /в т.ч. 1 355 лева преходен остатък/</t>
  </si>
  <si>
    <t>Основен ремонт улична мрежа на територията на кметствата и кметските наместничества на територията на Община Велико Търново - Програма "Инициативи на местните общности"</t>
  </si>
  <si>
    <t>Арбанаси</t>
  </si>
  <si>
    <t>Дичин</t>
  </si>
  <si>
    <t>Къпиново</t>
  </si>
  <si>
    <t>Малки Чифлик</t>
  </si>
  <si>
    <t xml:space="preserve">Миндя </t>
  </si>
  <si>
    <t>Присово</t>
  </si>
  <si>
    <t xml:space="preserve">Пушево  </t>
  </si>
  <si>
    <t xml:space="preserve">Хотница </t>
  </si>
  <si>
    <t xml:space="preserve">Шереметя </t>
  </si>
  <si>
    <t xml:space="preserve">Войнежа </t>
  </si>
  <si>
    <t xml:space="preserve">Габровци </t>
  </si>
  <si>
    <t xml:space="preserve">Килифарево </t>
  </si>
  <si>
    <t>Ресен</t>
  </si>
  <si>
    <t xml:space="preserve">Самоводене  </t>
  </si>
  <si>
    <t>Беляковец - ремонт площадно пространство, Програма "Инициативи на местните общности" /в т.ч. 13 264 лв. 30% от продажба на общинско имущество/</t>
  </si>
  <si>
    <t>Функция 07 Почивно дело, култура, религиоз. дейности</t>
  </si>
  <si>
    <t>Сграфито пана - реставрация</t>
  </si>
  <si>
    <t>Направа на подова настилка от дървен "декинг" върху бетонна сцена на Летен театър</t>
  </si>
  <si>
    <t>Основен ремонт сграда Дирекция МДТ, Община Велико Търново, в т.ч. архивни помещения</t>
  </si>
  <si>
    <t>Ремонт на сградата на НЧ "Нива - 1898" Кметство с. Балван /30% продажба на общинско имущество/</t>
  </si>
  <si>
    <t>Основен ремонт сгради общинска собственост на територията на кметство с. Велчево - читалище</t>
  </si>
  <si>
    <t>Момин сбор - ремонт читалище, Програма "Инициативи на местните общности"</t>
  </si>
  <si>
    <t>Ново село - ремонт читалище, Програма "Инициативи на местните общности"</t>
  </si>
  <si>
    <t>Русаля - ремонт читалище, Програма "Инициативи на местните общности"</t>
  </si>
  <si>
    <t>Ветренци - ремонт читалище, Програма "Инициативи на местните общности"</t>
  </si>
  <si>
    <t>Големаните - ремонт читалище, Програма "Инициативи на местните общности"</t>
  </si>
  <si>
    <t>Основен ремонт читалищна библиотека с. Самоводене</t>
  </si>
  <si>
    <t>Подмяна изкуствена настилка на тенис кортове на ул. "Мария Габровска" 2А, гр. Велико Търново с обща площ 3 592 кв.м.</t>
  </si>
  <si>
    <t>Ремонт на "Салон за физическо възпитание и спорт" в гр. Дебелец</t>
  </si>
  <si>
    <t>Реконструкция, модернизация и внедряване на мерки за енергийна ефективност в спортни зали към СК "Ивайло" - Спортни зали "Север"</t>
  </si>
  <si>
    <t>Възстановяване на стадион Кметство с. Вонеща вода /в т.ч. 3 630 лева от 30% продажба на общинско имущество/</t>
  </si>
  <si>
    <t>Реконструкция и обновяване сграда  по проект "Реконструкция и обновяване на музей "Възраждане" и "Учредително събрание" по ОП „Региони в растеж“ 2014-2020г., №BG16RFOP001-1.009-0006 /код 98/</t>
  </si>
  <si>
    <t>Разширение сграда  по проект "Разширение на Мултимедиен посетителски център "Царевград Търнов" по ОП „Региони в растеж“ 2014-2020г., №BG16RFOP001-1.009-0007 /код 98/</t>
  </si>
  <si>
    <t>Енергийна ефективност ХГалерия "Борис Денев" по проект "Изкуство и култура" - Галерия ROBG-576 /код 96/</t>
  </si>
  <si>
    <t>Ремонт на наклонения асансьор в АМР "Царевец"</t>
  </si>
  <si>
    <t>Основен ремонт осветителна техника АВП Звук и светлина (обследване техническо състояние, изготвяне на енергийно ефективно осветление) РИМ ВТ</t>
  </si>
  <si>
    <t>Функция 08 Икономически дейности и услуги</t>
  </si>
  <si>
    <t>Реконструкция бул. "България" - кръгово кръстовище "Беляковско шосе", Кръгово кръстовище ул. "Христо Ботев" по проект Интегриран градски транспорт на гр. Велико Търново по ОП „Региони в растеж“ 2014-2020г. BG16RFOP001-1.009-0005-C01 /код 98/</t>
  </si>
  <si>
    <t>Основен ремонт на приют за бездомни животни</t>
  </si>
  <si>
    <t>Ремонт на общински път VTR 2016 "/път ІІ-55/- с.Нацовци- с. Големани - Плаково"</t>
  </si>
  <si>
    <t xml:space="preserve">VTR 2002 /път ІІІ-303 / Пушево - Шемшево / път GAB 3110/, GAB 3110  /път ІІІ-303, Пушево - Дряново/ Керека - граница общ. (Дряново - Велико Търново) - Шемшево - В. Търново /VTR 1010/ </t>
  </si>
  <si>
    <t xml:space="preserve">Ремонт на общински път GAB 1111 "гр.Килифарево - с.Плаково/" в гр.Килифарево ( ул"Пенчо Цонев")                                                      </t>
  </si>
  <si>
    <t>5200  ПРИДОБИВАНЕ НА ДМА</t>
  </si>
  <si>
    <t>5201 Придобиване на компютри и хардуер</t>
  </si>
  <si>
    <t>Компютри и хардуер за нуждите на Община Велико Търново</t>
  </si>
  <si>
    <t>Доизграждане на Wi-Fi зона в парк "Св.гора", парк "Колю Фичето", парк "Дружба", свързано с осигуряване на устойчивост на проект WIFI4EU</t>
  </si>
  <si>
    <t>Компютри и хардуер за нуждите на Великотърновски общински съвет</t>
  </si>
  <si>
    <t>Компютърна конфигурация за нуждите на Кметство гр. Дебелец</t>
  </si>
  <si>
    <t>Компютърна конфигурация за нуждите на Кметство с. Ялово</t>
  </si>
  <si>
    <t>Компютърна конфигурация за нуждите на Кметство с. Ресен</t>
  </si>
  <si>
    <t>5202 Придобиване на сгради</t>
  </si>
  <si>
    <t>Прекратяване на съсобственост по Решение №410/13.11.2008 г. - недвижим имот ул. "Сливница" №7</t>
  </si>
  <si>
    <t>5203 Придобиване на др. оборудване машини и съоръжения</t>
  </si>
  <si>
    <t>Климатици</t>
  </si>
  <si>
    <t>Климатик за нуждите на Кметство с. Ресен</t>
  </si>
  <si>
    <t>Многофункционални устройства, ксерокси за нуждите на Община Велико Търново</t>
  </si>
  <si>
    <t>5204 Придобиване на транспортни средства</t>
  </si>
  <si>
    <t>Високопроходим лек автомобил за нуждите на Общинска администрация</t>
  </si>
  <si>
    <t>5205  Придобиване на стопански инвентар</t>
  </si>
  <si>
    <t>Банкнотоброячни машини за нуждите на дирекция МДТ</t>
  </si>
  <si>
    <t>Мебели за нуждите на Община Велико Търново</t>
  </si>
  <si>
    <t>Системи за видеонаблюдение</t>
  </si>
  <si>
    <t>Система за видеонаблюдение Кметство с. Войнежа 30% продажба на общинско имущество</t>
  </si>
  <si>
    <t>Система за видеонаблюдение Кметство с. Ново село 30% продажба на общинско имущество</t>
  </si>
  <si>
    <t>Система за видеонаблюдение за Паметника на Опълченците Кметство с. Ресен</t>
  </si>
  <si>
    <t>5206 Инфраструктурни обекти</t>
  </si>
  <si>
    <t>Изграждане на отводнително съоръжение намиращо се в източната част на с. Ресен, кръстовището на ул. "Димитър Благоев" и ул. "Васил Коларов" и прилежащите жилищни сгради</t>
  </si>
  <si>
    <t>Изграждане на отводнително съоръжение намиращо се в източната част на с. Ресен, кръстовището на ул. "Георги Димитров" и ул. "Димо Рогев" и прилежащите жилищни сгради</t>
  </si>
  <si>
    <t xml:space="preserve">Възстановяване на разрушен участък от общински път VTR 1010 /републикански път І-5/ - ж.п. гара Дебелец - кв. "Чолаковци", гр. В. Търново при км 0+550 - ПМС 92/17.04.2015 г. и ПМС 160/04.08.2017 г. </t>
  </si>
  <si>
    <t>Възстановяване на мост - вилна зона, с. Габровци, ПМС 63/26.04.2018 г.</t>
  </si>
  <si>
    <t>Мост над р. Еньовица, с. Габровци, път Габровци - Пъровци, ПМС 63/26.04.2018 г.</t>
  </si>
  <si>
    <t>Преносими компютри за нуждите на училищата по писмо на Министерство на финансите  №  ФО-52/02.11.2020 г.</t>
  </si>
  <si>
    <t>ОУ "Бачо Киро" - преносими компютри и многофункционално устройство</t>
  </si>
  <si>
    <t>СУ "Ем. Станев"- преносими компютри, мултимедиен прожектор и мрежов суич управляем</t>
  </si>
  <si>
    <t>Компютри за нуждите на дирекция ОМДС</t>
  </si>
  <si>
    <t>Мобилен компютър - Проект BG05M2ОP001-3.018-0001 „Подкрепа за приобщаващо образование“ ОУ "Бачо Киро", гр. В. Търново /код 98/</t>
  </si>
  <si>
    <t>Интерактивен мулти-тъч дисплей - Проект BG05M2ОP001-3.018-0001 „Подкрепа за приобщаващо образование“  СУ "Ем.Станев /код 98/</t>
  </si>
  <si>
    <t>Компютри за нуждите на ДГ "Шареният замък", гр. Велико Търново</t>
  </si>
  <si>
    <t>ПЕГ "Асен Златаров",  гр. В. Търново -  интерактивни дисплеи</t>
  </si>
  <si>
    <t>ПЕГ "Асен Златаров",  гр. В. Търново -  Интерактивна система за стерео 3D визуализация</t>
  </si>
  <si>
    <t>Спортно училище "Георги Живков",  гр. Велико Търново - компютърни конфигурации</t>
  </si>
  <si>
    <t>СУ "Вела Благоева" - изграждане на Wi-Fi мрежа</t>
  </si>
  <si>
    <t>ОУО "Колю Фичето" - компютри</t>
  </si>
  <si>
    <t>СУ "Вела Благоева" - преносими компютри</t>
  </si>
  <si>
    <t>ОУ "Петър Берон", гр. Дебелец - Доизграждане на безжична WiFi мрежа</t>
  </si>
  <si>
    <t>ОУ "Христо Ботев" - преносими компютри</t>
  </si>
  <si>
    <t>СУ Вл. Комаров", гр. В. Търново -  технологично оборудване, STEM център</t>
  </si>
  <si>
    <t>ОУ "П.Р.Славейков", с. Церова Кория - преносими компютри</t>
  </si>
  <si>
    <t>ОУ "П.Р.Славейков", гр. Велико Търново  - интерактивен дисплей и преносими компютри по НП "Изграждане на STEM среда"</t>
  </si>
  <si>
    <t>ПМГ "Васил Друмев"  гр. В. Търново -  лаптопи, компютърни конфигурации, интерактивни дисплеи</t>
  </si>
  <si>
    <t>Изграждане на ДГ за 120 места в кв. "Зона - В", ПМС 260/24.11.2017 година</t>
  </si>
  <si>
    <t>Изграждане на ДГ в кв. "Картала", гр. В. Търново</t>
  </si>
  <si>
    <t>Разширение и довършване на съществуваща детска градина в УПИ III 153 А, ДГ „Здравец“-ПМС 315/19.12.2018</t>
  </si>
  <si>
    <t>ПМГ "В. Друмев" - система за видеонаблюдение</t>
  </si>
  <si>
    <t>Контролер Loxone miniserver - ОУ "Бачо Киро", гр. В. Търново</t>
  </si>
  <si>
    <t>Видеотермален дисплей ОУ "Димитър Благоев" , гр. В. Търново</t>
  </si>
  <si>
    <t>СУ "Ем. Станев"- пулт за озвучаване и тонколони</t>
  </si>
  <si>
    <t>СУ "Ем. Станев"- климатични системи</t>
  </si>
  <si>
    <t>Детска площадка в ДГ "Слънчев дом" ПУДООС</t>
  </si>
  <si>
    <t>Детска площадка в ДГ "Звездица", с. Шемшево ПУДООС</t>
  </si>
  <si>
    <t>Детска площадка в ДГ "Соня" по безопасност на движението по пътищата</t>
  </si>
  <si>
    <t>Детска площадка в ДГ "Иванка Ботева" ПУДООС</t>
  </si>
  <si>
    <t>Експериментална оранжерия STEM проект в ОУ "П. Р. Славейков"</t>
  </si>
  <si>
    <t>Доизграждане на система за озвучаване и оповестяване  ОУ "П.Р. Славейков"</t>
  </si>
  <si>
    <t>Дървени съоръжения за обучение и отдих ОУ "Христо Ботев", гр. В. Тъново ПУДООС</t>
  </si>
  <si>
    <t>Система за видеонаблюдение Общежитието към Спортно училище "Георги Живков"</t>
  </si>
  <si>
    <t>Камина за опити - ПХГ "Св.Св. Кирил и Методий"</t>
  </si>
  <si>
    <t>Система за видеонаблюдение СУ "Вела Благоева"</t>
  </si>
  <si>
    <t>Климатици за нуждите на детските градини в Община Велико Търново</t>
  </si>
  <si>
    <t>ДГ "Евгения Кисимова" - професионални електрически фурни</t>
  </si>
  <si>
    <t>ДГ "Соня" - професионални печка и пекарна</t>
  </si>
  <si>
    <t>ДГ "Здравец" -  професионални печка и пекарна</t>
  </si>
  <si>
    <t>ДГ "Ивайло" -  професионални печка и пекарна</t>
  </si>
  <si>
    <t>ДГ "Св.Св. Кирил и Методий" -  професионални пекарна, печка и зеленчукорезачка</t>
  </si>
  <si>
    <t>ДГ "Рада Войвода" - сушилня</t>
  </si>
  <si>
    <t>Игрална маса с полета за шах - ПМГ "В. Друмев", гр. Велико Търново, проект Еразъм + /код 96/</t>
  </si>
  <si>
    <t>Мебелно оборудване за STEM кабинет в ОУ "П.Р.Славейков"</t>
  </si>
  <si>
    <t>Подопочистваща машина СУ  "В. Благоева"</t>
  </si>
  <si>
    <t>Специализирани сензори за лабораторни упражнения по БЗО и ХООС - ПЕГ "Проф. Асен Златаров", гр. В. Търново</t>
  </si>
  <si>
    <t>Учебни маси с плот за кабинета по химия - ПЕГ "Проф. Асен Златаров", гр. В. Търново</t>
  </si>
  <si>
    <t>ПМГ "В. Друмев" - мебели по НП "Играждане на STEM среда"</t>
  </si>
  <si>
    <t>Компютри за нуждите на детски ясли</t>
  </si>
  <si>
    <t>Компютър за нуждите на здравен медиатор</t>
  </si>
  <si>
    <t>ДЯ "Щастливо детство" - документален скенер</t>
  </si>
  <si>
    <t>Компютри за нуждите на здравните кабинети</t>
  </si>
  <si>
    <t>Климатици за нуждите на Детските ясли на територията на Община Велико Търново</t>
  </si>
  <si>
    <t>Детска площадка КСУД, гр. В. Търново, ул. "Симеон Велики" №3</t>
  </si>
  <si>
    <t>ППР за обновяване и озеленяване на дворно място, гр. В. Търново, ул. "Симеон Велики" №3</t>
  </si>
  <si>
    <t>ДЯ "Слънце" -  детска площадка</t>
  </si>
  <si>
    <t>ДЯ "Зорница", гр. Дебелец -  детска площадка</t>
  </si>
  <si>
    <t>Лек автомобил за нуждите на Детски ясли</t>
  </si>
  <si>
    <t>ДЯ "Мечо Пух" - акордеон</t>
  </si>
  <si>
    <t>ДЯ "Щастливо детство", ДЯ "Пролет", ДЯ "Слънце, ДЯ "Зорница" - професионални сушилни</t>
  </si>
  <si>
    <t>ДЯ Щастливо детство" - бойлер</t>
  </si>
  <si>
    <t>ДЯ "Мечо Пух" - бойлер</t>
  </si>
  <si>
    <t xml:space="preserve"> Компютри за нуждите на Център за социални услуги</t>
  </si>
  <si>
    <t>Компютри за нуждите на ЦНСТ</t>
  </si>
  <si>
    <t>Компютри за нуждите на ЦСРИ</t>
  </si>
  <si>
    <t>Компютри за четири броя Център за грижа за лица с умствена изостаналост по проект "Изграждане на комплекс от социални услуги за възрастни" по ОП „Региони в растеж“ 2014-2020г., №BG16RFOP001-5.002-0004-C01 /код 98/</t>
  </si>
  <si>
    <t>Компютри по проект "Патронажна грижа + ", ОП "Развитие на човешките ресурси" 2014-2020, №BG05M9OP001-6.002-0077-C01 /код 98/</t>
  </si>
  <si>
    <t>Компютърна конфигурация и лаптопи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</si>
  <si>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Компютри по проект "Патронажна грижа за възрастни хора и лица с увреждания в Община Велико Търново" компонент 3, BG05M9OP001-2.101-0077-C01 /код 98/</t>
  </si>
  <si>
    <t>Изграждане на четири броя Център за грижа за лица с умствена изостаналост по проект "Изграждане на комплекс от социални услуги за възрастни" по ОП „Региони в растеж“ 2014-2020г., №BG16RFOP001-5.002-0004-C01 /код 98/</t>
  </si>
  <si>
    <t>Оборудване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</si>
  <si>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Терапевтични столове за нуждите на проект "Разкриване на комплекс от социални услуги за деца по ОП „Развитие на човешките ресурси“ 2014-2020г., №BG05M9OP001-2.019-0018-C01 /код 98/</t>
  </si>
  <si>
    <t>Дневен център за деца и младежи с увреждания "Дъга", гр. Велико Търново - беседка с ударопоглъщаща настилка</t>
  </si>
  <si>
    <t>Дневен център за деца и младежи с увреждания "Дъга", гр. Велико Търново - климатик</t>
  </si>
  <si>
    <t>Клуб на пенсионера и инвалида, ул. "Краков" 8, гр. В. Търново - климатик</t>
  </si>
  <si>
    <t>ЦНСТ ул. "Цветарска" 14 - слънчеви колектори</t>
  </si>
  <si>
    <t>Специализирано транспортно средство за хора с увреждания по проект "Дневен център за подкрепа на лица с увреждания и техните семейства, вкл. с тежки множествени увреждания, ОП "Развитие на човешките ресурси" 2014-2020, №BG05M9OP001-2.061-0002 /код 98/</t>
  </si>
  <si>
    <t>Товарен автомобил за нуждите на Домашен социален патронаж</t>
  </si>
  <si>
    <t>Лек автомобил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</si>
  <si>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Специализиран автомобил за нуждите на проект "Разкриване на комплекс от социални услуги за деца по ОП „Развитие на човешките ресурси“ 2014-2020г., №BG05M9OP001-2.019-0018-C01 /код 98/</t>
  </si>
  <si>
    <t>Доставка на бяла и черна техника, мебели и обзавеждане за четири броя Център за грижа за лица с умствена изостаналост по проект "Изграждане на комплекс от социални услуги за възрастни" по ОП „Региони в растеж“ 2014-2020г., №BG16RFOP001-5.002-0004-C01 /код 98/</t>
  </si>
  <si>
    <t>Стопански инвентар ДПЛУИ Ц. Кория</t>
  </si>
  <si>
    <t>Фурна за вграждане и съдомиялна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</si>
  <si>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Присъединяване на обект "Четири броя сгради за център за грижа за лица с умствена изостаналост", с. Церова Кория към електроразпределителната мрежа</t>
  </si>
  <si>
    <t>Компютърна конфигурация за нуждите на ОП "Зелени системи"</t>
  </si>
  <si>
    <t>Компютри и хардуер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</si>
  <si>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Пясъкоструй, токрет машина и пердашка за шлайфан бетон за ОП "Зелени системи" за поддръжка и ремонт на елементи на техническата инфраструктура на гр.В. Търново</t>
  </si>
  <si>
    <t>Касети за контейнери</t>
  </si>
  <si>
    <t>Детско съоръжение  Кметство с. Ресен</t>
  </si>
  <si>
    <t>Пелетни и газови котли и горелки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</si>
  <si>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Автомобил пикап за нуждите на ОП "Зелени системи"</t>
  </si>
  <si>
    <t>Камион до 3,5 тона товароносимост за нуждите на ОП "Зелени системи"</t>
  </si>
  <si>
    <t>Автомобил за нуждите на ОП "Зелени системи"</t>
  </si>
  <si>
    <t>Стопански инвентар за нуждите на ОП "Зелени системи" - Листосъбирач и моторна метла</t>
  </si>
  <si>
    <t>Клонорез за нуждите на Кметство с. Ресен</t>
  </si>
  <si>
    <t>Стопански инвентар Кметство с. Русаля /30% от продажба на общинско имущество/</t>
  </si>
  <si>
    <t>Моторна косачка Кметство с. Русаля /30% от продажба на общинско имущество/</t>
  </si>
  <si>
    <t>Храсторез за нуждите на Кметско наместничество с. Войнежа</t>
  </si>
  <si>
    <t>Стопански инвентар за нуждите на ОП "Зелени системи" за поддръжка и ремонт на елементи на техническата инфраструктура на гр.В. Търново</t>
  </si>
  <si>
    <t xml:space="preserve">Изграждане на детска площадка в междублоково пространство на ул. "Деню Чоканов" №6 </t>
  </si>
  <si>
    <t>Изграждане на детска площадка в междублоково пространство на ул. "Ниш" №6, гр. В. Търново</t>
  </si>
  <si>
    <t>Проект "Килифарево - 2021" по НК "Чиста околна среда" ПУДООС</t>
  </si>
  <si>
    <t>Изграждане на тротоар на ул. "Лазурна"</t>
  </si>
  <si>
    <t>Доизграждане на улични участъци в кв. Картала, гр. В . Търново /доизграждане на участък от ул. Александър Бурмов от ОК 2374 а до ОК2475 и изграждане на нов уличен участък от ОК2524 до ОК2903 м/у ул. А. Бурмов и ул. Беляковско шосе/ -  ПМС 376/05.11.21 г.</t>
  </si>
  <si>
    <t>Доизграждане на ул. "Стоян Михайловски" ОК 2577-ОК 2576- ОК2567- ОК2564 - ОК2565 -ОК2805, Изграждане на ул. "Васил Априлов", Изграждане на ул. "Камен Зидаров", ОК 2521 - ОК 259 и ул. „Петко Тодоров“ ОК 259-ОК2452, Изграждане на ул. "Александър Бурмов", кв. „Картала“  ОК2364-ОК2518 - ПМС 315/19.12.2018</t>
  </si>
  <si>
    <t>Изграждане на ул." Драган Цончев", кв. Зона В, ОК8504- ОК8602-ОК8607-ОК8613-ПМС 315/19.12.2018</t>
  </si>
  <si>
    <t>Изграждане на улична и тротоарна настилка, осветление, водопровод, канализация и подземни тръбни мрежи на улици "Козлодуй, "Димитър Рашев", "Иван Хаджидимитров", "Димитър Благоев", "Народни будители", гр. В. Търново по ПМС 360/10.12.2020 г., писмо №ФО-70/17.12.2020 г. на МФ</t>
  </si>
  <si>
    <t>Изграждане на комуникации и техническа инфраструктура - ОК 8000 - ОК 8006, поземлен имот 10447.513.453 по КККР  на гр.Велико Търново, с цел обслужване на нуждите на сградите намиращи се в ПИ 10447.513.298 и ПИ 10447.513.299 по КККР на гр.В.Търново - Старо военно училище</t>
  </si>
  <si>
    <t>Изграждане на отводнителен окоп в началото на  с. Беляковец улици ОК 192 - ОК 193</t>
  </si>
  <si>
    <t>Изграждане на отводнителен окоп в с. Беляковец улици ОК 74-ОК 75-ОК 76-ОК 10-ОК 11</t>
  </si>
  <si>
    <t>Изграждане на подземна тръбна мрежа, гр. В. Търново</t>
  </si>
  <si>
    <t>Мостово съоръжение над р. Янтра км 1+400 по проект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</si>
  <si>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Парк за отдих в централната част на с. Шемшево, Програма "Инициативи на местните общности" - 30% от продажби на общинско имущество - 10 703 лв.</t>
  </si>
  <si>
    <t>Проект "Чиста и безопасна детска площадка - Здраве в аванс", с. Беляковец ПУДООС</t>
  </si>
  <si>
    <t>Изграждане на подпорна стена и канализация за ново спортно игрище</t>
  </si>
  <si>
    <t xml:space="preserve">Изграждане на нова улична осветителна мрежа </t>
  </si>
  <si>
    <t>Изместване на кабелни линии и трафопост "Ледена пързалка", гр. В. Търново</t>
  </si>
  <si>
    <t>5219 Придобиване на други ДМА</t>
  </si>
  <si>
    <t>ОП "Зелени системи -кабина тип контейнер за каса на тоалетната в парк "Марно поле"</t>
  </si>
  <si>
    <t>Компютри и хардуер за нуждите на ОП "Общинско кабелно радио"</t>
  </si>
  <si>
    <t>Компютри и хардуер за нуждите на ОП "Спортни имоти и прояви"</t>
  </si>
  <si>
    <t>Компютри и хардуер за нуждите Дирекция КТМД</t>
  </si>
  <si>
    <t>Компютри за нуждите на РИМ В. Търново</t>
  </si>
  <si>
    <t>Разработване на електронна система за продажба на музейни билети - РИМ В. Търново</t>
  </si>
  <si>
    <t>Компютри и хардуер по проект "Изкуство и култура" - Галерия ROBG-576 /код 96/</t>
  </si>
  <si>
    <t>Компютри и хардуер за нуждите на РБ "П.Р.Славейков"</t>
  </si>
  <si>
    <t>Покривна преместваема конструкция на сцена на Летен театър</t>
  </si>
  <si>
    <t>Доставка на техническо оборудване - три комплекта чиги за сцена на Летен театър</t>
  </si>
  <si>
    <t>Билборд, информационно табло по проект "Разширение на Мултимедиен посетителски център "Царевград Търнов" по ОП „Региони в растеж“ 2014-2020г., №BG16RFOP001-1.009-0007 /код 98/</t>
  </si>
  <si>
    <t>Климатична инсталация по Проект Енергийна ефективност ХГалерия "Борис Денев" по проект "Изкуство и култура" - Галерия ROBG-576 /код 96/</t>
  </si>
  <si>
    <t>Видеосистеми за видеонаблюдение ХГ "Борис Денев"</t>
  </si>
  <si>
    <t>Принтер 3D за нуждите на РБ "П.Р.Славейков"</t>
  </si>
  <si>
    <t>Фасаден часовник ХГ "Борис Денев", гр. В. Търново</t>
  </si>
  <si>
    <t>Климатици за нуждите РИМ , гр. В. Търново</t>
  </si>
  <si>
    <t>Климатици за нуждите на ДКС "В. Левски"</t>
  </si>
  <si>
    <t>Бариера за нуждите на ДКС "В. Левски"</t>
  </si>
  <si>
    <t>Енергоспестяващи осветителни тела за нуждите на ДКС "В. Левски"</t>
  </si>
  <si>
    <t>Дигитален пункт - ефирно студио за нуждите на ОП "Общинско кабелно радио"</t>
  </si>
  <si>
    <t>ОП "Спортни имоти и прояви"- климатици</t>
  </si>
  <si>
    <t>ДКС "В. Левски" - климатици</t>
  </si>
  <si>
    <t>Мобилни осветителни и озвучителни кули АМР "Царевец"</t>
  </si>
  <si>
    <t>Изграждане на трибуни на футболен терен в района на Спортно училище "Г.Живков", ж.к. "Бузлуджа - ОП "Спотни имоти и прояви"</t>
  </si>
  <si>
    <t>ОП "Спортни имоти и прояви" - роторна машина за почистване от сняг</t>
  </si>
  <si>
    <t>Товаро-пътнически бус за нуждите на РИМ В. Търново</t>
  </si>
  <si>
    <t>Автомобил за нуждите на ОП "Спортни имоти и прояви"</t>
  </si>
  <si>
    <t>Тематични композиции с фигури, декори и стенописи по проект "Разширение на Мултимедиен посетителски център "Царевград Търнов" по ОП „Региони в растеж“ 2014-2020г., №BG16RFOP001-1.009-0007 /код 98/</t>
  </si>
  <si>
    <t>Тракторна косачка за нуждите на РИМ В. Търново</t>
  </si>
  <si>
    <t>Стопански инвентар за нуждите на РИМ В. Търново</t>
  </si>
  <si>
    <t>Моторна коса за нуждите на Кметство с. Ресен</t>
  </si>
  <si>
    <t>Стол HOBAX W-900 СУ "Емилиян Станев", гр. В. Търново</t>
  </si>
  <si>
    <t>ОП "Спортни имоти и прояви" - пръскачка за пръскане срeщу вредители и с листни торове</t>
  </si>
  <si>
    <t>Изграждане на спортно игрище, с. Никюп - Програма "Инициативи на местните общности" 2019</t>
  </si>
  <si>
    <t>Изграждане на игрище за скейтборд  - ОП "Спортни имоти и прояви"</t>
  </si>
  <si>
    <t>Изграждане на асфалтов пъмп трак в УПИ XI-3779, кв. 237, гр. Велико Търново</t>
  </si>
  <si>
    <t>Изграждане на подход за инвалиди към музей Учредително събрание - РИМ ВТ - Дофинансиране</t>
  </si>
  <si>
    <t>Компютърна конфигурация за нуждите на Младежки дом</t>
  </si>
  <si>
    <t>Компютърна конфигурация за нуждите на Общински приют за бездомни животни</t>
  </si>
  <si>
    <t>Контролен център, паркинг система и информационни табла и зарядна станция и оборудване към нея за електробуси по проект "Интегриран градски транспорт на гр. Велико Търново по ОП „Региони в растеж“ 2014-2020г." BG16RFOP001-1.009-0005-C01 /код 98/</t>
  </si>
  <si>
    <t>Изграждане на пешеходен надлез на ул. "Магистрална" и информационни табла на спирки на обществения градски транспорт по проект "Интегриран градски транспорт на гр. Велико Търново по ОП „Региони в растеж“ 2014-2020г." BG16RFOP001-1.009-0005-C01 /код 98/</t>
  </si>
  <si>
    <t>Изграждане на буферен паркинг "Френхисар" и "Сержантско училище" по проект "Интегриран градски транспорт на гр. Велико Търново по ОП „Региони в растеж“ 2014-2020г." BG16RFOP001-1.009-0005-C01 /код 98/</t>
  </si>
  <si>
    <t>5300  НМДА  Придобиване на НМДА</t>
  </si>
  <si>
    <t>5301- Придобиване на програмни продукти и лицензи за програмни продукти</t>
  </si>
  <si>
    <t>Разработка и внедряване на WEB базирана информационна система за предоставяне на данни от Националната система за мониторинг на КАВ в реално време и визуализирането им на страницата на Община Велико Търново</t>
  </si>
  <si>
    <t>Интеграционна платформа за електронна община на Община В.Търново (Платформа eCity)</t>
  </si>
  <si>
    <t>Софтуер за дигитализация архив ГРАО</t>
  </si>
  <si>
    <t>ПМГ "В. Друмев" - Образователен софтуер за интерактивен дисплей по НП "Играждане на STEM среда"</t>
  </si>
  <si>
    <t xml:space="preserve">СУ "Владимир Комаров" - Образователен софтуер </t>
  </si>
  <si>
    <t>ПЕГ "Проф.д-р Асен Златаров" - Образователен софтуер - трансфер МОН</t>
  </si>
  <si>
    <t>ПМГ "В. Друмев" - Образователен и експериментален софтуер за стереоскопичен лаптоп по НП "Играждане на STEM среда"</t>
  </si>
  <si>
    <t>5309 - Придобиване на други нематериални дълготрайни активи</t>
  </si>
  <si>
    <t>Биофийдбек система за тренировка на фината моторика ДГ "Св.Св. Кирил и Методий" Проект BG05M2ОP001-3.018-0001 „Подкрепа за приобщаващо образование“ /код 98/</t>
  </si>
  <si>
    <t>Софтуери и лицензи в РБ "П.Р. Славейков"</t>
  </si>
  <si>
    <t>5400 ПРИДОБИВАНЕ НА ЗЕМЯ</t>
  </si>
  <si>
    <t>Отчуждаване на части от недвижими имоти частна собственост за прилагане на линейна инфраструктура и за други общински нужди</t>
  </si>
  <si>
    <t>Отчуждаване на части от недвижими имоти частна собственост за гробищни паркове</t>
  </si>
  <si>
    <t>5500 Капиталови трансфери</t>
  </si>
  <si>
    <t>5501 Капиталови трансфери за нефинансови предприятия</t>
  </si>
  <si>
    <t>Закупуване и доставка на електробуси по проект "Интегриран градски транспорт на гр. Велико Търново по ОП „Региони в растеж“ 2014-2020г. BG16RFOP001-1.009-0005-C01 /код 98/</t>
  </si>
  <si>
    <t>инж. Даниел Панов</t>
  </si>
  <si>
    <t>Кмет на Община Велико Търново</t>
  </si>
  <si>
    <t>инж. Динко Кечев</t>
  </si>
  <si>
    <t>Директор дирекция СУТ</t>
  </si>
  <si>
    <t>П. Христов</t>
  </si>
  <si>
    <t>Началник отдел ИТО</t>
  </si>
  <si>
    <t>ПРИЛОЖЕНИЕ № 2</t>
  </si>
  <si>
    <t>РАЗШИФРОВКА НА КАПИТАЛОВИТЕ РАЗХОДИ, ФИНАНСИРАНИ ОТ ПРИХОДИ ПО 
§40-00 Постъпления от продажба на общински нефинансови активи съгл. чл.127, ал. 2 от ЗПФ</t>
  </si>
  <si>
    <t>(в лв.)</t>
  </si>
  <si>
    <t>No</t>
  </si>
  <si>
    <t>Наименование и местонахождение на обектите</t>
  </si>
  <si>
    <t>Годишна стойност</t>
  </si>
  <si>
    <t>Източник на финансиране</t>
  </si>
  <si>
    <t xml:space="preserve">§ 40-00 Постъпления от продажба на общински нефинансови активи </t>
  </si>
  <si>
    <t>Постъпления от продажба на общински нефинансови активи,  
(планирани по бюджета на общината за 2021 г.)</t>
  </si>
  <si>
    <t xml:space="preserve">  Параграф 5100: Основен ремонт на дълготрайни материални активи</t>
  </si>
  <si>
    <r>
      <t xml:space="preserve">   </t>
    </r>
    <r>
      <rPr>
        <b/>
        <sz val="12"/>
        <color theme="1"/>
        <rFont val="Times New Roman"/>
        <family val="1"/>
        <charset val="204"/>
      </rPr>
      <t xml:space="preserve"> Функция 03: Образование</t>
    </r>
    <r>
      <rPr>
        <b/>
        <sz val="12"/>
        <color rgb="FFFF0000"/>
        <rFont val="Times New Roman"/>
        <family val="1"/>
        <charset val="204"/>
      </rPr>
      <t xml:space="preserve">
</t>
    </r>
  </si>
  <si>
    <t xml:space="preserve">    Функция 06: Жилищно строителство, благоустройство, комунално стопанство и опазване на околната среда 
</t>
  </si>
  <si>
    <t xml:space="preserve">  Параграф  5206: Изграждане на инфраструктурни обекти</t>
  </si>
  <si>
    <t>Предоставени трансфери между бюджети и сметки за средствата от Европейския съюз</t>
  </si>
  <si>
    <t>Собствено участие по Европейски проекти и Други  програми за финансиране на проекти на социалната и техническа инфрастурктура</t>
  </si>
  <si>
    <t>Погасяване на ползвани заеми за финансиране на проекти на социалната и техническа инфраструктура</t>
  </si>
  <si>
    <t xml:space="preserve">Договор за кредит с „Фонд за органите на местното самоуправление в България - ФЛАГ” ЕАД, с цел реализацията на проект: „Развитие на модерна образователна инфраструктура в град Велико Търново„ - финансиране на собствено участие на Община Велико Търново </t>
  </si>
  <si>
    <t>инж. Д. Панов</t>
  </si>
  <si>
    <t>Директор дирекция "Бюджет и финанси"</t>
  </si>
  <si>
    <t>Д. Гавраилова, експерт Дирекция БФ</t>
  </si>
  <si>
    <t>Приложение № 3</t>
  </si>
  <si>
    <t>Разпределение на средствата по разпоредители с бюджет към Община Велико Търново по ПМС №326/12.10.2021 за периода 01- 30.11.21 г.</t>
  </si>
  <si>
    <t xml:space="preserve">Трансфери за други целеви разходи, предоставени в изпълнение на ПМС № 326 по §§31-18 от ЕБК </t>
  </si>
  <si>
    <t>Допълнителни трансфери по бюджета на общината (в лв.):</t>
  </si>
  <si>
    <t>в т.ч. за изпълнение на мерки във връзка с COVID-19 за субсидиране на пътнически превози по междуселищни автобусни линии в размер до:</t>
  </si>
  <si>
    <t>Общо отчетени разходи към 30.11.2021 г.</t>
  </si>
  <si>
    <t>Остатък</t>
  </si>
  <si>
    <t>параграф</t>
  </si>
  <si>
    <t>Наименование на параграф</t>
  </si>
  <si>
    <t>Община Велико Търново</t>
  </si>
  <si>
    <t xml:space="preserve"> Дирекция ОМДС</t>
  </si>
  <si>
    <t xml:space="preserve"> Дирекция ЦСУ</t>
  </si>
  <si>
    <t xml:space="preserve"> Дирекция  КТМД</t>
  </si>
  <si>
    <t>Кметство с. Ресен</t>
  </si>
  <si>
    <t xml:space="preserve">Кметство гр. Килифарево </t>
  </si>
  <si>
    <t>Кметсво гр. Дебелец</t>
  </si>
  <si>
    <t>ОП Зелени системи</t>
  </si>
  <si>
    <t>ОП Спортни имоти</t>
  </si>
  <si>
    <t xml:space="preserve">   ОП Кабелно радио</t>
  </si>
  <si>
    <t>ОП Реклама</t>
  </si>
  <si>
    <t xml:space="preserve">Младежки дом </t>
  </si>
  <si>
    <t>ДКС            "В. Левски"</t>
  </si>
  <si>
    <t>0100</t>
  </si>
  <si>
    <t>Заплати и възнаграждения за персонала, нает по трудови и служебни правоотношения</t>
  </si>
  <si>
    <t>0200</t>
  </si>
  <si>
    <t>Други възнаграждения и плащания за персонала</t>
  </si>
  <si>
    <t>0500</t>
  </si>
  <si>
    <t>Задължителни осигурителни вноски от работодатели</t>
  </si>
  <si>
    <t>1000</t>
  </si>
  <si>
    <t>Издръжка</t>
  </si>
  <si>
    <t>1011</t>
  </si>
  <si>
    <t>Храна</t>
  </si>
  <si>
    <t>1012</t>
  </si>
  <si>
    <t>Медикаменти</t>
  </si>
  <si>
    <t>1013</t>
  </si>
  <si>
    <t>Постелен инвентар и облекло</t>
  </si>
  <si>
    <t>1015</t>
  </si>
  <si>
    <t>Материали</t>
  </si>
  <si>
    <t>1016</t>
  </si>
  <si>
    <t>Вода, горива и енергия</t>
  </si>
  <si>
    <t>1020</t>
  </si>
  <si>
    <t>Разходи за външни услуги</t>
  </si>
  <si>
    <t>Разходи</t>
  </si>
  <si>
    <t>5200</t>
  </si>
  <si>
    <t>Придобиване на дълготрайни материални активи</t>
  </si>
  <si>
    <t>Капиталови разходи</t>
  </si>
  <si>
    <t>Всичко разходи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</si>
</sst>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MS Sans Serif"/>
      <family val="2"/>
      <charset val="204"/>
    </font>
    <font>
      <b/>
      <sz val="9"/>
      <color indexed="81"/>
      <name val="Segoe UI"/>
      <family val="2"/>
      <charset val="204"/>
    </font>
    <font>
      <sz val="9"/>
      <color indexed="81"/>
      <name val="Segoe UI"/>
      <family val="2"/>
      <charset val="204"/>
    </font>
    <font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color rgb="FF000099"/>
      <name val="Times New Roman Cyr"/>
      <family val="1"/>
      <charset val="204"/>
    </font>
    <font>
      <sz val="11"/>
      <name val="Calibri"/>
      <family val="2"/>
      <scheme val="minor"/>
    </font>
    <font>
      <b/>
      <i/>
      <sz val="18"/>
      <color rgb="FF000099"/>
      <name val="Times New Roman Cyr"/>
      <charset val="204"/>
    </font>
    <font>
      <b/>
      <sz val="12"/>
      <name val="Times New Roman Cyr"/>
      <family val="1"/>
      <charset val="204"/>
    </font>
    <font>
      <sz val="18"/>
      <color theme="1"/>
      <name val="Times New Roman"/>
      <family val="1"/>
      <charset val="204"/>
    </font>
    <font>
      <sz val="11"/>
      <color indexed="8"/>
      <name val="Calibri"/>
      <family val="2"/>
      <charset val="1"/>
    </font>
    <font>
      <b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name val="Times New Roman CYR"/>
      <charset val="204"/>
    </font>
    <font>
      <sz val="11"/>
      <color indexed="8"/>
      <name val="Calibri"/>
      <family val="2"/>
      <charset val="204"/>
    </font>
    <font>
      <i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7" fillId="0" borderId="0"/>
    <xf numFmtId="9" fontId="31" fillId="0" borderId="0" applyFont="0" applyFill="0" applyBorder="0" applyAlignment="0" applyProtection="0"/>
  </cellStyleXfs>
  <cellXfs count="184">
    <xf numFmtId="0" fontId="0" fillId="0" borderId="0" xfId="0"/>
    <xf numFmtId="0" fontId="2" fillId="0" borderId="0" xfId="0" applyFont="1" applyFill="1"/>
    <xf numFmtId="0" fontId="4" fillId="0" borderId="0" xfId="0" applyFont="1" applyFill="1"/>
    <xf numFmtId="0" fontId="4" fillId="0" borderId="0" xfId="1" applyFont="1" applyFill="1" applyAlignment="1"/>
    <xf numFmtId="0" fontId="4" fillId="0" borderId="0" xfId="0" applyFont="1" applyFill="1" applyAlignment="1">
      <alignment wrapText="1"/>
    </xf>
    <xf numFmtId="0" fontId="10" fillId="0" borderId="0" xfId="0" applyFont="1" applyFill="1"/>
    <xf numFmtId="0" fontId="4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4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4" fillId="0" borderId="0" xfId="3" applyFont="1" applyFill="1" applyAlignment="1">
      <alignment wrapText="1"/>
    </xf>
    <xf numFmtId="0" fontId="4" fillId="0" borderId="0" xfId="3" applyFont="1" applyFill="1"/>
    <xf numFmtId="0" fontId="11" fillId="0" borderId="0" xfId="3" applyFont="1" applyFill="1"/>
    <xf numFmtId="0" fontId="12" fillId="0" borderId="0" xfId="3" applyFont="1" applyFill="1" applyAlignment="1">
      <alignment horizontal="right"/>
    </xf>
    <xf numFmtId="0" fontId="2" fillId="0" borderId="0" xfId="3" applyFont="1" applyFill="1"/>
    <xf numFmtId="0" fontId="2" fillId="0" borderId="0" xfId="3" applyFont="1" applyFill="1" applyAlignment="1">
      <alignment horizontal="centerContinuous"/>
    </xf>
    <xf numFmtId="0" fontId="2" fillId="0" borderId="0" xfId="3" applyNumberFormat="1" applyFont="1" applyFill="1" applyAlignment="1">
      <alignment horizontal="centerContinuous"/>
    </xf>
    <xf numFmtId="0" fontId="2" fillId="0" borderId="5" xfId="2" applyFont="1" applyFill="1" applyBorder="1" applyAlignment="1">
      <alignment horizontal="center" vertical="center"/>
    </xf>
    <xf numFmtId="0" fontId="2" fillId="0" borderId="5" xfId="3" applyFont="1" applyFill="1" applyBorder="1" applyAlignment="1">
      <alignment horizontal="center" wrapText="1"/>
    </xf>
    <xf numFmtId="3" fontId="2" fillId="0" borderId="5" xfId="3" applyNumberFormat="1" applyFont="1" applyFill="1" applyBorder="1" applyAlignment="1">
      <alignment horizontal="center" wrapText="1"/>
    </xf>
    <xf numFmtId="0" fontId="4" fillId="0" borderId="0" xfId="3" applyFont="1" applyFill="1" applyBorder="1" applyAlignment="1">
      <alignment wrapText="1"/>
    </xf>
    <xf numFmtId="0" fontId="2" fillId="0" borderId="6" xfId="2" applyFont="1" applyFill="1" applyBorder="1" applyAlignment="1">
      <alignment horizontal="center" vertical="center"/>
    </xf>
    <xf numFmtId="0" fontId="2" fillId="0" borderId="6" xfId="3" applyFont="1" applyFill="1" applyBorder="1" applyAlignment="1">
      <alignment horizontal="center" wrapText="1"/>
    </xf>
    <xf numFmtId="3" fontId="2" fillId="0" borderId="6" xfId="4" applyNumberFormat="1" applyFont="1" applyFill="1" applyBorder="1" applyAlignment="1">
      <alignment horizontal="center" wrapText="1"/>
    </xf>
    <xf numFmtId="3" fontId="2" fillId="0" borderId="6" xfId="4" applyNumberFormat="1" applyFont="1" applyFill="1" applyBorder="1"/>
    <xf numFmtId="0" fontId="2" fillId="0" borderId="0" xfId="3" applyFont="1" applyFill="1" applyBorder="1"/>
    <xf numFmtId="0" fontId="2" fillId="0" borderId="5" xfId="4" applyFont="1" applyFill="1" applyBorder="1" applyAlignment="1">
      <alignment wrapText="1"/>
    </xf>
    <xf numFmtId="3" fontId="2" fillId="0" borderId="5" xfId="4" applyNumberFormat="1" applyFont="1" applyFill="1" applyBorder="1"/>
    <xf numFmtId="0" fontId="4" fillId="0" borderId="0" xfId="3" applyFont="1" applyFill="1" applyBorder="1"/>
    <xf numFmtId="3" fontId="2" fillId="0" borderId="5" xfId="4" applyNumberFormat="1" applyFont="1" applyFill="1" applyBorder="1" applyAlignment="1"/>
    <xf numFmtId="0" fontId="4" fillId="0" borderId="5" xfId="3" applyFont="1" applyFill="1" applyBorder="1" applyAlignment="1">
      <alignment wrapText="1"/>
    </xf>
    <xf numFmtId="3" fontId="4" fillId="0" borderId="5" xfId="4" applyNumberFormat="1" applyFont="1" applyFill="1" applyBorder="1" applyAlignment="1"/>
    <xf numFmtId="0" fontId="2" fillId="0" borderId="5" xfId="3" applyFont="1" applyFill="1" applyBorder="1" applyAlignment="1">
      <alignment wrapText="1"/>
    </xf>
    <xf numFmtId="0" fontId="4" fillId="0" borderId="5" xfId="4" applyFont="1" applyFill="1" applyBorder="1" applyAlignment="1">
      <alignment wrapText="1"/>
    </xf>
    <xf numFmtId="3" fontId="4" fillId="0" borderId="5" xfId="4" applyNumberFormat="1" applyFont="1" applyFill="1" applyBorder="1"/>
    <xf numFmtId="0" fontId="4" fillId="0" borderId="5" xfId="2" applyFont="1" applyFill="1" applyBorder="1" applyAlignment="1">
      <alignment horizontal="left" wrapText="1"/>
    </xf>
    <xf numFmtId="0" fontId="4" fillId="0" borderId="5" xfId="2" applyFont="1" applyFill="1" applyBorder="1" applyAlignment="1">
      <alignment wrapText="1"/>
    </xf>
    <xf numFmtId="3" fontId="4" fillId="0" borderId="5" xfId="4" applyNumberFormat="1" applyFont="1" applyFill="1" applyBorder="1" applyAlignment="1">
      <alignment horizontal="right"/>
    </xf>
    <xf numFmtId="0" fontId="4" fillId="0" borderId="5" xfId="5" applyFont="1" applyFill="1" applyBorder="1" applyAlignment="1">
      <alignment vertical="center" wrapText="1"/>
    </xf>
    <xf numFmtId="0" fontId="4" fillId="0" borderId="2" xfId="5" applyFont="1" applyFill="1" applyBorder="1" applyAlignment="1">
      <alignment vertical="center" wrapText="1"/>
    </xf>
    <xf numFmtId="0" fontId="2" fillId="0" borderId="5" xfId="4" applyFont="1" applyFill="1" applyBorder="1" applyAlignment="1">
      <alignment horizontal="left" wrapText="1"/>
    </xf>
    <xf numFmtId="0" fontId="4" fillId="0" borderId="5" xfId="4" applyFont="1" applyFill="1" applyBorder="1" applyAlignment="1">
      <alignment horizontal="left" wrapText="1"/>
    </xf>
    <xf numFmtId="0" fontId="4" fillId="0" borderId="5" xfId="0" applyFont="1" applyFill="1" applyBorder="1" applyAlignment="1">
      <alignment wrapText="1"/>
    </xf>
    <xf numFmtId="0" fontId="7" fillId="0" borderId="5" xfId="4" applyFont="1" applyFill="1" applyBorder="1" applyAlignment="1">
      <alignment wrapText="1"/>
    </xf>
    <xf numFmtId="3" fontId="7" fillId="0" borderId="5" xfId="4" applyNumberFormat="1" applyFont="1" applyFill="1" applyBorder="1"/>
    <xf numFmtId="0" fontId="7" fillId="0" borderId="0" xfId="3" applyFont="1" applyFill="1" applyBorder="1"/>
    <xf numFmtId="0" fontId="9" fillId="0" borderId="0" xfId="3" applyFont="1" applyFill="1" applyBorder="1"/>
    <xf numFmtId="0" fontId="7" fillId="0" borderId="5" xfId="3" applyFont="1" applyFill="1" applyBorder="1" applyAlignment="1">
      <alignment wrapText="1"/>
    </xf>
    <xf numFmtId="3" fontId="4" fillId="0" borderId="5" xfId="0" applyNumberFormat="1" applyFont="1" applyFill="1" applyBorder="1"/>
    <xf numFmtId="0" fontId="2" fillId="0" borderId="5" xfId="2" applyFont="1" applyFill="1" applyBorder="1" applyAlignment="1">
      <alignment wrapText="1"/>
    </xf>
    <xf numFmtId="0" fontId="4" fillId="0" borderId="0" xfId="5" applyFont="1" applyFill="1" applyBorder="1" applyAlignment="1">
      <alignment vertical="center" wrapText="1"/>
    </xf>
    <xf numFmtId="0" fontId="4" fillId="0" borderId="0" xfId="6" applyFont="1" applyFill="1" applyAlignment="1"/>
    <xf numFmtId="0" fontId="2" fillId="0" borderId="0" xfId="6" applyFont="1" applyFill="1" applyBorder="1" applyAlignment="1"/>
    <xf numFmtId="0" fontId="10" fillId="0" borderId="0" xfId="3" applyFont="1" applyFill="1" applyAlignment="1"/>
    <xf numFmtId="0" fontId="4" fillId="0" borderId="0" xfId="3" applyFont="1" applyFill="1" applyAlignment="1"/>
    <xf numFmtId="0" fontId="2" fillId="0" borderId="0" xfId="7" applyFont="1" applyFill="1" applyAlignment="1" applyProtection="1">
      <alignment vertical="top"/>
      <protection locked="0"/>
    </xf>
    <xf numFmtId="0" fontId="4" fillId="0" borderId="0" xfId="7" applyFont="1" applyFill="1" applyAlignment="1" applyProtection="1">
      <alignment vertical="top" wrapText="1"/>
      <protection locked="0"/>
    </xf>
    <xf numFmtId="0" fontId="4" fillId="0" borderId="0" xfId="7" applyFont="1" applyFill="1" applyAlignment="1" applyProtection="1">
      <alignment wrapText="1"/>
      <protection locked="0"/>
    </xf>
    <xf numFmtId="0" fontId="2" fillId="0" borderId="0" xfId="7" applyFont="1" applyFill="1" applyAlignment="1" applyProtection="1">
      <alignment horizontal="right"/>
      <protection locked="0"/>
    </xf>
    <xf numFmtId="0" fontId="4" fillId="0" borderId="0" xfId="7" applyFont="1" applyFill="1" applyAlignment="1">
      <alignment vertical="top"/>
    </xf>
    <xf numFmtId="0" fontId="4" fillId="0" borderId="0" xfId="7" applyFont="1" applyFill="1" applyAlignment="1" applyProtection="1">
      <protection locked="0"/>
    </xf>
    <xf numFmtId="0" fontId="4" fillId="0" borderId="0" xfId="7" applyFont="1" applyFill="1" applyAlignment="1" applyProtection="1">
      <alignment vertical="top"/>
      <protection locked="0"/>
    </xf>
    <xf numFmtId="0" fontId="4" fillId="0" borderId="3" xfId="7" applyFont="1" applyFill="1" applyBorder="1" applyAlignment="1" applyProtection="1">
      <alignment vertical="top"/>
      <protection locked="0"/>
    </xf>
    <xf numFmtId="0" fontId="4" fillId="0" borderId="1" xfId="7" applyFont="1" applyFill="1" applyBorder="1" applyAlignment="1" applyProtection="1">
      <alignment vertical="top" wrapText="1"/>
      <protection locked="0"/>
    </xf>
    <xf numFmtId="0" fontId="4" fillId="0" borderId="1" xfId="7" applyFont="1" applyFill="1" applyBorder="1" applyAlignment="1" applyProtection="1">
      <alignment wrapText="1"/>
      <protection locked="0"/>
    </xf>
    <xf numFmtId="0" fontId="4" fillId="0" borderId="4" xfId="7" applyFont="1" applyFill="1" applyBorder="1" applyAlignment="1" applyProtection="1">
      <alignment horizontal="right"/>
      <protection locked="0"/>
    </xf>
    <xf numFmtId="0" fontId="2" fillId="0" borderId="5" xfId="7" applyFont="1" applyFill="1" applyBorder="1" applyAlignment="1" applyProtection="1">
      <alignment horizontal="center" wrapText="1"/>
      <protection locked="0"/>
    </xf>
    <xf numFmtId="0" fontId="4" fillId="0" borderId="5" xfId="7" applyFont="1" applyFill="1" applyBorder="1" applyAlignment="1" applyProtection="1">
      <alignment horizontal="centerContinuous" wrapText="1"/>
      <protection locked="0"/>
    </xf>
    <xf numFmtId="0" fontId="4" fillId="0" borderId="5" xfId="7" applyFont="1" applyFill="1" applyBorder="1" applyAlignment="1" applyProtection="1">
      <alignment horizontal="centerContinuous" vertical="top" wrapText="1"/>
      <protection locked="0"/>
    </xf>
    <xf numFmtId="3" fontId="9" fillId="0" borderId="5" xfId="7" applyNumberFormat="1" applyFont="1" applyFill="1" applyBorder="1" applyAlignment="1" applyProtection="1">
      <alignment wrapText="1"/>
      <protection locked="0"/>
    </xf>
    <xf numFmtId="0" fontId="2" fillId="0" borderId="0" xfId="7" applyFont="1" applyFill="1" applyAlignment="1">
      <alignment vertical="top"/>
    </xf>
    <xf numFmtId="0" fontId="6" fillId="0" borderId="0" xfId="7" applyFont="1" applyFill="1" applyAlignment="1">
      <alignment vertical="top"/>
    </xf>
    <xf numFmtId="0" fontId="7" fillId="0" borderId="5" xfId="7" applyFont="1" applyFill="1" applyBorder="1" applyAlignment="1" applyProtection="1">
      <alignment vertical="top" wrapText="1"/>
      <protection locked="0"/>
    </xf>
    <xf numFmtId="0" fontId="4" fillId="0" borderId="5" xfId="2" applyFont="1" applyFill="1" applyBorder="1" applyAlignment="1">
      <alignment vertical="top" wrapText="1"/>
    </xf>
    <xf numFmtId="3" fontId="7" fillId="0" borderId="5" xfId="7" applyNumberFormat="1" applyFont="1" applyFill="1" applyBorder="1" applyAlignment="1" applyProtection="1">
      <alignment wrapText="1"/>
      <protection locked="0"/>
    </xf>
    <xf numFmtId="0" fontId="5" fillId="0" borderId="0" xfId="7" applyFont="1" applyFill="1" applyAlignment="1">
      <alignment vertical="top"/>
    </xf>
    <xf numFmtId="0" fontId="4" fillId="0" borderId="5" xfId="7" applyFont="1" applyFill="1" applyBorder="1" applyAlignment="1" applyProtection="1">
      <alignment vertical="top" wrapText="1"/>
      <protection locked="0"/>
    </xf>
    <xf numFmtId="3" fontId="9" fillId="0" borderId="5" xfId="7" applyNumberFormat="1" applyFont="1" applyFill="1" applyBorder="1" applyAlignment="1" applyProtection="1"/>
    <xf numFmtId="3" fontId="4" fillId="0" borderId="5" xfId="7" applyNumberFormat="1" applyFont="1" applyFill="1" applyBorder="1" applyAlignment="1" applyProtection="1">
      <alignment wrapText="1"/>
      <protection locked="0"/>
    </xf>
    <xf numFmtId="3" fontId="2" fillId="0" borderId="5" xfId="7" applyNumberFormat="1" applyFont="1" applyFill="1" applyBorder="1" applyAlignment="1" applyProtection="1">
      <alignment wrapText="1"/>
      <protection locked="0"/>
    </xf>
    <xf numFmtId="3" fontId="2" fillId="0" borderId="5" xfId="7" applyNumberFormat="1" applyFont="1" applyFill="1" applyBorder="1" applyAlignment="1" applyProtection="1"/>
    <xf numFmtId="0" fontId="4" fillId="0" borderId="0" xfId="1" applyFont="1" applyFill="1" applyBorder="1" applyAlignment="1">
      <alignment vertical="top"/>
    </xf>
    <xf numFmtId="0" fontId="4" fillId="0" borderId="0" xfId="1" applyFont="1" applyFill="1" applyBorder="1" applyAlignment="1"/>
    <xf numFmtId="0" fontId="2" fillId="0" borderId="0" xfId="1" applyNumberFormat="1" applyFont="1" applyFill="1" applyBorder="1" applyAlignment="1">
      <alignment vertical="top"/>
    </xf>
    <xf numFmtId="0" fontId="4" fillId="0" borderId="0" xfId="1" applyFont="1" applyFill="1" applyAlignment="1">
      <alignment vertical="top"/>
    </xf>
    <xf numFmtId="0" fontId="10" fillId="0" borderId="0" xfId="7" applyFont="1" applyFill="1" applyAlignment="1">
      <alignment vertical="top"/>
    </xf>
    <xf numFmtId="0" fontId="4" fillId="0" borderId="0" xfId="1" applyNumberFormat="1" applyFont="1" applyFill="1" applyBorder="1" applyAlignment="1">
      <alignment vertical="top"/>
    </xf>
    <xf numFmtId="0" fontId="4" fillId="0" borderId="0" xfId="7" applyFont="1" applyFill="1" applyAlignment="1"/>
    <xf numFmtId="0" fontId="10" fillId="0" borderId="0" xfId="7" applyFont="1" applyFill="1" applyAlignment="1"/>
    <xf numFmtId="0" fontId="4" fillId="0" borderId="0" xfId="1" applyFont="1" applyFill="1" applyBorder="1" applyAlignment="1">
      <alignment horizontal="justify" vertical="top" wrapText="1"/>
    </xf>
    <xf numFmtId="0" fontId="4" fillId="0" borderId="0" xfId="1" applyFont="1" applyFill="1" applyBorder="1" applyAlignment="1">
      <alignment horizontal="justify" wrapText="1"/>
    </xf>
    <xf numFmtId="0" fontId="4" fillId="0" borderId="0" xfId="7" applyFont="1" applyFill="1" applyBorder="1" applyAlignment="1">
      <alignment horizontal="center" vertical="top" wrapText="1"/>
    </xf>
    <xf numFmtId="0" fontId="4" fillId="0" borderId="0" xfId="7" applyFont="1" applyFill="1" applyBorder="1" applyAlignment="1">
      <alignment horizontal="justify" vertical="top" wrapText="1"/>
    </xf>
    <xf numFmtId="0" fontId="4" fillId="0" borderId="0" xfId="1" applyFont="1" applyFill="1" applyBorder="1" applyAlignment="1">
      <alignment vertical="top" wrapText="1"/>
    </xf>
    <xf numFmtId="0" fontId="4" fillId="0" borderId="0" xfId="1" applyFont="1" applyFill="1" applyBorder="1" applyAlignment="1">
      <alignment wrapText="1"/>
    </xf>
    <xf numFmtId="0" fontId="4" fillId="0" borderId="0" xfId="7" applyFont="1" applyFill="1" applyBorder="1" applyAlignment="1">
      <alignment vertical="top" wrapText="1"/>
    </xf>
    <xf numFmtId="0" fontId="10" fillId="0" borderId="0" xfId="1" applyFont="1" applyFill="1" applyBorder="1" applyAlignment="1">
      <alignment vertical="top" wrapText="1"/>
    </xf>
    <xf numFmtId="0" fontId="10" fillId="0" borderId="0" xfId="1" applyFont="1" applyFill="1" applyBorder="1" applyAlignment="1">
      <alignment wrapText="1"/>
    </xf>
    <xf numFmtId="0" fontId="10" fillId="0" borderId="0" xfId="7" applyFont="1" applyFill="1" applyBorder="1" applyAlignment="1">
      <alignment vertical="top" wrapText="1"/>
    </xf>
    <xf numFmtId="0" fontId="10" fillId="0" borderId="0" xfId="1" applyFont="1" applyFill="1" applyAlignment="1">
      <alignment vertical="top"/>
    </xf>
    <xf numFmtId="0" fontId="10" fillId="0" borderId="0" xfId="7" applyFont="1" applyFill="1" applyBorder="1" applyAlignment="1">
      <alignment wrapText="1"/>
    </xf>
    <xf numFmtId="0" fontId="4" fillId="0" borderId="0" xfId="0" applyFont="1" applyFill="1" applyAlignment="1">
      <alignment vertical="top"/>
    </xf>
    <xf numFmtId="0" fontId="10" fillId="0" borderId="0" xfId="1" applyFont="1" applyFill="1" applyBorder="1" applyAlignment="1">
      <alignment vertical="top"/>
    </xf>
    <xf numFmtId="0" fontId="10" fillId="0" borderId="0" xfId="1" applyFont="1" applyFill="1" applyBorder="1" applyAlignment="1"/>
    <xf numFmtId="0" fontId="10" fillId="0" borderId="0" xfId="7" applyFont="1" applyFill="1" applyBorder="1" applyAlignment="1">
      <alignment vertical="top"/>
    </xf>
    <xf numFmtId="0" fontId="10" fillId="0" borderId="0" xfId="0" applyFont="1" applyFill="1" applyAlignment="1">
      <alignment vertical="top"/>
    </xf>
    <xf numFmtId="0" fontId="16" fillId="0" borderId="0" xfId="8" applyFont="1" applyFill="1"/>
    <xf numFmtId="0" fontId="17" fillId="0" borderId="0" xfId="8" applyFont="1" applyFill="1"/>
    <xf numFmtId="0" fontId="18" fillId="0" borderId="0" xfId="8" applyFont="1" applyFill="1"/>
    <xf numFmtId="0" fontId="19" fillId="0" borderId="0" xfId="8" applyFont="1" applyFill="1"/>
    <xf numFmtId="0" fontId="20" fillId="0" borderId="0" xfId="8" applyFont="1" applyFill="1"/>
    <xf numFmtId="0" fontId="21" fillId="0" borderId="0" xfId="8" applyFont="1" applyFill="1"/>
    <xf numFmtId="0" fontId="23" fillId="0" borderId="0" xfId="0" applyFont="1"/>
    <xf numFmtId="0" fontId="2" fillId="0" borderId="0" xfId="8" applyFont="1" applyFill="1" applyAlignment="1">
      <alignment horizontal="centerContinuous"/>
    </xf>
    <xf numFmtId="0" fontId="4" fillId="0" borderId="0" xfId="8" applyFont="1" applyFill="1"/>
    <xf numFmtId="0" fontId="5" fillId="0" borderId="0" xfId="8" applyFont="1" applyFill="1"/>
    <xf numFmtId="0" fontId="23" fillId="0" borderId="0" xfId="0" applyFont="1" applyBorder="1"/>
    <xf numFmtId="0" fontId="2" fillId="0" borderId="0" xfId="8" applyFont="1" applyFill="1"/>
    <xf numFmtId="0" fontId="25" fillId="0" borderId="0" xfId="9" applyFont="1" applyFill="1" applyBorder="1" applyAlignment="1" applyProtection="1">
      <alignment horizontal="center" vertical="center" wrapText="1"/>
    </xf>
    <xf numFmtId="3" fontId="4" fillId="0" borderId="0" xfId="8" applyNumberFormat="1" applyFont="1" applyFill="1"/>
    <xf numFmtId="49" fontId="9" fillId="2" borderId="5" xfId="8" applyNumberFormat="1" applyFont="1" applyFill="1" applyBorder="1" applyAlignment="1">
      <alignment vertical="center" wrapText="1"/>
    </xf>
    <xf numFmtId="49" fontId="2" fillId="2" borderId="3" xfId="8" applyNumberFormat="1" applyFont="1" applyFill="1" applyBorder="1" applyAlignment="1">
      <alignment vertical="center" wrapText="1"/>
    </xf>
    <xf numFmtId="0" fontId="2" fillId="2" borderId="3" xfId="8" applyFont="1" applyFill="1" applyBorder="1" applyAlignment="1">
      <alignment vertical="center" wrapText="1"/>
    </xf>
    <xf numFmtId="0" fontId="2" fillId="2" borderId="5" xfId="8" applyFont="1" applyFill="1" applyBorder="1" applyAlignment="1">
      <alignment vertical="center" wrapText="1"/>
    </xf>
    <xf numFmtId="0" fontId="6" fillId="0" borderId="0" xfId="8" applyFont="1" applyFill="1" applyAlignment="1">
      <alignment horizontal="center"/>
    </xf>
    <xf numFmtId="0" fontId="28" fillId="0" borderId="5" xfId="10" applyFont="1" applyFill="1" applyBorder="1" applyAlignment="1">
      <alignment horizontal="left"/>
    </xf>
    <xf numFmtId="0" fontId="29" fillId="0" borderId="5" xfId="10" applyFont="1" applyFill="1" applyBorder="1" applyAlignment="1">
      <alignment horizontal="left" wrapText="1"/>
    </xf>
    <xf numFmtId="3" fontId="19" fillId="0" borderId="5" xfId="10" applyNumberFormat="1" applyFont="1" applyFill="1" applyBorder="1" applyAlignment="1">
      <alignment horizontal="right"/>
    </xf>
    <xf numFmtId="49" fontId="29" fillId="0" borderId="5" xfId="10" applyNumberFormat="1" applyFont="1" applyFill="1" applyBorder="1" applyAlignment="1">
      <alignment horizontal="left" wrapText="1"/>
    </xf>
    <xf numFmtId="3" fontId="28" fillId="0" borderId="5" xfId="10" applyNumberFormat="1" applyFont="1" applyFill="1" applyBorder="1" applyAlignment="1">
      <alignment horizontal="right"/>
    </xf>
    <xf numFmtId="0" fontId="29" fillId="0" borderId="5" xfId="10" applyFont="1" applyFill="1" applyBorder="1" applyAlignment="1">
      <alignment horizontal="left"/>
    </xf>
    <xf numFmtId="3" fontId="28" fillId="2" borderId="5" xfId="10" applyNumberFormat="1" applyFont="1" applyFill="1" applyBorder="1" applyAlignment="1">
      <alignment horizontal="right"/>
    </xf>
    <xf numFmtId="3" fontId="19" fillId="2" borderId="5" xfId="10" applyNumberFormat="1" applyFont="1" applyFill="1" applyBorder="1" applyAlignment="1">
      <alignment horizontal="right"/>
    </xf>
    <xf numFmtId="0" fontId="17" fillId="0" borderId="5" xfId="10" applyFont="1" applyFill="1" applyBorder="1" applyAlignment="1">
      <alignment horizontal="left"/>
    </xf>
    <xf numFmtId="3" fontId="17" fillId="0" borderId="5" xfId="10" applyNumberFormat="1" applyFont="1" applyFill="1" applyBorder="1" applyAlignment="1">
      <alignment horizontal="right"/>
    </xf>
    <xf numFmtId="3" fontId="18" fillId="0" borderId="5" xfId="10" applyNumberFormat="1" applyFont="1" applyFill="1" applyBorder="1" applyAlignment="1">
      <alignment horizontal="right"/>
    </xf>
    <xf numFmtId="3" fontId="30" fillId="0" borderId="5" xfId="10" applyNumberFormat="1" applyFont="1" applyFill="1" applyBorder="1" applyAlignment="1" applyProtection="1">
      <alignment horizontal="right"/>
    </xf>
    <xf numFmtId="49" fontId="17" fillId="0" borderId="5" xfId="10" applyNumberFormat="1" applyFont="1" applyFill="1" applyBorder="1" applyAlignment="1">
      <alignment horizontal="left" wrapText="1"/>
    </xf>
    <xf numFmtId="3" fontId="30" fillId="0" borderId="8" xfId="9" applyNumberFormat="1" applyFont="1" applyFill="1" applyBorder="1" applyAlignment="1" applyProtection="1">
      <alignment horizontal="right"/>
      <protection locked="0"/>
    </xf>
    <xf numFmtId="0" fontId="17" fillId="0" borderId="5" xfId="10" applyFont="1" applyFill="1" applyBorder="1" applyAlignment="1">
      <alignment horizontal="left" wrapText="1"/>
    </xf>
    <xf numFmtId="0" fontId="28" fillId="0" borderId="5" xfId="8" applyFont="1" applyFill="1" applyBorder="1" applyAlignment="1"/>
    <xf numFmtId="3" fontId="28" fillId="4" borderId="5" xfId="10" applyNumberFormat="1" applyFont="1" applyFill="1" applyBorder="1" applyAlignment="1">
      <alignment horizontal="center"/>
    </xf>
    <xf numFmtId="0" fontId="28" fillId="0" borderId="5" xfId="8" applyFont="1" applyFill="1" applyBorder="1" applyAlignment="1">
      <alignment wrapText="1"/>
    </xf>
    <xf numFmtId="3" fontId="28" fillId="4" borderId="5" xfId="8" applyNumberFormat="1" applyFont="1" applyFill="1" applyBorder="1" applyAlignment="1">
      <alignment horizontal="center"/>
    </xf>
    <xf numFmtId="49" fontId="28" fillId="0" borderId="5" xfId="11" applyNumberFormat="1" applyFont="1" applyFill="1" applyBorder="1" applyAlignment="1">
      <alignment wrapText="1"/>
    </xf>
    <xf numFmtId="3" fontId="28" fillId="2" borderId="5" xfId="8" applyNumberFormat="1" applyFont="1" applyFill="1" applyBorder="1" applyAlignment="1">
      <alignment horizontal="right"/>
    </xf>
    <xf numFmtId="3" fontId="19" fillId="2" borderId="5" xfId="8" applyNumberFormat="1" applyFont="1" applyFill="1" applyBorder="1" applyAlignment="1">
      <alignment horizontal="right"/>
    </xf>
    <xf numFmtId="0" fontId="11" fillId="0" borderId="0" xfId="0" applyFont="1" applyFill="1"/>
    <xf numFmtId="0" fontId="11" fillId="0" borderId="0" xfId="0" applyNumberFormat="1" applyFont="1" applyFill="1" applyAlignment="1"/>
    <xf numFmtId="0" fontId="12" fillId="0" borderId="0" xfId="0" applyFont="1" applyFill="1"/>
    <xf numFmtId="0" fontId="12" fillId="0" borderId="0" xfId="0" applyNumberFormat="1" applyFont="1" applyFill="1" applyAlignment="1"/>
    <xf numFmtId="0" fontId="32" fillId="0" borderId="0" xfId="0" applyFont="1" applyFill="1"/>
    <xf numFmtId="0" fontId="4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7" fillId="0" borderId="0" xfId="8" applyFont="1" applyFill="1"/>
    <xf numFmtId="0" fontId="2" fillId="0" borderId="5" xfId="7" applyFont="1" applyFill="1" applyBorder="1" applyAlignment="1" applyProtection="1">
      <alignment vertical="top" wrapText="1"/>
      <protection locked="0"/>
    </xf>
    <xf numFmtId="0" fontId="9" fillId="5" borderId="5" xfId="2" applyFont="1" applyFill="1" applyBorder="1" applyAlignment="1" applyProtection="1">
      <alignment vertical="top" wrapText="1"/>
      <protection locked="0"/>
    </xf>
    <xf numFmtId="0" fontId="7" fillId="5" borderId="5" xfId="2" applyFont="1" applyFill="1" applyBorder="1" applyAlignment="1" applyProtection="1">
      <alignment vertical="top" wrapText="1"/>
      <protection locked="0"/>
    </xf>
    <xf numFmtId="0" fontId="6" fillId="5" borderId="5" xfId="2" applyFont="1" applyFill="1" applyBorder="1" applyAlignment="1" applyProtection="1">
      <alignment vertical="top" wrapText="1"/>
      <protection locked="0"/>
    </xf>
    <xf numFmtId="0" fontId="5" fillId="5" borderId="5" xfId="2" applyFont="1" applyFill="1" applyBorder="1" applyAlignment="1" applyProtection="1">
      <alignment vertical="top" wrapText="1"/>
      <protection locked="0"/>
    </xf>
    <xf numFmtId="0" fontId="2" fillId="5" borderId="5" xfId="2" applyFont="1" applyFill="1" applyBorder="1" applyAlignment="1" applyProtection="1">
      <alignment vertical="top" wrapText="1"/>
      <protection locked="0"/>
    </xf>
    <xf numFmtId="0" fontId="4" fillId="5" borderId="5" xfId="2" applyFont="1" applyFill="1" applyBorder="1" applyAlignment="1" applyProtection="1">
      <alignment vertical="top" wrapText="1"/>
      <protection locked="0"/>
    </xf>
    <xf numFmtId="0" fontId="2" fillId="0" borderId="3" xfId="7" applyFont="1" applyFill="1" applyBorder="1" applyAlignment="1" applyProtection="1">
      <alignment horizontal="left" vertical="top" wrapText="1"/>
      <protection locked="0"/>
    </xf>
    <xf numFmtId="0" fontId="8" fillId="0" borderId="4" xfId="7" applyFont="1" applyFill="1" applyBorder="1" applyAlignment="1" applyProtection="1">
      <alignment horizontal="left" vertical="top" wrapText="1"/>
      <protection locked="0"/>
    </xf>
    <xf numFmtId="0" fontId="2" fillId="0" borderId="0" xfId="7" applyFont="1" applyFill="1" applyAlignment="1" applyProtection="1">
      <alignment horizontal="center"/>
      <protection locked="0"/>
    </xf>
    <xf numFmtId="0" fontId="2" fillId="0" borderId="3" xfId="7" applyFont="1" applyFill="1" applyBorder="1" applyAlignment="1" applyProtection="1">
      <alignment horizontal="center" vertical="top" wrapText="1"/>
      <protection locked="0"/>
    </xf>
    <xf numFmtId="0" fontId="2" fillId="0" borderId="1" xfId="7" applyFont="1" applyFill="1" applyBorder="1" applyAlignment="1" applyProtection="1">
      <alignment horizontal="center" vertical="top" wrapText="1"/>
      <protection locked="0"/>
    </xf>
    <xf numFmtId="0" fontId="2" fillId="0" borderId="4" xfId="7" applyFont="1" applyFill="1" applyBorder="1" applyAlignment="1" applyProtection="1">
      <alignment horizontal="center" vertical="top" wrapText="1"/>
      <protection locked="0"/>
    </xf>
    <xf numFmtId="0" fontId="2" fillId="0" borderId="5" xfId="7" applyFont="1" applyFill="1" applyBorder="1" applyAlignment="1" applyProtection="1">
      <alignment horizontal="center" vertical="top" wrapText="1"/>
      <protection locked="0"/>
    </xf>
    <xf numFmtId="0" fontId="4" fillId="0" borderId="7" xfId="7" applyFont="1" applyFill="1" applyBorder="1" applyAlignment="1" applyProtection="1">
      <alignment horizontal="center" wrapText="1"/>
      <protection locked="0"/>
    </xf>
    <xf numFmtId="0" fontId="4" fillId="0" borderId="6" xfId="7" applyFont="1" applyFill="1" applyBorder="1" applyAlignment="1" applyProtection="1">
      <alignment horizontal="center" wrapText="1"/>
      <protection locked="0"/>
    </xf>
    <xf numFmtId="3" fontId="26" fillId="0" borderId="3" xfId="8" applyNumberFormat="1" applyFont="1" applyFill="1" applyBorder="1" applyAlignment="1">
      <alignment horizontal="center"/>
    </xf>
    <xf numFmtId="3" fontId="26" fillId="0" borderId="4" xfId="8" applyNumberFormat="1" applyFont="1" applyFill="1" applyBorder="1" applyAlignment="1">
      <alignment horizontal="center"/>
    </xf>
    <xf numFmtId="0" fontId="26" fillId="0" borderId="5" xfId="8" applyFont="1" applyFill="1" applyBorder="1" applyAlignment="1">
      <alignment horizontal="center"/>
    </xf>
    <xf numFmtId="0" fontId="26" fillId="0" borderId="5" xfId="8" applyFont="1" applyFill="1" applyBorder="1" applyAlignment="1">
      <alignment horizontal="center" vertical="top"/>
    </xf>
    <xf numFmtId="3" fontId="26" fillId="0" borderId="5" xfId="8" applyNumberFormat="1" applyFont="1" applyFill="1" applyBorder="1" applyAlignment="1">
      <alignment horizontal="center"/>
    </xf>
    <xf numFmtId="0" fontId="26" fillId="0" borderId="5" xfId="8" applyFont="1" applyFill="1" applyBorder="1" applyAlignment="1">
      <alignment horizontal="center" wrapText="1"/>
    </xf>
    <xf numFmtId="0" fontId="22" fillId="3" borderId="3" xfId="9" applyFont="1" applyFill="1" applyBorder="1" applyAlignment="1" applyProtection="1">
      <alignment horizontal="center" vertical="center" wrapText="1"/>
    </xf>
    <xf numFmtId="0" fontId="22" fillId="3" borderId="1" xfId="9" applyFont="1" applyFill="1" applyBorder="1" applyAlignment="1" applyProtection="1">
      <alignment horizontal="center" vertical="center" wrapText="1"/>
    </xf>
    <xf numFmtId="0" fontId="22" fillId="3" borderId="4" xfId="9" applyFont="1" applyFill="1" applyBorder="1" applyAlignment="1" applyProtection="1">
      <alignment horizontal="center" vertical="center" wrapText="1"/>
    </xf>
    <xf numFmtId="0" fontId="22" fillId="3" borderId="5" xfId="9" applyFont="1" applyFill="1" applyBorder="1" applyAlignment="1" applyProtection="1">
      <alignment horizontal="center" vertical="center" wrapText="1"/>
    </xf>
    <xf numFmtId="3" fontId="24" fillId="3" borderId="3" xfId="9" applyNumberFormat="1" applyFont="1" applyFill="1" applyBorder="1" applyAlignment="1" applyProtection="1">
      <alignment horizontal="center" vertical="center"/>
      <protection locked="0"/>
    </xf>
    <xf numFmtId="3" fontId="24" fillId="3" borderId="4" xfId="9" applyNumberFormat="1" applyFont="1" applyFill="1" applyBorder="1" applyAlignment="1" applyProtection="1">
      <alignment horizontal="center" vertical="center"/>
      <protection locked="0"/>
    </xf>
    <xf numFmtId="3" fontId="24" fillId="3" borderId="5" xfId="9" applyNumberFormat="1" applyFont="1" applyFill="1" applyBorder="1" applyAlignment="1" applyProtection="1">
      <alignment horizontal="center" vertical="center"/>
      <protection locked="0"/>
    </xf>
  </cellXfs>
  <cellStyles count="12">
    <cellStyle name="Normal 2 2" xfId="10"/>
    <cellStyle name="Normal 2 3" xfId="9"/>
    <cellStyle name="Normal_sesiaI ot4et 2" xfId="1"/>
    <cellStyle name="Normal_Sheet1" xfId="5"/>
    <cellStyle name="Нормален" xfId="0" builtinId="0"/>
    <cellStyle name="Нормален 2" xfId="2"/>
    <cellStyle name="Нормален 3 2" xfId="6"/>
    <cellStyle name="Нормален 6" xfId="8"/>
    <cellStyle name="Нормален 7" xfId="7"/>
    <cellStyle name="Нормален_ИП-2011г-начална 2" xfId="3"/>
    <cellStyle name="Нормален_Лист1 2" xfId="4"/>
    <cellStyle name="Процент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9\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9\Pril20-Prognoza_2017_54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Sesija%20BUDGET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GL452"/>
  <sheetViews>
    <sheetView tabSelected="1" zoomScaleNormal="100" workbookViewId="0">
      <pane ySplit="8" topLeftCell="A304" activePane="bottomLeft" state="frozen"/>
      <selection activeCell="H139" sqref="H139"/>
      <selection pane="bottomLeft" activeCell="A309" sqref="A309"/>
    </sheetView>
  </sheetViews>
  <sheetFormatPr defaultColWidth="15.5703125" defaultRowHeight="15.75" x14ac:dyDescent="0.25"/>
  <cols>
    <col min="1" max="1" width="53.42578125" style="10" customWidth="1"/>
    <col min="2" max="3" width="11.28515625" style="11" customWidth="1"/>
    <col min="4" max="4" width="11" style="11" customWidth="1"/>
    <col min="5" max="7" width="10.28515625" style="11" customWidth="1"/>
    <col min="8" max="10" width="16" style="11" customWidth="1"/>
    <col min="11" max="13" width="12" style="11" customWidth="1"/>
    <col min="14" max="16" width="14.7109375" style="11" customWidth="1"/>
    <col min="17" max="19" width="10.85546875" style="11" customWidth="1"/>
    <col min="20" max="22" width="16.28515625" style="11" customWidth="1"/>
    <col min="23" max="23" width="12.85546875" style="11" customWidth="1"/>
    <col min="24" max="24" width="12.7109375" style="11" customWidth="1"/>
    <col min="25" max="25" width="13.140625" style="11" customWidth="1"/>
    <col min="26" max="26" width="12.7109375" style="11" customWidth="1"/>
    <col min="27" max="27" width="13.140625" style="11" customWidth="1"/>
    <col min="28" max="28" width="12.42578125" style="11" customWidth="1"/>
    <col min="29" max="169" width="29.28515625" style="11" customWidth="1"/>
    <col min="170" max="170" width="42.42578125" style="11" customWidth="1"/>
    <col min="171" max="173" width="12.42578125" style="11" customWidth="1"/>
    <col min="174" max="176" width="10.85546875" style="11" customWidth="1"/>
    <col min="177" max="179" width="14.5703125" style="11" bestFit="1" customWidth="1"/>
    <col min="180" max="182" width="11" style="11" customWidth="1"/>
    <col min="183" max="185" width="14.5703125" style="11" customWidth="1"/>
    <col min="186" max="188" width="15.28515625" style="11" customWidth="1"/>
    <col min="189" max="189" width="15.5703125" style="11"/>
    <col min="190" max="190" width="44.5703125" style="11" customWidth="1"/>
    <col min="191" max="191" width="13.85546875" style="11" customWidth="1"/>
    <col min="192" max="192" width="10.85546875" style="11" customWidth="1"/>
    <col min="193" max="193" width="14.5703125" style="11" customWidth="1"/>
    <col min="194" max="194" width="11" style="11" customWidth="1"/>
    <col min="195" max="195" width="10.85546875" style="11" customWidth="1"/>
    <col min="196" max="196" width="14.5703125" style="11" customWidth="1"/>
    <col min="197" max="198" width="15.5703125" style="11" customWidth="1"/>
    <col min="199" max="199" width="17.7109375" style="11" customWidth="1"/>
    <col min="200" max="425" width="29.28515625" style="11" customWidth="1"/>
    <col min="426" max="426" width="42.42578125" style="11" customWidth="1"/>
    <col min="427" max="429" width="12.42578125" style="11" customWidth="1"/>
    <col min="430" max="432" width="10.85546875" style="11" customWidth="1"/>
    <col min="433" max="435" width="14.5703125" style="11" bestFit="1" customWidth="1"/>
    <col min="436" max="438" width="11" style="11" customWidth="1"/>
    <col min="439" max="441" width="14.5703125" style="11" customWidth="1"/>
    <col min="442" max="444" width="15.28515625" style="11" customWidth="1"/>
    <col min="445" max="445" width="15.5703125" style="11"/>
    <col min="446" max="446" width="44.5703125" style="11" customWidth="1"/>
    <col min="447" max="447" width="13.85546875" style="11" customWidth="1"/>
    <col min="448" max="448" width="10.85546875" style="11" customWidth="1"/>
    <col min="449" max="449" width="14.5703125" style="11" customWidth="1"/>
    <col min="450" max="450" width="11" style="11" customWidth="1"/>
    <col min="451" max="451" width="10.85546875" style="11" customWidth="1"/>
    <col min="452" max="452" width="14.5703125" style="11" customWidth="1"/>
    <col min="453" max="454" width="15.5703125" style="11" customWidth="1"/>
    <col min="455" max="455" width="17.7109375" style="11" customWidth="1"/>
    <col min="456" max="681" width="29.28515625" style="11" customWidth="1"/>
    <col min="682" max="682" width="42.42578125" style="11" customWidth="1"/>
    <col min="683" max="685" width="12.42578125" style="11" customWidth="1"/>
    <col min="686" max="688" width="10.85546875" style="11" customWidth="1"/>
    <col min="689" max="691" width="14.5703125" style="11" bestFit="1" customWidth="1"/>
    <col min="692" max="694" width="11" style="11" customWidth="1"/>
    <col min="695" max="697" width="14.5703125" style="11" customWidth="1"/>
    <col min="698" max="700" width="15.28515625" style="11" customWidth="1"/>
    <col min="701" max="701" width="15.5703125" style="11"/>
    <col min="702" max="702" width="44.5703125" style="11" customWidth="1"/>
    <col min="703" max="703" width="13.85546875" style="11" customWidth="1"/>
    <col min="704" max="704" width="10.85546875" style="11" customWidth="1"/>
    <col min="705" max="705" width="14.5703125" style="11" customWidth="1"/>
    <col min="706" max="706" width="11" style="11" customWidth="1"/>
    <col min="707" max="707" width="10.85546875" style="11" customWidth="1"/>
    <col min="708" max="708" width="14.5703125" style="11" customWidth="1"/>
    <col min="709" max="710" width="15.5703125" style="11" customWidth="1"/>
    <col min="711" max="711" width="17.7109375" style="11" customWidth="1"/>
    <col min="712" max="937" width="29.28515625" style="11" customWidth="1"/>
    <col min="938" max="938" width="42.42578125" style="11" customWidth="1"/>
    <col min="939" max="941" width="12.42578125" style="11" customWidth="1"/>
    <col min="942" max="944" width="10.85546875" style="11" customWidth="1"/>
    <col min="945" max="947" width="14.5703125" style="11" bestFit="1" customWidth="1"/>
    <col min="948" max="950" width="11" style="11" customWidth="1"/>
    <col min="951" max="953" width="14.5703125" style="11" customWidth="1"/>
    <col min="954" max="956" width="15.28515625" style="11" customWidth="1"/>
    <col min="957" max="957" width="15.5703125" style="11"/>
    <col min="958" max="958" width="44.5703125" style="11" customWidth="1"/>
    <col min="959" max="959" width="13.85546875" style="11" customWidth="1"/>
    <col min="960" max="960" width="10.85546875" style="11" customWidth="1"/>
    <col min="961" max="961" width="14.5703125" style="11" customWidth="1"/>
    <col min="962" max="962" width="11" style="11" customWidth="1"/>
    <col min="963" max="963" width="10.85546875" style="11" customWidth="1"/>
    <col min="964" max="964" width="14.5703125" style="11" customWidth="1"/>
    <col min="965" max="966" width="15.5703125" style="11" customWidth="1"/>
    <col min="967" max="967" width="17.7109375" style="11" customWidth="1"/>
    <col min="968" max="1193" width="29.28515625" style="11" customWidth="1"/>
    <col min="1194" max="1194" width="42.42578125" style="11" customWidth="1"/>
    <col min="1195" max="1197" width="12.42578125" style="11" customWidth="1"/>
    <col min="1198" max="1200" width="10.85546875" style="11" customWidth="1"/>
    <col min="1201" max="1203" width="14.5703125" style="11" bestFit="1" customWidth="1"/>
    <col min="1204" max="1206" width="11" style="11" customWidth="1"/>
    <col min="1207" max="1209" width="14.5703125" style="11" customWidth="1"/>
    <col min="1210" max="1212" width="15.28515625" style="11" customWidth="1"/>
    <col min="1213" max="1213" width="15.5703125" style="11"/>
    <col min="1214" max="1214" width="44.5703125" style="11" customWidth="1"/>
    <col min="1215" max="1215" width="13.85546875" style="11" customWidth="1"/>
    <col min="1216" max="1216" width="10.85546875" style="11" customWidth="1"/>
    <col min="1217" max="1217" width="14.5703125" style="11" customWidth="1"/>
    <col min="1218" max="1218" width="11" style="11" customWidth="1"/>
    <col min="1219" max="1219" width="10.85546875" style="11" customWidth="1"/>
    <col min="1220" max="1220" width="14.5703125" style="11" customWidth="1"/>
    <col min="1221" max="1222" width="15.5703125" style="11" customWidth="1"/>
    <col min="1223" max="1223" width="17.7109375" style="11" customWidth="1"/>
    <col min="1224" max="1449" width="29.28515625" style="11" customWidth="1"/>
    <col min="1450" max="1450" width="42.42578125" style="11" customWidth="1"/>
    <col min="1451" max="1453" width="12.42578125" style="11" customWidth="1"/>
    <col min="1454" max="1456" width="10.85546875" style="11" customWidth="1"/>
    <col min="1457" max="1459" width="14.5703125" style="11" bestFit="1" customWidth="1"/>
    <col min="1460" max="1462" width="11" style="11" customWidth="1"/>
    <col min="1463" max="1465" width="14.5703125" style="11" customWidth="1"/>
    <col min="1466" max="1468" width="15.28515625" style="11" customWidth="1"/>
    <col min="1469" max="1469" width="15.5703125" style="11"/>
    <col min="1470" max="1470" width="44.5703125" style="11" customWidth="1"/>
    <col min="1471" max="1471" width="13.85546875" style="11" customWidth="1"/>
    <col min="1472" max="1472" width="10.85546875" style="11" customWidth="1"/>
    <col min="1473" max="1473" width="14.5703125" style="11" customWidth="1"/>
    <col min="1474" max="1474" width="11" style="11" customWidth="1"/>
    <col min="1475" max="1475" width="10.85546875" style="11" customWidth="1"/>
    <col min="1476" max="1476" width="14.5703125" style="11" customWidth="1"/>
    <col min="1477" max="1478" width="15.5703125" style="11" customWidth="1"/>
    <col min="1479" max="1479" width="17.7109375" style="11" customWidth="1"/>
    <col min="1480" max="1705" width="29.28515625" style="11" customWidth="1"/>
    <col min="1706" max="1706" width="42.42578125" style="11" customWidth="1"/>
    <col min="1707" max="1709" width="12.42578125" style="11" customWidth="1"/>
    <col min="1710" max="1712" width="10.85546875" style="11" customWidth="1"/>
    <col min="1713" max="1715" width="14.5703125" style="11" bestFit="1" customWidth="1"/>
    <col min="1716" max="1718" width="11" style="11" customWidth="1"/>
    <col min="1719" max="1721" width="14.5703125" style="11" customWidth="1"/>
    <col min="1722" max="1724" width="15.28515625" style="11" customWidth="1"/>
    <col min="1725" max="1725" width="15.5703125" style="11"/>
    <col min="1726" max="1726" width="44.5703125" style="11" customWidth="1"/>
    <col min="1727" max="1727" width="13.85546875" style="11" customWidth="1"/>
    <col min="1728" max="1728" width="10.85546875" style="11" customWidth="1"/>
    <col min="1729" max="1729" width="14.5703125" style="11" customWidth="1"/>
    <col min="1730" max="1730" width="11" style="11" customWidth="1"/>
    <col min="1731" max="1731" width="10.85546875" style="11" customWidth="1"/>
    <col min="1732" max="1732" width="14.5703125" style="11" customWidth="1"/>
    <col min="1733" max="1734" width="15.5703125" style="11" customWidth="1"/>
    <col min="1735" max="1735" width="17.7109375" style="11" customWidth="1"/>
    <col min="1736" max="1961" width="29.28515625" style="11" customWidth="1"/>
    <col min="1962" max="1962" width="42.42578125" style="11" customWidth="1"/>
    <col min="1963" max="1965" width="12.42578125" style="11" customWidth="1"/>
    <col min="1966" max="1968" width="10.85546875" style="11" customWidth="1"/>
    <col min="1969" max="1971" width="14.5703125" style="11" bestFit="1" customWidth="1"/>
    <col min="1972" max="1974" width="11" style="11" customWidth="1"/>
    <col min="1975" max="1977" width="14.5703125" style="11" customWidth="1"/>
    <col min="1978" max="1980" width="15.28515625" style="11" customWidth="1"/>
    <col min="1981" max="1981" width="15.5703125" style="11"/>
    <col min="1982" max="1982" width="44.5703125" style="11" customWidth="1"/>
    <col min="1983" max="1983" width="13.85546875" style="11" customWidth="1"/>
    <col min="1984" max="1984" width="10.85546875" style="11" customWidth="1"/>
    <col min="1985" max="1985" width="14.5703125" style="11" customWidth="1"/>
    <col min="1986" max="1986" width="11" style="11" customWidth="1"/>
    <col min="1987" max="1987" width="10.85546875" style="11" customWidth="1"/>
    <col min="1988" max="1988" width="14.5703125" style="11" customWidth="1"/>
    <col min="1989" max="1990" width="15.5703125" style="11" customWidth="1"/>
    <col min="1991" max="1991" width="17.7109375" style="11" customWidth="1"/>
    <col min="1992" max="2217" width="29.28515625" style="11" customWidth="1"/>
    <col min="2218" max="2218" width="42.42578125" style="11" customWidth="1"/>
    <col min="2219" max="2221" width="12.42578125" style="11" customWidth="1"/>
    <col min="2222" max="2224" width="10.85546875" style="11" customWidth="1"/>
    <col min="2225" max="2227" width="14.5703125" style="11" bestFit="1" customWidth="1"/>
    <col min="2228" max="2230" width="11" style="11" customWidth="1"/>
    <col min="2231" max="2233" width="14.5703125" style="11" customWidth="1"/>
    <col min="2234" max="2236" width="15.28515625" style="11" customWidth="1"/>
    <col min="2237" max="2237" width="15.5703125" style="11"/>
    <col min="2238" max="2238" width="44.5703125" style="11" customWidth="1"/>
    <col min="2239" max="2239" width="13.85546875" style="11" customWidth="1"/>
    <col min="2240" max="2240" width="10.85546875" style="11" customWidth="1"/>
    <col min="2241" max="2241" width="14.5703125" style="11" customWidth="1"/>
    <col min="2242" max="2242" width="11" style="11" customWidth="1"/>
    <col min="2243" max="2243" width="10.85546875" style="11" customWidth="1"/>
    <col min="2244" max="2244" width="14.5703125" style="11" customWidth="1"/>
    <col min="2245" max="2246" width="15.5703125" style="11" customWidth="1"/>
    <col min="2247" max="2247" width="17.7109375" style="11" customWidth="1"/>
    <col min="2248" max="2473" width="29.28515625" style="11" customWidth="1"/>
    <col min="2474" max="2474" width="42.42578125" style="11" customWidth="1"/>
    <col min="2475" max="2477" width="12.42578125" style="11" customWidth="1"/>
    <col min="2478" max="2480" width="10.85546875" style="11" customWidth="1"/>
    <col min="2481" max="2483" width="14.5703125" style="11" bestFit="1" customWidth="1"/>
    <col min="2484" max="2486" width="11" style="11" customWidth="1"/>
    <col min="2487" max="2489" width="14.5703125" style="11" customWidth="1"/>
    <col min="2490" max="2492" width="15.28515625" style="11" customWidth="1"/>
    <col min="2493" max="2493" width="15.5703125" style="11"/>
    <col min="2494" max="2494" width="44.5703125" style="11" customWidth="1"/>
    <col min="2495" max="2495" width="13.85546875" style="11" customWidth="1"/>
    <col min="2496" max="2496" width="10.85546875" style="11" customWidth="1"/>
    <col min="2497" max="2497" width="14.5703125" style="11" customWidth="1"/>
    <col min="2498" max="2498" width="11" style="11" customWidth="1"/>
    <col min="2499" max="2499" width="10.85546875" style="11" customWidth="1"/>
    <col min="2500" max="2500" width="14.5703125" style="11" customWidth="1"/>
    <col min="2501" max="2502" width="15.5703125" style="11" customWidth="1"/>
    <col min="2503" max="2503" width="17.7109375" style="11" customWidth="1"/>
    <col min="2504" max="2729" width="29.28515625" style="11" customWidth="1"/>
    <col min="2730" max="2730" width="42.42578125" style="11" customWidth="1"/>
    <col min="2731" max="2733" width="12.42578125" style="11" customWidth="1"/>
    <col min="2734" max="2736" width="10.85546875" style="11" customWidth="1"/>
    <col min="2737" max="2739" width="14.5703125" style="11" bestFit="1" customWidth="1"/>
    <col min="2740" max="2742" width="11" style="11" customWidth="1"/>
    <col min="2743" max="2745" width="14.5703125" style="11" customWidth="1"/>
    <col min="2746" max="2748" width="15.28515625" style="11" customWidth="1"/>
    <col min="2749" max="2749" width="15.5703125" style="11"/>
    <col min="2750" max="2750" width="44.5703125" style="11" customWidth="1"/>
    <col min="2751" max="2751" width="13.85546875" style="11" customWidth="1"/>
    <col min="2752" max="2752" width="10.85546875" style="11" customWidth="1"/>
    <col min="2753" max="2753" width="14.5703125" style="11" customWidth="1"/>
    <col min="2754" max="2754" width="11" style="11" customWidth="1"/>
    <col min="2755" max="2755" width="10.85546875" style="11" customWidth="1"/>
    <col min="2756" max="2756" width="14.5703125" style="11" customWidth="1"/>
    <col min="2757" max="2758" width="15.5703125" style="11" customWidth="1"/>
    <col min="2759" max="2759" width="17.7109375" style="11" customWidth="1"/>
    <col min="2760" max="2985" width="29.28515625" style="11" customWidth="1"/>
    <col min="2986" max="2986" width="42.42578125" style="11" customWidth="1"/>
    <col min="2987" max="2989" width="12.42578125" style="11" customWidth="1"/>
    <col min="2990" max="2992" width="10.85546875" style="11" customWidth="1"/>
    <col min="2993" max="2995" width="14.5703125" style="11" bestFit="1" customWidth="1"/>
    <col min="2996" max="2998" width="11" style="11" customWidth="1"/>
    <col min="2999" max="3001" width="14.5703125" style="11" customWidth="1"/>
    <col min="3002" max="3004" width="15.28515625" style="11" customWidth="1"/>
    <col min="3005" max="3005" width="15.5703125" style="11"/>
    <col min="3006" max="3006" width="44.5703125" style="11" customWidth="1"/>
    <col min="3007" max="3007" width="13.85546875" style="11" customWidth="1"/>
    <col min="3008" max="3008" width="10.85546875" style="11" customWidth="1"/>
    <col min="3009" max="3009" width="14.5703125" style="11" customWidth="1"/>
    <col min="3010" max="3010" width="11" style="11" customWidth="1"/>
    <col min="3011" max="3011" width="10.85546875" style="11" customWidth="1"/>
    <col min="3012" max="3012" width="14.5703125" style="11" customWidth="1"/>
    <col min="3013" max="3014" width="15.5703125" style="11" customWidth="1"/>
    <col min="3015" max="3015" width="17.7109375" style="11" customWidth="1"/>
    <col min="3016" max="3241" width="29.28515625" style="11" customWidth="1"/>
    <col min="3242" max="3242" width="42.42578125" style="11" customWidth="1"/>
    <col min="3243" max="3245" width="12.42578125" style="11" customWidth="1"/>
    <col min="3246" max="3248" width="10.85546875" style="11" customWidth="1"/>
    <col min="3249" max="3251" width="14.5703125" style="11" bestFit="1" customWidth="1"/>
    <col min="3252" max="3254" width="11" style="11" customWidth="1"/>
    <col min="3255" max="3257" width="14.5703125" style="11" customWidth="1"/>
    <col min="3258" max="3260" width="15.28515625" style="11" customWidth="1"/>
    <col min="3261" max="3261" width="15.5703125" style="11"/>
    <col min="3262" max="3262" width="44.5703125" style="11" customWidth="1"/>
    <col min="3263" max="3263" width="13.85546875" style="11" customWidth="1"/>
    <col min="3264" max="3264" width="10.85546875" style="11" customWidth="1"/>
    <col min="3265" max="3265" width="14.5703125" style="11" customWidth="1"/>
    <col min="3266" max="3266" width="11" style="11" customWidth="1"/>
    <col min="3267" max="3267" width="10.85546875" style="11" customWidth="1"/>
    <col min="3268" max="3268" width="14.5703125" style="11" customWidth="1"/>
    <col min="3269" max="3270" width="15.5703125" style="11" customWidth="1"/>
    <col min="3271" max="3271" width="17.7109375" style="11" customWidth="1"/>
    <col min="3272" max="3497" width="29.28515625" style="11" customWidth="1"/>
    <col min="3498" max="3498" width="42.42578125" style="11" customWidth="1"/>
    <col min="3499" max="3501" width="12.42578125" style="11" customWidth="1"/>
    <col min="3502" max="3504" width="10.85546875" style="11" customWidth="1"/>
    <col min="3505" max="3507" width="14.5703125" style="11" bestFit="1" customWidth="1"/>
    <col min="3508" max="3510" width="11" style="11" customWidth="1"/>
    <col min="3511" max="3513" width="14.5703125" style="11" customWidth="1"/>
    <col min="3514" max="3516" width="15.28515625" style="11" customWidth="1"/>
    <col min="3517" max="3517" width="15.5703125" style="11"/>
    <col min="3518" max="3518" width="44.5703125" style="11" customWidth="1"/>
    <col min="3519" max="3519" width="13.85546875" style="11" customWidth="1"/>
    <col min="3520" max="3520" width="10.85546875" style="11" customWidth="1"/>
    <col min="3521" max="3521" width="14.5703125" style="11" customWidth="1"/>
    <col min="3522" max="3522" width="11" style="11" customWidth="1"/>
    <col min="3523" max="3523" width="10.85546875" style="11" customWidth="1"/>
    <col min="3524" max="3524" width="14.5703125" style="11" customWidth="1"/>
    <col min="3525" max="3526" width="15.5703125" style="11" customWidth="1"/>
    <col min="3527" max="3527" width="17.7109375" style="11" customWidth="1"/>
    <col min="3528" max="3753" width="29.28515625" style="11" customWidth="1"/>
    <col min="3754" max="3754" width="42.42578125" style="11" customWidth="1"/>
    <col min="3755" max="3757" width="12.42578125" style="11" customWidth="1"/>
    <col min="3758" max="3760" width="10.85546875" style="11" customWidth="1"/>
    <col min="3761" max="3763" width="14.5703125" style="11" bestFit="1" customWidth="1"/>
    <col min="3764" max="3766" width="11" style="11" customWidth="1"/>
    <col min="3767" max="3769" width="14.5703125" style="11" customWidth="1"/>
    <col min="3770" max="3772" width="15.28515625" style="11" customWidth="1"/>
    <col min="3773" max="3773" width="15.5703125" style="11"/>
    <col min="3774" max="3774" width="44.5703125" style="11" customWidth="1"/>
    <col min="3775" max="3775" width="13.85546875" style="11" customWidth="1"/>
    <col min="3776" max="3776" width="10.85546875" style="11" customWidth="1"/>
    <col min="3777" max="3777" width="14.5703125" style="11" customWidth="1"/>
    <col min="3778" max="3778" width="11" style="11" customWidth="1"/>
    <col min="3779" max="3779" width="10.85546875" style="11" customWidth="1"/>
    <col min="3780" max="3780" width="14.5703125" style="11" customWidth="1"/>
    <col min="3781" max="3782" width="15.5703125" style="11" customWidth="1"/>
    <col min="3783" max="3783" width="17.7109375" style="11" customWidth="1"/>
    <col min="3784" max="4009" width="29.28515625" style="11" customWidth="1"/>
    <col min="4010" max="4010" width="42.42578125" style="11" customWidth="1"/>
    <col min="4011" max="4013" width="12.42578125" style="11" customWidth="1"/>
    <col min="4014" max="4016" width="10.85546875" style="11" customWidth="1"/>
    <col min="4017" max="4019" width="14.5703125" style="11" bestFit="1" customWidth="1"/>
    <col min="4020" max="4022" width="11" style="11" customWidth="1"/>
    <col min="4023" max="4025" width="14.5703125" style="11" customWidth="1"/>
    <col min="4026" max="4028" width="15.28515625" style="11" customWidth="1"/>
    <col min="4029" max="4029" width="15.5703125" style="11"/>
    <col min="4030" max="4030" width="44.5703125" style="11" customWidth="1"/>
    <col min="4031" max="4031" width="13.85546875" style="11" customWidth="1"/>
    <col min="4032" max="4032" width="10.85546875" style="11" customWidth="1"/>
    <col min="4033" max="4033" width="14.5703125" style="11" customWidth="1"/>
    <col min="4034" max="4034" width="11" style="11" customWidth="1"/>
    <col min="4035" max="4035" width="10.85546875" style="11" customWidth="1"/>
    <col min="4036" max="4036" width="14.5703125" style="11" customWidth="1"/>
    <col min="4037" max="4038" width="15.5703125" style="11" customWidth="1"/>
    <col min="4039" max="4039" width="17.7109375" style="11" customWidth="1"/>
    <col min="4040" max="4265" width="29.28515625" style="11" customWidth="1"/>
    <col min="4266" max="4266" width="42.42578125" style="11" customWidth="1"/>
    <col min="4267" max="4269" width="12.42578125" style="11" customWidth="1"/>
    <col min="4270" max="4272" width="10.85546875" style="11" customWidth="1"/>
    <col min="4273" max="4275" width="14.5703125" style="11" bestFit="1" customWidth="1"/>
    <col min="4276" max="4278" width="11" style="11" customWidth="1"/>
    <col min="4279" max="4281" width="14.5703125" style="11" customWidth="1"/>
    <col min="4282" max="4284" width="15.28515625" style="11" customWidth="1"/>
    <col min="4285" max="4285" width="15.5703125" style="11"/>
    <col min="4286" max="4286" width="44.5703125" style="11" customWidth="1"/>
    <col min="4287" max="4287" width="13.85546875" style="11" customWidth="1"/>
    <col min="4288" max="4288" width="10.85546875" style="11" customWidth="1"/>
    <col min="4289" max="4289" width="14.5703125" style="11" customWidth="1"/>
    <col min="4290" max="4290" width="11" style="11" customWidth="1"/>
    <col min="4291" max="4291" width="10.85546875" style="11" customWidth="1"/>
    <col min="4292" max="4292" width="14.5703125" style="11" customWidth="1"/>
    <col min="4293" max="4294" width="15.5703125" style="11" customWidth="1"/>
    <col min="4295" max="4295" width="17.7109375" style="11" customWidth="1"/>
    <col min="4296" max="4521" width="29.28515625" style="11" customWidth="1"/>
    <col min="4522" max="4522" width="42.42578125" style="11" customWidth="1"/>
    <col min="4523" max="4525" width="12.42578125" style="11" customWidth="1"/>
    <col min="4526" max="4528" width="10.85546875" style="11" customWidth="1"/>
    <col min="4529" max="4531" width="14.5703125" style="11" bestFit="1" customWidth="1"/>
    <col min="4532" max="4534" width="11" style="11" customWidth="1"/>
    <col min="4535" max="4537" width="14.5703125" style="11" customWidth="1"/>
    <col min="4538" max="4540" width="15.28515625" style="11" customWidth="1"/>
    <col min="4541" max="4541" width="15.5703125" style="11"/>
    <col min="4542" max="4542" width="44.5703125" style="11" customWidth="1"/>
    <col min="4543" max="4543" width="13.85546875" style="11" customWidth="1"/>
    <col min="4544" max="4544" width="10.85546875" style="11" customWidth="1"/>
    <col min="4545" max="4545" width="14.5703125" style="11" customWidth="1"/>
    <col min="4546" max="4546" width="11" style="11" customWidth="1"/>
    <col min="4547" max="4547" width="10.85546875" style="11" customWidth="1"/>
    <col min="4548" max="4548" width="14.5703125" style="11" customWidth="1"/>
    <col min="4549" max="4550" width="15.5703125" style="11" customWidth="1"/>
    <col min="4551" max="4551" width="17.7109375" style="11" customWidth="1"/>
    <col min="4552" max="4777" width="29.28515625" style="11" customWidth="1"/>
    <col min="4778" max="4778" width="42.42578125" style="11" customWidth="1"/>
    <col min="4779" max="4781" width="12.42578125" style="11" customWidth="1"/>
    <col min="4782" max="4784" width="10.85546875" style="11" customWidth="1"/>
    <col min="4785" max="4787" width="14.5703125" style="11" bestFit="1" customWidth="1"/>
    <col min="4788" max="4790" width="11" style="11" customWidth="1"/>
    <col min="4791" max="4793" width="14.5703125" style="11" customWidth="1"/>
    <col min="4794" max="4796" width="15.28515625" style="11" customWidth="1"/>
    <col min="4797" max="4797" width="15.5703125" style="11"/>
    <col min="4798" max="4798" width="44.5703125" style="11" customWidth="1"/>
    <col min="4799" max="4799" width="13.85546875" style="11" customWidth="1"/>
    <col min="4800" max="4800" width="10.85546875" style="11" customWidth="1"/>
    <col min="4801" max="4801" width="14.5703125" style="11" customWidth="1"/>
    <col min="4802" max="4802" width="11" style="11" customWidth="1"/>
    <col min="4803" max="4803" width="10.85546875" style="11" customWidth="1"/>
    <col min="4804" max="4804" width="14.5703125" style="11" customWidth="1"/>
    <col min="4805" max="4806" width="15.5703125" style="11" customWidth="1"/>
    <col min="4807" max="4807" width="17.7109375" style="11" customWidth="1"/>
    <col min="4808" max="5033" width="29.28515625" style="11" customWidth="1"/>
    <col min="5034" max="5034" width="42.42578125" style="11" customWidth="1"/>
    <col min="5035" max="5037" width="12.42578125" style="11" customWidth="1"/>
    <col min="5038" max="5040" width="10.85546875" style="11" customWidth="1"/>
    <col min="5041" max="5043" width="14.5703125" style="11" bestFit="1" customWidth="1"/>
    <col min="5044" max="5046" width="11" style="11" customWidth="1"/>
    <col min="5047" max="5049" width="14.5703125" style="11" customWidth="1"/>
    <col min="5050" max="5052" width="15.28515625" style="11" customWidth="1"/>
    <col min="5053" max="5053" width="15.5703125" style="11"/>
    <col min="5054" max="5054" width="44.5703125" style="11" customWidth="1"/>
    <col min="5055" max="5055" width="13.85546875" style="11" customWidth="1"/>
    <col min="5056" max="5056" width="10.85546875" style="11" customWidth="1"/>
    <col min="5057" max="5057" width="14.5703125" style="11" customWidth="1"/>
    <col min="5058" max="5058" width="11" style="11" customWidth="1"/>
    <col min="5059" max="5059" width="10.85546875" style="11" customWidth="1"/>
    <col min="5060" max="5060" width="14.5703125" style="11" customWidth="1"/>
    <col min="5061" max="5062" width="15.5703125" style="11" customWidth="1"/>
    <col min="5063" max="5063" width="17.7109375" style="11" customWidth="1"/>
    <col min="5064" max="5289" width="29.28515625" style="11" customWidth="1"/>
    <col min="5290" max="5290" width="42.42578125" style="11" customWidth="1"/>
    <col min="5291" max="5293" width="12.42578125" style="11" customWidth="1"/>
    <col min="5294" max="5296" width="10.85546875" style="11" customWidth="1"/>
    <col min="5297" max="5299" width="14.5703125" style="11" bestFit="1" customWidth="1"/>
    <col min="5300" max="5302" width="11" style="11" customWidth="1"/>
    <col min="5303" max="5305" width="14.5703125" style="11" customWidth="1"/>
    <col min="5306" max="5308" width="15.28515625" style="11" customWidth="1"/>
    <col min="5309" max="5309" width="15.5703125" style="11"/>
    <col min="5310" max="5310" width="44.5703125" style="11" customWidth="1"/>
    <col min="5311" max="5311" width="13.85546875" style="11" customWidth="1"/>
    <col min="5312" max="5312" width="10.85546875" style="11" customWidth="1"/>
    <col min="5313" max="5313" width="14.5703125" style="11" customWidth="1"/>
    <col min="5314" max="5314" width="11" style="11" customWidth="1"/>
    <col min="5315" max="5315" width="10.85546875" style="11" customWidth="1"/>
    <col min="5316" max="5316" width="14.5703125" style="11" customWidth="1"/>
    <col min="5317" max="5318" width="15.5703125" style="11" customWidth="1"/>
    <col min="5319" max="5319" width="17.7109375" style="11" customWidth="1"/>
    <col min="5320" max="5545" width="29.28515625" style="11" customWidth="1"/>
    <col min="5546" max="5546" width="42.42578125" style="11" customWidth="1"/>
    <col min="5547" max="5549" width="12.42578125" style="11" customWidth="1"/>
    <col min="5550" max="5552" width="10.85546875" style="11" customWidth="1"/>
    <col min="5553" max="5555" width="14.5703125" style="11" bestFit="1" customWidth="1"/>
    <col min="5556" max="5558" width="11" style="11" customWidth="1"/>
    <col min="5559" max="5561" width="14.5703125" style="11" customWidth="1"/>
    <col min="5562" max="5564" width="15.28515625" style="11" customWidth="1"/>
    <col min="5565" max="5565" width="15.5703125" style="11"/>
    <col min="5566" max="5566" width="44.5703125" style="11" customWidth="1"/>
    <col min="5567" max="5567" width="13.85546875" style="11" customWidth="1"/>
    <col min="5568" max="5568" width="10.85546875" style="11" customWidth="1"/>
    <col min="5569" max="5569" width="14.5703125" style="11" customWidth="1"/>
    <col min="5570" max="5570" width="11" style="11" customWidth="1"/>
    <col min="5571" max="5571" width="10.85546875" style="11" customWidth="1"/>
    <col min="5572" max="5572" width="14.5703125" style="11" customWidth="1"/>
    <col min="5573" max="5574" width="15.5703125" style="11" customWidth="1"/>
    <col min="5575" max="5575" width="17.7109375" style="11" customWidth="1"/>
    <col min="5576" max="5801" width="29.28515625" style="11" customWidth="1"/>
    <col min="5802" max="5802" width="42.42578125" style="11" customWidth="1"/>
    <col min="5803" max="5805" width="12.42578125" style="11" customWidth="1"/>
    <col min="5806" max="5808" width="10.85546875" style="11" customWidth="1"/>
    <col min="5809" max="5811" width="14.5703125" style="11" bestFit="1" customWidth="1"/>
    <col min="5812" max="5814" width="11" style="11" customWidth="1"/>
    <col min="5815" max="5817" width="14.5703125" style="11" customWidth="1"/>
    <col min="5818" max="5820" width="15.28515625" style="11" customWidth="1"/>
    <col min="5821" max="5821" width="15.5703125" style="11"/>
    <col min="5822" max="5822" width="44.5703125" style="11" customWidth="1"/>
    <col min="5823" max="5823" width="13.85546875" style="11" customWidth="1"/>
    <col min="5824" max="5824" width="10.85546875" style="11" customWidth="1"/>
    <col min="5825" max="5825" width="14.5703125" style="11" customWidth="1"/>
    <col min="5826" max="5826" width="11" style="11" customWidth="1"/>
    <col min="5827" max="5827" width="10.85546875" style="11" customWidth="1"/>
    <col min="5828" max="5828" width="14.5703125" style="11" customWidth="1"/>
    <col min="5829" max="5830" width="15.5703125" style="11" customWidth="1"/>
    <col min="5831" max="5831" width="17.7109375" style="11" customWidth="1"/>
    <col min="5832" max="6057" width="29.28515625" style="11" customWidth="1"/>
    <col min="6058" max="6058" width="42.42578125" style="11" customWidth="1"/>
    <col min="6059" max="6061" width="12.42578125" style="11" customWidth="1"/>
    <col min="6062" max="6064" width="10.85546875" style="11" customWidth="1"/>
    <col min="6065" max="6067" width="14.5703125" style="11" bestFit="1" customWidth="1"/>
    <col min="6068" max="6070" width="11" style="11" customWidth="1"/>
    <col min="6071" max="6073" width="14.5703125" style="11" customWidth="1"/>
    <col min="6074" max="6076" width="15.28515625" style="11" customWidth="1"/>
    <col min="6077" max="6077" width="15.5703125" style="11"/>
    <col min="6078" max="6078" width="44.5703125" style="11" customWidth="1"/>
    <col min="6079" max="6079" width="13.85546875" style="11" customWidth="1"/>
    <col min="6080" max="6080" width="10.85546875" style="11" customWidth="1"/>
    <col min="6081" max="6081" width="14.5703125" style="11" customWidth="1"/>
    <col min="6082" max="6082" width="11" style="11" customWidth="1"/>
    <col min="6083" max="6083" width="10.85546875" style="11" customWidth="1"/>
    <col min="6084" max="6084" width="14.5703125" style="11" customWidth="1"/>
    <col min="6085" max="6086" width="15.5703125" style="11" customWidth="1"/>
    <col min="6087" max="6087" width="17.7109375" style="11" customWidth="1"/>
    <col min="6088" max="6313" width="29.28515625" style="11" customWidth="1"/>
    <col min="6314" max="6314" width="42.42578125" style="11" customWidth="1"/>
    <col min="6315" max="6317" width="12.42578125" style="11" customWidth="1"/>
    <col min="6318" max="6320" width="10.85546875" style="11" customWidth="1"/>
    <col min="6321" max="6323" width="14.5703125" style="11" bestFit="1" customWidth="1"/>
    <col min="6324" max="6326" width="11" style="11" customWidth="1"/>
    <col min="6327" max="6329" width="14.5703125" style="11" customWidth="1"/>
    <col min="6330" max="6332" width="15.28515625" style="11" customWidth="1"/>
    <col min="6333" max="6333" width="15.5703125" style="11"/>
    <col min="6334" max="6334" width="44.5703125" style="11" customWidth="1"/>
    <col min="6335" max="6335" width="13.85546875" style="11" customWidth="1"/>
    <col min="6336" max="6336" width="10.85546875" style="11" customWidth="1"/>
    <col min="6337" max="6337" width="14.5703125" style="11" customWidth="1"/>
    <col min="6338" max="6338" width="11" style="11" customWidth="1"/>
    <col min="6339" max="6339" width="10.85546875" style="11" customWidth="1"/>
    <col min="6340" max="6340" width="14.5703125" style="11" customWidth="1"/>
    <col min="6341" max="6342" width="15.5703125" style="11" customWidth="1"/>
    <col min="6343" max="6343" width="17.7109375" style="11" customWidth="1"/>
    <col min="6344" max="6569" width="29.28515625" style="11" customWidth="1"/>
    <col min="6570" max="6570" width="42.42578125" style="11" customWidth="1"/>
    <col min="6571" max="6573" width="12.42578125" style="11" customWidth="1"/>
    <col min="6574" max="6576" width="10.85546875" style="11" customWidth="1"/>
    <col min="6577" max="6579" width="14.5703125" style="11" bestFit="1" customWidth="1"/>
    <col min="6580" max="6582" width="11" style="11" customWidth="1"/>
    <col min="6583" max="6585" width="14.5703125" style="11" customWidth="1"/>
    <col min="6586" max="6588" width="15.28515625" style="11" customWidth="1"/>
    <col min="6589" max="6589" width="15.5703125" style="11"/>
    <col min="6590" max="6590" width="44.5703125" style="11" customWidth="1"/>
    <col min="6591" max="6591" width="13.85546875" style="11" customWidth="1"/>
    <col min="6592" max="6592" width="10.85546875" style="11" customWidth="1"/>
    <col min="6593" max="6593" width="14.5703125" style="11" customWidth="1"/>
    <col min="6594" max="6594" width="11" style="11" customWidth="1"/>
    <col min="6595" max="6595" width="10.85546875" style="11" customWidth="1"/>
    <col min="6596" max="6596" width="14.5703125" style="11" customWidth="1"/>
    <col min="6597" max="6598" width="15.5703125" style="11" customWidth="1"/>
    <col min="6599" max="6599" width="17.7109375" style="11" customWidth="1"/>
    <col min="6600" max="6825" width="29.28515625" style="11" customWidth="1"/>
    <col min="6826" max="6826" width="42.42578125" style="11" customWidth="1"/>
    <col min="6827" max="6829" width="12.42578125" style="11" customWidth="1"/>
    <col min="6830" max="6832" width="10.85546875" style="11" customWidth="1"/>
    <col min="6833" max="6835" width="14.5703125" style="11" bestFit="1" customWidth="1"/>
    <col min="6836" max="6838" width="11" style="11" customWidth="1"/>
    <col min="6839" max="6841" width="14.5703125" style="11" customWidth="1"/>
    <col min="6842" max="6844" width="15.28515625" style="11" customWidth="1"/>
    <col min="6845" max="6845" width="15.5703125" style="11"/>
    <col min="6846" max="6846" width="44.5703125" style="11" customWidth="1"/>
    <col min="6847" max="6847" width="13.85546875" style="11" customWidth="1"/>
    <col min="6848" max="6848" width="10.85546875" style="11" customWidth="1"/>
    <col min="6849" max="6849" width="14.5703125" style="11" customWidth="1"/>
    <col min="6850" max="6850" width="11" style="11" customWidth="1"/>
    <col min="6851" max="6851" width="10.85546875" style="11" customWidth="1"/>
    <col min="6852" max="6852" width="14.5703125" style="11" customWidth="1"/>
    <col min="6853" max="6854" width="15.5703125" style="11" customWidth="1"/>
    <col min="6855" max="6855" width="17.7109375" style="11" customWidth="1"/>
    <col min="6856" max="7081" width="29.28515625" style="11" customWidth="1"/>
    <col min="7082" max="7082" width="42.42578125" style="11" customWidth="1"/>
    <col min="7083" max="7085" width="12.42578125" style="11" customWidth="1"/>
    <col min="7086" max="7088" width="10.85546875" style="11" customWidth="1"/>
    <col min="7089" max="7091" width="14.5703125" style="11" bestFit="1" customWidth="1"/>
    <col min="7092" max="7094" width="11" style="11" customWidth="1"/>
    <col min="7095" max="7097" width="14.5703125" style="11" customWidth="1"/>
    <col min="7098" max="7100" width="15.28515625" style="11" customWidth="1"/>
    <col min="7101" max="7101" width="15.5703125" style="11"/>
    <col min="7102" max="7102" width="44.5703125" style="11" customWidth="1"/>
    <col min="7103" max="7103" width="13.85546875" style="11" customWidth="1"/>
    <col min="7104" max="7104" width="10.85546875" style="11" customWidth="1"/>
    <col min="7105" max="7105" width="14.5703125" style="11" customWidth="1"/>
    <col min="7106" max="7106" width="11" style="11" customWidth="1"/>
    <col min="7107" max="7107" width="10.85546875" style="11" customWidth="1"/>
    <col min="7108" max="7108" width="14.5703125" style="11" customWidth="1"/>
    <col min="7109" max="7110" width="15.5703125" style="11" customWidth="1"/>
    <col min="7111" max="7111" width="17.7109375" style="11" customWidth="1"/>
    <col min="7112" max="7337" width="29.28515625" style="11" customWidth="1"/>
    <col min="7338" max="7338" width="42.42578125" style="11" customWidth="1"/>
    <col min="7339" max="7341" width="12.42578125" style="11" customWidth="1"/>
    <col min="7342" max="7344" width="10.85546875" style="11" customWidth="1"/>
    <col min="7345" max="7347" width="14.5703125" style="11" bestFit="1" customWidth="1"/>
    <col min="7348" max="7350" width="11" style="11" customWidth="1"/>
    <col min="7351" max="7353" width="14.5703125" style="11" customWidth="1"/>
    <col min="7354" max="7356" width="15.28515625" style="11" customWidth="1"/>
    <col min="7357" max="7357" width="15.5703125" style="11"/>
    <col min="7358" max="7358" width="44.5703125" style="11" customWidth="1"/>
    <col min="7359" max="7359" width="13.85546875" style="11" customWidth="1"/>
    <col min="7360" max="7360" width="10.85546875" style="11" customWidth="1"/>
    <col min="7361" max="7361" width="14.5703125" style="11" customWidth="1"/>
    <col min="7362" max="7362" width="11" style="11" customWidth="1"/>
    <col min="7363" max="7363" width="10.85546875" style="11" customWidth="1"/>
    <col min="7364" max="7364" width="14.5703125" style="11" customWidth="1"/>
    <col min="7365" max="7366" width="15.5703125" style="11" customWidth="1"/>
    <col min="7367" max="7367" width="17.7109375" style="11" customWidth="1"/>
    <col min="7368" max="7593" width="29.28515625" style="11" customWidth="1"/>
    <col min="7594" max="7594" width="42.42578125" style="11" customWidth="1"/>
    <col min="7595" max="7597" width="12.42578125" style="11" customWidth="1"/>
    <col min="7598" max="7600" width="10.85546875" style="11" customWidth="1"/>
    <col min="7601" max="7603" width="14.5703125" style="11" bestFit="1" customWidth="1"/>
    <col min="7604" max="7606" width="11" style="11" customWidth="1"/>
    <col min="7607" max="7609" width="14.5703125" style="11" customWidth="1"/>
    <col min="7610" max="7612" width="15.28515625" style="11" customWidth="1"/>
    <col min="7613" max="7613" width="15.5703125" style="11"/>
    <col min="7614" max="7614" width="44.5703125" style="11" customWidth="1"/>
    <col min="7615" max="7615" width="13.85546875" style="11" customWidth="1"/>
    <col min="7616" max="7616" width="10.85546875" style="11" customWidth="1"/>
    <col min="7617" max="7617" width="14.5703125" style="11" customWidth="1"/>
    <col min="7618" max="7618" width="11" style="11" customWidth="1"/>
    <col min="7619" max="7619" width="10.85546875" style="11" customWidth="1"/>
    <col min="7620" max="7620" width="14.5703125" style="11" customWidth="1"/>
    <col min="7621" max="7622" width="15.5703125" style="11" customWidth="1"/>
    <col min="7623" max="7623" width="17.7109375" style="11" customWidth="1"/>
    <col min="7624" max="7849" width="29.28515625" style="11" customWidth="1"/>
    <col min="7850" max="7850" width="42.42578125" style="11" customWidth="1"/>
    <col min="7851" max="7853" width="12.42578125" style="11" customWidth="1"/>
    <col min="7854" max="7856" width="10.85546875" style="11" customWidth="1"/>
    <col min="7857" max="7859" width="14.5703125" style="11" bestFit="1" customWidth="1"/>
    <col min="7860" max="7862" width="11" style="11" customWidth="1"/>
    <col min="7863" max="7865" width="14.5703125" style="11" customWidth="1"/>
    <col min="7866" max="7868" width="15.28515625" style="11" customWidth="1"/>
    <col min="7869" max="7869" width="15.5703125" style="11"/>
    <col min="7870" max="7870" width="44.5703125" style="11" customWidth="1"/>
    <col min="7871" max="7871" width="13.85546875" style="11" customWidth="1"/>
    <col min="7872" max="7872" width="10.85546875" style="11" customWidth="1"/>
    <col min="7873" max="7873" width="14.5703125" style="11" customWidth="1"/>
    <col min="7874" max="7874" width="11" style="11" customWidth="1"/>
    <col min="7875" max="7875" width="10.85546875" style="11" customWidth="1"/>
    <col min="7876" max="7876" width="14.5703125" style="11" customWidth="1"/>
    <col min="7877" max="7878" width="15.5703125" style="11" customWidth="1"/>
    <col min="7879" max="7879" width="17.7109375" style="11" customWidth="1"/>
    <col min="7880" max="8105" width="29.28515625" style="11" customWidth="1"/>
    <col min="8106" max="8106" width="42.42578125" style="11" customWidth="1"/>
    <col min="8107" max="8109" width="12.42578125" style="11" customWidth="1"/>
    <col min="8110" max="8112" width="10.85546875" style="11" customWidth="1"/>
    <col min="8113" max="8115" width="14.5703125" style="11" bestFit="1" customWidth="1"/>
    <col min="8116" max="8118" width="11" style="11" customWidth="1"/>
    <col min="8119" max="8121" width="14.5703125" style="11" customWidth="1"/>
    <col min="8122" max="8124" width="15.28515625" style="11" customWidth="1"/>
    <col min="8125" max="8125" width="15.5703125" style="11"/>
    <col min="8126" max="8126" width="44.5703125" style="11" customWidth="1"/>
    <col min="8127" max="8127" width="13.85546875" style="11" customWidth="1"/>
    <col min="8128" max="8128" width="10.85546875" style="11" customWidth="1"/>
    <col min="8129" max="8129" width="14.5703125" style="11" customWidth="1"/>
    <col min="8130" max="8130" width="11" style="11" customWidth="1"/>
    <col min="8131" max="8131" width="10.85546875" style="11" customWidth="1"/>
    <col min="8132" max="8132" width="14.5703125" style="11" customWidth="1"/>
    <col min="8133" max="8134" width="15.5703125" style="11" customWidth="1"/>
    <col min="8135" max="8135" width="17.7109375" style="11" customWidth="1"/>
    <col min="8136" max="8361" width="29.28515625" style="11" customWidth="1"/>
    <col min="8362" max="8362" width="42.42578125" style="11" customWidth="1"/>
    <col min="8363" max="8365" width="12.42578125" style="11" customWidth="1"/>
    <col min="8366" max="8368" width="10.85546875" style="11" customWidth="1"/>
    <col min="8369" max="8371" width="14.5703125" style="11" bestFit="1" customWidth="1"/>
    <col min="8372" max="8374" width="11" style="11" customWidth="1"/>
    <col min="8375" max="8377" width="14.5703125" style="11" customWidth="1"/>
    <col min="8378" max="8380" width="15.28515625" style="11" customWidth="1"/>
    <col min="8381" max="8381" width="15.5703125" style="11"/>
    <col min="8382" max="8382" width="44.5703125" style="11" customWidth="1"/>
    <col min="8383" max="8383" width="13.85546875" style="11" customWidth="1"/>
    <col min="8384" max="8384" width="10.85546875" style="11" customWidth="1"/>
    <col min="8385" max="8385" width="14.5703125" style="11" customWidth="1"/>
    <col min="8386" max="8386" width="11" style="11" customWidth="1"/>
    <col min="8387" max="8387" width="10.85546875" style="11" customWidth="1"/>
    <col min="8388" max="8388" width="14.5703125" style="11" customWidth="1"/>
    <col min="8389" max="8390" width="15.5703125" style="11" customWidth="1"/>
    <col min="8391" max="8391" width="17.7109375" style="11" customWidth="1"/>
    <col min="8392" max="8617" width="29.28515625" style="11" customWidth="1"/>
    <col min="8618" max="8618" width="42.42578125" style="11" customWidth="1"/>
    <col min="8619" max="8621" width="12.42578125" style="11" customWidth="1"/>
    <col min="8622" max="8624" width="10.85546875" style="11" customWidth="1"/>
    <col min="8625" max="8627" width="14.5703125" style="11" bestFit="1" customWidth="1"/>
    <col min="8628" max="8630" width="11" style="11" customWidth="1"/>
    <col min="8631" max="8633" width="14.5703125" style="11" customWidth="1"/>
    <col min="8634" max="8636" width="15.28515625" style="11" customWidth="1"/>
    <col min="8637" max="8637" width="15.5703125" style="11"/>
    <col min="8638" max="8638" width="44.5703125" style="11" customWidth="1"/>
    <col min="8639" max="8639" width="13.85546875" style="11" customWidth="1"/>
    <col min="8640" max="8640" width="10.85546875" style="11" customWidth="1"/>
    <col min="8641" max="8641" width="14.5703125" style="11" customWidth="1"/>
    <col min="8642" max="8642" width="11" style="11" customWidth="1"/>
    <col min="8643" max="8643" width="10.85546875" style="11" customWidth="1"/>
    <col min="8644" max="8644" width="14.5703125" style="11" customWidth="1"/>
    <col min="8645" max="8646" width="15.5703125" style="11" customWidth="1"/>
    <col min="8647" max="8647" width="17.7109375" style="11" customWidth="1"/>
    <col min="8648" max="8873" width="29.28515625" style="11" customWidth="1"/>
    <col min="8874" max="8874" width="42.42578125" style="11" customWidth="1"/>
    <col min="8875" max="8877" width="12.42578125" style="11" customWidth="1"/>
    <col min="8878" max="8880" width="10.85546875" style="11" customWidth="1"/>
    <col min="8881" max="8883" width="14.5703125" style="11" bestFit="1" customWidth="1"/>
    <col min="8884" max="8886" width="11" style="11" customWidth="1"/>
    <col min="8887" max="8889" width="14.5703125" style="11" customWidth="1"/>
    <col min="8890" max="8892" width="15.28515625" style="11" customWidth="1"/>
    <col min="8893" max="8893" width="15.5703125" style="11"/>
    <col min="8894" max="8894" width="44.5703125" style="11" customWidth="1"/>
    <col min="8895" max="8895" width="13.85546875" style="11" customWidth="1"/>
    <col min="8896" max="8896" width="10.85546875" style="11" customWidth="1"/>
    <col min="8897" max="8897" width="14.5703125" style="11" customWidth="1"/>
    <col min="8898" max="8898" width="11" style="11" customWidth="1"/>
    <col min="8899" max="8899" width="10.85546875" style="11" customWidth="1"/>
    <col min="8900" max="8900" width="14.5703125" style="11" customWidth="1"/>
    <col min="8901" max="8902" width="15.5703125" style="11" customWidth="1"/>
    <col min="8903" max="8903" width="17.7109375" style="11" customWidth="1"/>
    <col min="8904" max="9129" width="29.28515625" style="11" customWidth="1"/>
    <col min="9130" max="9130" width="42.42578125" style="11" customWidth="1"/>
    <col min="9131" max="9133" width="12.42578125" style="11" customWidth="1"/>
    <col min="9134" max="9136" width="10.85546875" style="11" customWidth="1"/>
    <col min="9137" max="9139" width="14.5703125" style="11" bestFit="1" customWidth="1"/>
    <col min="9140" max="9142" width="11" style="11" customWidth="1"/>
    <col min="9143" max="9145" width="14.5703125" style="11" customWidth="1"/>
    <col min="9146" max="9148" width="15.28515625" style="11" customWidth="1"/>
    <col min="9149" max="9149" width="15.5703125" style="11"/>
    <col min="9150" max="9150" width="44.5703125" style="11" customWidth="1"/>
    <col min="9151" max="9151" width="13.85546875" style="11" customWidth="1"/>
    <col min="9152" max="9152" width="10.85546875" style="11" customWidth="1"/>
    <col min="9153" max="9153" width="14.5703125" style="11" customWidth="1"/>
    <col min="9154" max="9154" width="11" style="11" customWidth="1"/>
    <col min="9155" max="9155" width="10.85546875" style="11" customWidth="1"/>
    <col min="9156" max="9156" width="14.5703125" style="11" customWidth="1"/>
    <col min="9157" max="9158" width="15.5703125" style="11" customWidth="1"/>
    <col min="9159" max="9159" width="17.7109375" style="11" customWidth="1"/>
    <col min="9160" max="9385" width="29.28515625" style="11" customWidth="1"/>
    <col min="9386" max="9386" width="42.42578125" style="11" customWidth="1"/>
    <col min="9387" max="9389" width="12.42578125" style="11" customWidth="1"/>
    <col min="9390" max="9392" width="10.85546875" style="11" customWidth="1"/>
    <col min="9393" max="9395" width="14.5703125" style="11" bestFit="1" customWidth="1"/>
    <col min="9396" max="9398" width="11" style="11" customWidth="1"/>
    <col min="9399" max="9401" width="14.5703125" style="11" customWidth="1"/>
    <col min="9402" max="9404" width="15.28515625" style="11" customWidth="1"/>
    <col min="9405" max="9405" width="15.5703125" style="11"/>
    <col min="9406" max="9406" width="44.5703125" style="11" customWidth="1"/>
    <col min="9407" max="9407" width="13.85546875" style="11" customWidth="1"/>
    <col min="9408" max="9408" width="10.85546875" style="11" customWidth="1"/>
    <col min="9409" max="9409" width="14.5703125" style="11" customWidth="1"/>
    <col min="9410" max="9410" width="11" style="11" customWidth="1"/>
    <col min="9411" max="9411" width="10.85546875" style="11" customWidth="1"/>
    <col min="9412" max="9412" width="14.5703125" style="11" customWidth="1"/>
    <col min="9413" max="9414" width="15.5703125" style="11" customWidth="1"/>
    <col min="9415" max="9415" width="17.7109375" style="11" customWidth="1"/>
    <col min="9416" max="9641" width="29.28515625" style="11" customWidth="1"/>
    <col min="9642" max="9642" width="42.42578125" style="11" customWidth="1"/>
    <col min="9643" max="9645" width="12.42578125" style="11" customWidth="1"/>
    <col min="9646" max="9648" width="10.85546875" style="11" customWidth="1"/>
    <col min="9649" max="9651" width="14.5703125" style="11" bestFit="1" customWidth="1"/>
    <col min="9652" max="9654" width="11" style="11" customWidth="1"/>
    <col min="9655" max="9657" width="14.5703125" style="11" customWidth="1"/>
    <col min="9658" max="9660" width="15.28515625" style="11" customWidth="1"/>
    <col min="9661" max="9661" width="15.5703125" style="11"/>
    <col min="9662" max="9662" width="44.5703125" style="11" customWidth="1"/>
    <col min="9663" max="9663" width="13.85546875" style="11" customWidth="1"/>
    <col min="9664" max="9664" width="10.85546875" style="11" customWidth="1"/>
    <col min="9665" max="9665" width="14.5703125" style="11" customWidth="1"/>
    <col min="9666" max="9666" width="11" style="11" customWidth="1"/>
    <col min="9667" max="9667" width="10.85546875" style="11" customWidth="1"/>
    <col min="9668" max="9668" width="14.5703125" style="11" customWidth="1"/>
    <col min="9669" max="9670" width="15.5703125" style="11" customWidth="1"/>
    <col min="9671" max="9671" width="17.7109375" style="11" customWidth="1"/>
    <col min="9672" max="9897" width="29.28515625" style="11" customWidth="1"/>
    <col min="9898" max="9898" width="42.42578125" style="11" customWidth="1"/>
    <col min="9899" max="9901" width="12.42578125" style="11" customWidth="1"/>
    <col min="9902" max="9904" width="10.85546875" style="11" customWidth="1"/>
    <col min="9905" max="9907" width="14.5703125" style="11" bestFit="1" customWidth="1"/>
    <col min="9908" max="9910" width="11" style="11" customWidth="1"/>
    <col min="9911" max="9913" width="14.5703125" style="11" customWidth="1"/>
    <col min="9914" max="9916" width="15.28515625" style="11" customWidth="1"/>
    <col min="9917" max="9917" width="15.5703125" style="11"/>
    <col min="9918" max="9918" width="44.5703125" style="11" customWidth="1"/>
    <col min="9919" max="9919" width="13.85546875" style="11" customWidth="1"/>
    <col min="9920" max="9920" width="10.85546875" style="11" customWidth="1"/>
    <col min="9921" max="9921" width="14.5703125" style="11" customWidth="1"/>
    <col min="9922" max="9922" width="11" style="11" customWidth="1"/>
    <col min="9923" max="9923" width="10.85546875" style="11" customWidth="1"/>
    <col min="9924" max="9924" width="14.5703125" style="11" customWidth="1"/>
    <col min="9925" max="9926" width="15.5703125" style="11" customWidth="1"/>
    <col min="9927" max="9927" width="17.7109375" style="11" customWidth="1"/>
    <col min="9928" max="10153" width="29.28515625" style="11" customWidth="1"/>
    <col min="10154" max="10154" width="42.42578125" style="11" customWidth="1"/>
    <col min="10155" max="10157" width="12.42578125" style="11" customWidth="1"/>
    <col min="10158" max="10160" width="10.85546875" style="11" customWidth="1"/>
    <col min="10161" max="10163" width="14.5703125" style="11" bestFit="1" customWidth="1"/>
    <col min="10164" max="10166" width="11" style="11" customWidth="1"/>
    <col min="10167" max="10169" width="14.5703125" style="11" customWidth="1"/>
    <col min="10170" max="10172" width="15.28515625" style="11" customWidth="1"/>
    <col min="10173" max="10173" width="15.5703125" style="11"/>
    <col min="10174" max="10174" width="44.5703125" style="11" customWidth="1"/>
    <col min="10175" max="10175" width="13.85546875" style="11" customWidth="1"/>
    <col min="10176" max="10176" width="10.85546875" style="11" customWidth="1"/>
    <col min="10177" max="10177" width="14.5703125" style="11" customWidth="1"/>
    <col min="10178" max="10178" width="11" style="11" customWidth="1"/>
    <col min="10179" max="10179" width="10.85546875" style="11" customWidth="1"/>
    <col min="10180" max="10180" width="14.5703125" style="11" customWidth="1"/>
    <col min="10181" max="10182" width="15.5703125" style="11" customWidth="1"/>
    <col min="10183" max="10183" width="17.7109375" style="11" customWidth="1"/>
    <col min="10184" max="10409" width="29.28515625" style="11" customWidth="1"/>
    <col min="10410" max="10410" width="42.42578125" style="11" customWidth="1"/>
    <col min="10411" max="10413" width="12.42578125" style="11" customWidth="1"/>
    <col min="10414" max="10416" width="10.85546875" style="11" customWidth="1"/>
    <col min="10417" max="10419" width="14.5703125" style="11" bestFit="1" customWidth="1"/>
    <col min="10420" max="10422" width="11" style="11" customWidth="1"/>
    <col min="10423" max="10425" width="14.5703125" style="11" customWidth="1"/>
    <col min="10426" max="10428" width="15.28515625" style="11" customWidth="1"/>
    <col min="10429" max="10429" width="15.5703125" style="11"/>
    <col min="10430" max="10430" width="44.5703125" style="11" customWidth="1"/>
    <col min="10431" max="10431" width="13.85546875" style="11" customWidth="1"/>
    <col min="10432" max="10432" width="10.85546875" style="11" customWidth="1"/>
    <col min="10433" max="10433" width="14.5703125" style="11" customWidth="1"/>
    <col min="10434" max="10434" width="11" style="11" customWidth="1"/>
    <col min="10435" max="10435" width="10.85546875" style="11" customWidth="1"/>
    <col min="10436" max="10436" width="14.5703125" style="11" customWidth="1"/>
    <col min="10437" max="10438" width="15.5703125" style="11" customWidth="1"/>
    <col min="10439" max="10439" width="17.7109375" style="11" customWidth="1"/>
    <col min="10440" max="10665" width="29.28515625" style="11" customWidth="1"/>
    <col min="10666" max="10666" width="42.42578125" style="11" customWidth="1"/>
    <col min="10667" max="10669" width="12.42578125" style="11" customWidth="1"/>
    <col min="10670" max="10672" width="10.85546875" style="11" customWidth="1"/>
    <col min="10673" max="10675" width="14.5703125" style="11" bestFit="1" customWidth="1"/>
    <col min="10676" max="10678" width="11" style="11" customWidth="1"/>
    <col min="10679" max="10681" width="14.5703125" style="11" customWidth="1"/>
    <col min="10682" max="10684" width="15.28515625" style="11" customWidth="1"/>
    <col min="10685" max="10685" width="15.5703125" style="11"/>
    <col min="10686" max="10686" width="44.5703125" style="11" customWidth="1"/>
    <col min="10687" max="10687" width="13.85546875" style="11" customWidth="1"/>
    <col min="10688" max="10688" width="10.85546875" style="11" customWidth="1"/>
    <col min="10689" max="10689" width="14.5703125" style="11" customWidth="1"/>
    <col min="10690" max="10690" width="11" style="11" customWidth="1"/>
    <col min="10691" max="10691" width="10.85546875" style="11" customWidth="1"/>
    <col min="10692" max="10692" width="14.5703125" style="11" customWidth="1"/>
    <col min="10693" max="10694" width="15.5703125" style="11" customWidth="1"/>
    <col min="10695" max="10695" width="17.7109375" style="11" customWidth="1"/>
    <col min="10696" max="10921" width="29.28515625" style="11" customWidth="1"/>
    <col min="10922" max="10922" width="42.42578125" style="11" customWidth="1"/>
    <col min="10923" max="10925" width="12.42578125" style="11" customWidth="1"/>
    <col min="10926" max="10928" width="10.85546875" style="11" customWidth="1"/>
    <col min="10929" max="10931" width="14.5703125" style="11" bestFit="1" customWidth="1"/>
    <col min="10932" max="10934" width="11" style="11" customWidth="1"/>
    <col min="10935" max="10937" width="14.5703125" style="11" customWidth="1"/>
    <col min="10938" max="10940" width="15.28515625" style="11" customWidth="1"/>
    <col min="10941" max="10941" width="15.5703125" style="11"/>
    <col min="10942" max="10942" width="44.5703125" style="11" customWidth="1"/>
    <col min="10943" max="10943" width="13.85546875" style="11" customWidth="1"/>
    <col min="10944" max="10944" width="10.85546875" style="11" customWidth="1"/>
    <col min="10945" max="10945" width="14.5703125" style="11" customWidth="1"/>
    <col min="10946" max="10946" width="11" style="11" customWidth="1"/>
    <col min="10947" max="10947" width="10.85546875" style="11" customWidth="1"/>
    <col min="10948" max="10948" width="14.5703125" style="11" customWidth="1"/>
    <col min="10949" max="10950" width="15.5703125" style="11" customWidth="1"/>
    <col min="10951" max="10951" width="17.7109375" style="11" customWidth="1"/>
    <col min="10952" max="11177" width="29.28515625" style="11" customWidth="1"/>
    <col min="11178" max="11178" width="42.42578125" style="11" customWidth="1"/>
    <col min="11179" max="11181" width="12.42578125" style="11" customWidth="1"/>
    <col min="11182" max="11184" width="10.85546875" style="11" customWidth="1"/>
    <col min="11185" max="11187" width="14.5703125" style="11" bestFit="1" customWidth="1"/>
    <col min="11188" max="11190" width="11" style="11" customWidth="1"/>
    <col min="11191" max="11193" width="14.5703125" style="11" customWidth="1"/>
    <col min="11194" max="11196" width="15.28515625" style="11" customWidth="1"/>
    <col min="11197" max="11197" width="15.5703125" style="11"/>
    <col min="11198" max="11198" width="44.5703125" style="11" customWidth="1"/>
    <col min="11199" max="11199" width="13.85546875" style="11" customWidth="1"/>
    <col min="11200" max="11200" width="10.85546875" style="11" customWidth="1"/>
    <col min="11201" max="11201" width="14.5703125" style="11" customWidth="1"/>
    <col min="11202" max="11202" width="11" style="11" customWidth="1"/>
    <col min="11203" max="11203" width="10.85546875" style="11" customWidth="1"/>
    <col min="11204" max="11204" width="14.5703125" style="11" customWidth="1"/>
    <col min="11205" max="11206" width="15.5703125" style="11" customWidth="1"/>
    <col min="11207" max="11207" width="17.7109375" style="11" customWidth="1"/>
    <col min="11208" max="11433" width="29.28515625" style="11" customWidth="1"/>
    <col min="11434" max="11434" width="42.42578125" style="11" customWidth="1"/>
    <col min="11435" max="11437" width="12.42578125" style="11" customWidth="1"/>
    <col min="11438" max="11440" width="10.85546875" style="11" customWidth="1"/>
    <col min="11441" max="11443" width="14.5703125" style="11" bestFit="1" customWidth="1"/>
    <col min="11444" max="11446" width="11" style="11" customWidth="1"/>
    <col min="11447" max="11449" width="14.5703125" style="11" customWidth="1"/>
    <col min="11450" max="11452" width="15.28515625" style="11" customWidth="1"/>
    <col min="11453" max="11453" width="15.5703125" style="11"/>
    <col min="11454" max="11454" width="44.5703125" style="11" customWidth="1"/>
    <col min="11455" max="11455" width="13.85546875" style="11" customWidth="1"/>
    <col min="11456" max="11456" width="10.85546875" style="11" customWidth="1"/>
    <col min="11457" max="11457" width="14.5703125" style="11" customWidth="1"/>
    <col min="11458" max="11458" width="11" style="11" customWidth="1"/>
    <col min="11459" max="11459" width="10.85546875" style="11" customWidth="1"/>
    <col min="11460" max="11460" width="14.5703125" style="11" customWidth="1"/>
    <col min="11461" max="11462" width="15.5703125" style="11" customWidth="1"/>
    <col min="11463" max="11463" width="17.7109375" style="11" customWidth="1"/>
    <col min="11464" max="11689" width="29.28515625" style="11" customWidth="1"/>
    <col min="11690" max="11690" width="42.42578125" style="11" customWidth="1"/>
    <col min="11691" max="11693" width="12.42578125" style="11" customWidth="1"/>
    <col min="11694" max="11696" width="10.85546875" style="11" customWidth="1"/>
    <col min="11697" max="11699" width="14.5703125" style="11" bestFit="1" customWidth="1"/>
    <col min="11700" max="11702" width="11" style="11" customWidth="1"/>
    <col min="11703" max="11705" width="14.5703125" style="11" customWidth="1"/>
    <col min="11706" max="11708" width="15.28515625" style="11" customWidth="1"/>
    <col min="11709" max="11709" width="15.5703125" style="11"/>
    <col min="11710" max="11710" width="44.5703125" style="11" customWidth="1"/>
    <col min="11711" max="11711" width="13.85546875" style="11" customWidth="1"/>
    <col min="11712" max="11712" width="10.85546875" style="11" customWidth="1"/>
    <col min="11713" max="11713" width="14.5703125" style="11" customWidth="1"/>
    <col min="11714" max="11714" width="11" style="11" customWidth="1"/>
    <col min="11715" max="11715" width="10.85546875" style="11" customWidth="1"/>
    <col min="11716" max="11716" width="14.5703125" style="11" customWidth="1"/>
    <col min="11717" max="11718" width="15.5703125" style="11" customWidth="1"/>
    <col min="11719" max="11719" width="17.7109375" style="11" customWidth="1"/>
    <col min="11720" max="11945" width="29.28515625" style="11" customWidth="1"/>
    <col min="11946" max="11946" width="42.42578125" style="11" customWidth="1"/>
    <col min="11947" max="11949" width="12.42578125" style="11" customWidth="1"/>
    <col min="11950" max="11952" width="10.85546875" style="11" customWidth="1"/>
    <col min="11953" max="11955" width="14.5703125" style="11" bestFit="1" customWidth="1"/>
    <col min="11956" max="11958" width="11" style="11" customWidth="1"/>
    <col min="11959" max="11961" width="14.5703125" style="11" customWidth="1"/>
    <col min="11962" max="11964" width="15.28515625" style="11" customWidth="1"/>
    <col min="11965" max="11965" width="15.5703125" style="11"/>
    <col min="11966" max="11966" width="44.5703125" style="11" customWidth="1"/>
    <col min="11967" max="11967" width="13.85546875" style="11" customWidth="1"/>
    <col min="11968" max="11968" width="10.85546875" style="11" customWidth="1"/>
    <col min="11969" max="11969" width="14.5703125" style="11" customWidth="1"/>
    <col min="11970" max="11970" width="11" style="11" customWidth="1"/>
    <col min="11971" max="11971" width="10.85546875" style="11" customWidth="1"/>
    <col min="11972" max="11972" width="14.5703125" style="11" customWidth="1"/>
    <col min="11973" max="11974" width="15.5703125" style="11" customWidth="1"/>
    <col min="11975" max="11975" width="17.7109375" style="11" customWidth="1"/>
    <col min="11976" max="12201" width="29.28515625" style="11" customWidth="1"/>
    <col min="12202" max="12202" width="42.42578125" style="11" customWidth="1"/>
    <col min="12203" max="12205" width="12.42578125" style="11" customWidth="1"/>
    <col min="12206" max="12208" width="10.85546875" style="11" customWidth="1"/>
    <col min="12209" max="12211" width="14.5703125" style="11" bestFit="1" customWidth="1"/>
    <col min="12212" max="12214" width="11" style="11" customWidth="1"/>
    <col min="12215" max="12217" width="14.5703125" style="11" customWidth="1"/>
    <col min="12218" max="12220" width="15.28515625" style="11" customWidth="1"/>
    <col min="12221" max="12221" width="15.5703125" style="11"/>
    <col min="12222" max="12222" width="44.5703125" style="11" customWidth="1"/>
    <col min="12223" max="12223" width="13.85546875" style="11" customWidth="1"/>
    <col min="12224" max="12224" width="10.85546875" style="11" customWidth="1"/>
    <col min="12225" max="12225" width="14.5703125" style="11" customWidth="1"/>
    <col min="12226" max="12226" width="11" style="11" customWidth="1"/>
    <col min="12227" max="12227" width="10.85546875" style="11" customWidth="1"/>
    <col min="12228" max="12228" width="14.5703125" style="11" customWidth="1"/>
    <col min="12229" max="12230" width="15.5703125" style="11" customWidth="1"/>
    <col min="12231" max="12231" width="17.7109375" style="11" customWidth="1"/>
    <col min="12232" max="12457" width="29.28515625" style="11" customWidth="1"/>
    <col min="12458" max="12458" width="42.42578125" style="11" customWidth="1"/>
    <col min="12459" max="12461" width="12.42578125" style="11" customWidth="1"/>
    <col min="12462" max="12464" width="10.85546875" style="11" customWidth="1"/>
    <col min="12465" max="12467" width="14.5703125" style="11" bestFit="1" customWidth="1"/>
    <col min="12468" max="12470" width="11" style="11" customWidth="1"/>
    <col min="12471" max="12473" width="14.5703125" style="11" customWidth="1"/>
    <col min="12474" max="12476" width="15.28515625" style="11" customWidth="1"/>
    <col min="12477" max="12477" width="15.5703125" style="11"/>
    <col min="12478" max="12478" width="44.5703125" style="11" customWidth="1"/>
    <col min="12479" max="12479" width="13.85546875" style="11" customWidth="1"/>
    <col min="12480" max="12480" width="10.85546875" style="11" customWidth="1"/>
    <col min="12481" max="12481" width="14.5703125" style="11" customWidth="1"/>
    <col min="12482" max="12482" width="11" style="11" customWidth="1"/>
    <col min="12483" max="12483" width="10.85546875" style="11" customWidth="1"/>
    <col min="12484" max="12484" width="14.5703125" style="11" customWidth="1"/>
    <col min="12485" max="12486" width="15.5703125" style="11" customWidth="1"/>
    <col min="12487" max="12487" width="17.7109375" style="11" customWidth="1"/>
    <col min="12488" max="12713" width="29.28515625" style="11" customWidth="1"/>
    <col min="12714" max="12714" width="42.42578125" style="11" customWidth="1"/>
    <col min="12715" max="12717" width="12.42578125" style="11" customWidth="1"/>
    <col min="12718" max="12720" width="10.85546875" style="11" customWidth="1"/>
    <col min="12721" max="12723" width="14.5703125" style="11" bestFit="1" customWidth="1"/>
    <col min="12724" max="12726" width="11" style="11" customWidth="1"/>
    <col min="12727" max="12729" width="14.5703125" style="11" customWidth="1"/>
    <col min="12730" max="12732" width="15.28515625" style="11" customWidth="1"/>
    <col min="12733" max="12733" width="15.5703125" style="11"/>
    <col min="12734" max="12734" width="44.5703125" style="11" customWidth="1"/>
    <col min="12735" max="12735" width="13.85546875" style="11" customWidth="1"/>
    <col min="12736" max="12736" width="10.85546875" style="11" customWidth="1"/>
    <col min="12737" max="12737" width="14.5703125" style="11" customWidth="1"/>
    <col min="12738" max="12738" width="11" style="11" customWidth="1"/>
    <col min="12739" max="12739" width="10.85546875" style="11" customWidth="1"/>
    <col min="12740" max="12740" width="14.5703125" style="11" customWidth="1"/>
    <col min="12741" max="12742" width="15.5703125" style="11" customWidth="1"/>
    <col min="12743" max="12743" width="17.7109375" style="11" customWidth="1"/>
    <col min="12744" max="12969" width="29.28515625" style="11" customWidth="1"/>
    <col min="12970" max="12970" width="42.42578125" style="11" customWidth="1"/>
    <col min="12971" max="12973" width="12.42578125" style="11" customWidth="1"/>
    <col min="12974" max="12976" width="10.85546875" style="11" customWidth="1"/>
    <col min="12977" max="12979" width="14.5703125" style="11" bestFit="1" customWidth="1"/>
    <col min="12980" max="12982" width="11" style="11" customWidth="1"/>
    <col min="12983" max="12985" width="14.5703125" style="11" customWidth="1"/>
    <col min="12986" max="12988" width="15.28515625" style="11" customWidth="1"/>
    <col min="12989" max="12989" width="15.5703125" style="11"/>
    <col min="12990" max="12990" width="44.5703125" style="11" customWidth="1"/>
    <col min="12991" max="12991" width="13.85546875" style="11" customWidth="1"/>
    <col min="12992" max="12992" width="10.85546875" style="11" customWidth="1"/>
    <col min="12993" max="12993" width="14.5703125" style="11" customWidth="1"/>
    <col min="12994" max="12994" width="11" style="11" customWidth="1"/>
    <col min="12995" max="12995" width="10.85546875" style="11" customWidth="1"/>
    <col min="12996" max="12996" width="14.5703125" style="11" customWidth="1"/>
    <col min="12997" max="12998" width="15.5703125" style="11" customWidth="1"/>
    <col min="12999" max="12999" width="17.7109375" style="11" customWidth="1"/>
    <col min="13000" max="13225" width="29.28515625" style="11" customWidth="1"/>
    <col min="13226" max="13226" width="42.42578125" style="11" customWidth="1"/>
    <col min="13227" max="13229" width="12.42578125" style="11" customWidth="1"/>
    <col min="13230" max="13232" width="10.85546875" style="11" customWidth="1"/>
    <col min="13233" max="13235" width="14.5703125" style="11" bestFit="1" customWidth="1"/>
    <col min="13236" max="13238" width="11" style="11" customWidth="1"/>
    <col min="13239" max="13241" width="14.5703125" style="11" customWidth="1"/>
    <col min="13242" max="13244" width="15.28515625" style="11" customWidth="1"/>
    <col min="13245" max="13245" width="15.5703125" style="11"/>
    <col min="13246" max="13246" width="44.5703125" style="11" customWidth="1"/>
    <col min="13247" max="13247" width="13.85546875" style="11" customWidth="1"/>
    <col min="13248" max="13248" width="10.85546875" style="11" customWidth="1"/>
    <col min="13249" max="13249" width="14.5703125" style="11" customWidth="1"/>
    <col min="13250" max="13250" width="11" style="11" customWidth="1"/>
    <col min="13251" max="13251" width="10.85546875" style="11" customWidth="1"/>
    <col min="13252" max="13252" width="14.5703125" style="11" customWidth="1"/>
    <col min="13253" max="13254" width="15.5703125" style="11" customWidth="1"/>
    <col min="13255" max="13255" width="17.7109375" style="11" customWidth="1"/>
    <col min="13256" max="13481" width="29.28515625" style="11" customWidth="1"/>
    <col min="13482" max="13482" width="42.42578125" style="11" customWidth="1"/>
    <col min="13483" max="13485" width="12.42578125" style="11" customWidth="1"/>
    <col min="13486" max="13488" width="10.85546875" style="11" customWidth="1"/>
    <col min="13489" max="13491" width="14.5703125" style="11" bestFit="1" customWidth="1"/>
    <col min="13492" max="13494" width="11" style="11" customWidth="1"/>
    <col min="13495" max="13497" width="14.5703125" style="11" customWidth="1"/>
    <col min="13498" max="13500" width="15.28515625" style="11" customWidth="1"/>
    <col min="13501" max="13501" width="15.5703125" style="11"/>
    <col min="13502" max="13502" width="44.5703125" style="11" customWidth="1"/>
    <col min="13503" max="13503" width="13.85546875" style="11" customWidth="1"/>
    <col min="13504" max="13504" width="10.85546875" style="11" customWidth="1"/>
    <col min="13505" max="13505" width="14.5703125" style="11" customWidth="1"/>
    <col min="13506" max="13506" width="11" style="11" customWidth="1"/>
    <col min="13507" max="13507" width="10.85546875" style="11" customWidth="1"/>
    <col min="13508" max="13508" width="14.5703125" style="11" customWidth="1"/>
    <col min="13509" max="13510" width="15.5703125" style="11" customWidth="1"/>
    <col min="13511" max="13511" width="17.7109375" style="11" customWidth="1"/>
    <col min="13512" max="13737" width="29.28515625" style="11" customWidth="1"/>
    <col min="13738" max="13738" width="42.42578125" style="11" customWidth="1"/>
    <col min="13739" max="13741" width="12.42578125" style="11" customWidth="1"/>
    <col min="13742" max="13744" width="10.85546875" style="11" customWidth="1"/>
    <col min="13745" max="13747" width="14.5703125" style="11" bestFit="1" customWidth="1"/>
    <col min="13748" max="13750" width="11" style="11" customWidth="1"/>
    <col min="13751" max="13753" width="14.5703125" style="11" customWidth="1"/>
    <col min="13754" max="13756" width="15.28515625" style="11" customWidth="1"/>
    <col min="13757" max="13757" width="15.5703125" style="11"/>
    <col min="13758" max="13758" width="44.5703125" style="11" customWidth="1"/>
    <col min="13759" max="13759" width="13.85546875" style="11" customWidth="1"/>
    <col min="13760" max="13760" width="10.85546875" style="11" customWidth="1"/>
    <col min="13761" max="13761" width="14.5703125" style="11" customWidth="1"/>
    <col min="13762" max="13762" width="11" style="11" customWidth="1"/>
    <col min="13763" max="13763" width="10.85546875" style="11" customWidth="1"/>
    <col min="13764" max="13764" width="14.5703125" style="11" customWidth="1"/>
    <col min="13765" max="13766" width="15.5703125" style="11" customWidth="1"/>
    <col min="13767" max="13767" width="17.7109375" style="11" customWidth="1"/>
    <col min="13768" max="13993" width="29.28515625" style="11" customWidth="1"/>
    <col min="13994" max="13994" width="42.42578125" style="11" customWidth="1"/>
    <col min="13995" max="13997" width="12.42578125" style="11" customWidth="1"/>
    <col min="13998" max="14000" width="10.85546875" style="11" customWidth="1"/>
    <col min="14001" max="14003" width="14.5703125" style="11" bestFit="1" customWidth="1"/>
    <col min="14004" max="14006" width="11" style="11" customWidth="1"/>
    <col min="14007" max="14009" width="14.5703125" style="11" customWidth="1"/>
    <col min="14010" max="14012" width="15.28515625" style="11" customWidth="1"/>
    <col min="14013" max="14013" width="15.5703125" style="11"/>
    <col min="14014" max="14014" width="44.5703125" style="11" customWidth="1"/>
    <col min="14015" max="14015" width="13.85546875" style="11" customWidth="1"/>
    <col min="14016" max="14016" width="10.85546875" style="11" customWidth="1"/>
    <col min="14017" max="14017" width="14.5703125" style="11" customWidth="1"/>
    <col min="14018" max="14018" width="11" style="11" customWidth="1"/>
    <col min="14019" max="14019" width="10.85546875" style="11" customWidth="1"/>
    <col min="14020" max="14020" width="14.5703125" style="11" customWidth="1"/>
    <col min="14021" max="14022" width="15.5703125" style="11" customWidth="1"/>
    <col min="14023" max="14023" width="17.7109375" style="11" customWidth="1"/>
    <col min="14024" max="14249" width="29.28515625" style="11" customWidth="1"/>
    <col min="14250" max="14250" width="42.42578125" style="11" customWidth="1"/>
    <col min="14251" max="14253" width="12.42578125" style="11" customWidth="1"/>
    <col min="14254" max="14256" width="10.85546875" style="11" customWidth="1"/>
    <col min="14257" max="14259" width="14.5703125" style="11" bestFit="1" customWidth="1"/>
    <col min="14260" max="14262" width="11" style="11" customWidth="1"/>
    <col min="14263" max="14265" width="14.5703125" style="11" customWidth="1"/>
    <col min="14266" max="14268" width="15.28515625" style="11" customWidth="1"/>
    <col min="14269" max="14269" width="15.5703125" style="11"/>
    <col min="14270" max="14270" width="44.5703125" style="11" customWidth="1"/>
    <col min="14271" max="14271" width="13.85546875" style="11" customWidth="1"/>
    <col min="14272" max="14272" width="10.85546875" style="11" customWidth="1"/>
    <col min="14273" max="14273" width="14.5703125" style="11" customWidth="1"/>
    <col min="14274" max="14274" width="11" style="11" customWidth="1"/>
    <col min="14275" max="14275" width="10.85546875" style="11" customWidth="1"/>
    <col min="14276" max="14276" width="14.5703125" style="11" customWidth="1"/>
    <col min="14277" max="14278" width="15.5703125" style="11" customWidth="1"/>
    <col min="14279" max="14279" width="17.7109375" style="11" customWidth="1"/>
    <col min="14280" max="14505" width="29.28515625" style="11" customWidth="1"/>
    <col min="14506" max="14506" width="42.42578125" style="11" customWidth="1"/>
    <col min="14507" max="14509" width="12.42578125" style="11" customWidth="1"/>
    <col min="14510" max="14512" width="10.85546875" style="11" customWidth="1"/>
    <col min="14513" max="14515" width="14.5703125" style="11" bestFit="1" customWidth="1"/>
    <col min="14516" max="14518" width="11" style="11" customWidth="1"/>
    <col min="14519" max="14521" width="14.5703125" style="11" customWidth="1"/>
    <col min="14522" max="14524" width="15.28515625" style="11" customWidth="1"/>
    <col min="14525" max="14525" width="15.5703125" style="11"/>
    <col min="14526" max="14526" width="44.5703125" style="11" customWidth="1"/>
    <col min="14527" max="14527" width="13.85546875" style="11" customWidth="1"/>
    <col min="14528" max="14528" width="10.85546875" style="11" customWidth="1"/>
    <col min="14529" max="14529" width="14.5703125" style="11" customWidth="1"/>
    <col min="14530" max="14530" width="11" style="11" customWidth="1"/>
    <col min="14531" max="14531" width="10.85546875" style="11" customWidth="1"/>
    <col min="14532" max="14532" width="14.5703125" style="11" customWidth="1"/>
    <col min="14533" max="14534" width="15.5703125" style="11" customWidth="1"/>
    <col min="14535" max="14535" width="17.7109375" style="11" customWidth="1"/>
    <col min="14536" max="14761" width="29.28515625" style="11" customWidth="1"/>
    <col min="14762" max="14762" width="42.42578125" style="11" customWidth="1"/>
    <col min="14763" max="14765" width="12.42578125" style="11" customWidth="1"/>
    <col min="14766" max="14768" width="10.85546875" style="11" customWidth="1"/>
    <col min="14769" max="14771" width="14.5703125" style="11" bestFit="1" customWidth="1"/>
    <col min="14772" max="14774" width="11" style="11" customWidth="1"/>
    <col min="14775" max="14777" width="14.5703125" style="11" customWidth="1"/>
    <col min="14778" max="14780" width="15.28515625" style="11" customWidth="1"/>
    <col min="14781" max="14781" width="15.5703125" style="11"/>
    <col min="14782" max="14782" width="44.5703125" style="11" customWidth="1"/>
    <col min="14783" max="14783" width="13.85546875" style="11" customWidth="1"/>
    <col min="14784" max="14784" width="10.85546875" style="11" customWidth="1"/>
    <col min="14785" max="14785" width="14.5703125" style="11" customWidth="1"/>
    <col min="14786" max="14786" width="11" style="11" customWidth="1"/>
    <col min="14787" max="14787" width="10.85546875" style="11" customWidth="1"/>
    <col min="14788" max="14788" width="14.5703125" style="11" customWidth="1"/>
    <col min="14789" max="14790" width="15.5703125" style="11" customWidth="1"/>
    <col min="14791" max="14791" width="17.7109375" style="11" customWidth="1"/>
    <col min="14792" max="15017" width="29.28515625" style="11" customWidth="1"/>
    <col min="15018" max="15018" width="42.42578125" style="11" customWidth="1"/>
    <col min="15019" max="15021" width="12.42578125" style="11" customWidth="1"/>
    <col min="15022" max="15024" width="10.85546875" style="11" customWidth="1"/>
    <col min="15025" max="15027" width="14.5703125" style="11" bestFit="1" customWidth="1"/>
    <col min="15028" max="15030" width="11" style="11" customWidth="1"/>
    <col min="15031" max="15033" width="14.5703125" style="11" customWidth="1"/>
    <col min="15034" max="15036" width="15.28515625" style="11" customWidth="1"/>
    <col min="15037" max="15037" width="15.5703125" style="11"/>
    <col min="15038" max="15038" width="44.5703125" style="11" customWidth="1"/>
    <col min="15039" max="15039" width="13.85546875" style="11" customWidth="1"/>
    <col min="15040" max="15040" width="10.85546875" style="11" customWidth="1"/>
    <col min="15041" max="15041" width="14.5703125" style="11" customWidth="1"/>
    <col min="15042" max="15042" width="11" style="11" customWidth="1"/>
    <col min="15043" max="15043" width="10.85546875" style="11" customWidth="1"/>
    <col min="15044" max="15044" width="14.5703125" style="11" customWidth="1"/>
    <col min="15045" max="15046" width="15.5703125" style="11" customWidth="1"/>
    <col min="15047" max="15047" width="17.7109375" style="11" customWidth="1"/>
    <col min="15048" max="15273" width="29.28515625" style="11" customWidth="1"/>
    <col min="15274" max="15274" width="42.42578125" style="11" customWidth="1"/>
    <col min="15275" max="15277" width="12.42578125" style="11" customWidth="1"/>
    <col min="15278" max="15280" width="10.85546875" style="11" customWidth="1"/>
    <col min="15281" max="15283" width="14.5703125" style="11" bestFit="1" customWidth="1"/>
    <col min="15284" max="15286" width="11" style="11" customWidth="1"/>
    <col min="15287" max="15289" width="14.5703125" style="11" customWidth="1"/>
    <col min="15290" max="15292" width="15.28515625" style="11" customWidth="1"/>
    <col min="15293" max="15293" width="15.5703125" style="11"/>
    <col min="15294" max="15294" width="44.5703125" style="11" customWidth="1"/>
    <col min="15295" max="15295" width="13.85546875" style="11" customWidth="1"/>
    <col min="15296" max="15296" width="10.85546875" style="11" customWidth="1"/>
    <col min="15297" max="15297" width="14.5703125" style="11" customWidth="1"/>
    <col min="15298" max="15298" width="11" style="11" customWidth="1"/>
    <col min="15299" max="15299" width="10.85546875" style="11" customWidth="1"/>
    <col min="15300" max="15300" width="14.5703125" style="11" customWidth="1"/>
    <col min="15301" max="15302" width="15.5703125" style="11" customWidth="1"/>
    <col min="15303" max="15303" width="17.7109375" style="11" customWidth="1"/>
    <col min="15304" max="15529" width="29.28515625" style="11" customWidth="1"/>
    <col min="15530" max="15530" width="42.42578125" style="11" customWidth="1"/>
    <col min="15531" max="15533" width="12.42578125" style="11" customWidth="1"/>
    <col min="15534" max="15536" width="10.85546875" style="11" customWidth="1"/>
    <col min="15537" max="15539" width="14.5703125" style="11" bestFit="1" customWidth="1"/>
    <col min="15540" max="15542" width="11" style="11" customWidth="1"/>
    <col min="15543" max="15545" width="14.5703125" style="11" customWidth="1"/>
    <col min="15546" max="15548" width="15.28515625" style="11" customWidth="1"/>
    <col min="15549" max="15549" width="15.5703125" style="11"/>
    <col min="15550" max="15550" width="44.5703125" style="11" customWidth="1"/>
    <col min="15551" max="15551" width="13.85546875" style="11" customWidth="1"/>
    <col min="15552" max="15552" width="10.85546875" style="11" customWidth="1"/>
    <col min="15553" max="15553" width="14.5703125" style="11" customWidth="1"/>
    <col min="15554" max="15554" width="11" style="11" customWidth="1"/>
    <col min="15555" max="15555" width="10.85546875" style="11" customWidth="1"/>
    <col min="15556" max="15556" width="14.5703125" style="11" customWidth="1"/>
    <col min="15557" max="15558" width="15.5703125" style="11" customWidth="1"/>
    <col min="15559" max="15559" width="17.7109375" style="11" customWidth="1"/>
    <col min="15560" max="15785" width="29.28515625" style="11" customWidth="1"/>
    <col min="15786" max="15786" width="42.42578125" style="11" customWidth="1"/>
    <col min="15787" max="15789" width="12.42578125" style="11" customWidth="1"/>
    <col min="15790" max="15792" width="10.85546875" style="11" customWidth="1"/>
    <col min="15793" max="15795" width="14.5703125" style="11" bestFit="1" customWidth="1"/>
    <col min="15796" max="15798" width="11" style="11" customWidth="1"/>
    <col min="15799" max="15801" width="14.5703125" style="11" customWidth="1"/>
    <col min="15802" max="15804" width="15.28515625" style="11" customWidth="1"/>
    <col min="15805" max="15805" width="15.5703125" style="11"/>
    <col min="15806" max="15806" width="44.5703125" style="11" customWidth="1"/>
    <col min="15807" max="15807" width="13.85546875" style="11" customWidth="1"/>
    <col min="15808" max="15808" width="10.85546875" style="11" customWidth="1"/>
    <col min="15809" max="15809" width="14.5703125" style="11" customWidth="1"/>
    <col min="15810" max="15810" width="11" style="11" customWidth="1"/>
    <col min="15811" max="15811" width="10.85546875" style="11" customWidth="1"/>
    <col min="15812" max="15812" width="14.5703125" style="11" customWidth="1"/>
    <col min="15813" max="15814" width="15.5703125" style="11" customWidth="1"/>
    <col min="15815" max="15815" width="17.7109375" style="11" customWidth="1"/>
    <col min="15816" max="16041" width="29.28515625" style="11" customWidth="1"/>
    <col min="16042" max="16042" width="42.42578125" style="11" customWidth="1"/>
    <col min="16043" max="16045" width="12.42578125" style="11" customWidth="1"/>
    <col min="16046" max="16048" width="10.85546875" style="11" customWidth="1"/>
    <col min="16049" max="16051" width="14.5703125" style="11" bestFit="1" customWidth="1"/>
    <col min="16052" max="16054" width="11" style="11" customWidth="1"/>
    <col min="16055" max="16057" width="14.5703125" style="11" customWidth="1"/>
    <col min="16058" max="16060" width="15.28515625" style="11" customWidth="1"/>
    <col min="16061" max="16061" width="15.5703125" style="11"/>
    <col min="16062" max="16062" width="44.5703125" style="11" customWidth="1"/>
    <col min="16063" max="16063" width="13.85546875" style="11" customWidth="1"/>
    <col min="16064" max="16064" width="10.85546875" style="11" customWidth="1"/>
    <col min="16065" max="16065" width="14.5703125" style="11" customWidth="1"/>
    <col min="16066" max="16066" width="11" style="11" customWidth="1"/>
    <col min="16067" max="16067" width="10.85546875" style="11" customWidth="1"/>
    <col min="16068" max="16068" width="14.5703125" style="11" customWidth="1"/>
    <col min="16069" max="16070" width="15.5703125" style="11" customWidth="1"/>
    <col min="16071" max="16071" width="17.7109375" style="11" customWidth="1"/>
    <col min="16072" max="16297" width="29.28515625" style="11" customWidth="1"/>
    <col min="16298" max="16298" width="42.42578125" style="11" customWidth="1"/>
    <col min="16299" max="16384" width="12.42578125" style="11" customWidth="1"/>
  </cols>
  <sheetData>
    <row r="1" spans="1:189" x14ac:dyDescent="0.25">
      <c r="T1" s="12"/>
      <c r="U1" s="12"/>
      <c r="V1" s="12"/>
      <c r="W1" s="12"/>
      <c r="X1" s="12"/>
      <c r="Y1" s="12"/>
      <c r="Z1" s="13"/>
      <c r="AA1" s="12"/>
      <c r="AB1" s="13" t="s">
        <v>6</v>
      </c>
    </row>
    <row r="2" spans="1:189" x14ac:dyDescent="0.25">
      <c r="Z2" s="14"/>
    </row>
    <row r="3" spans="1:189" x14ac:dyDescent="0.25">
      <c r="A3" s="15" t="s">
        <v>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</row>
    <row r="4" spans="1:189" s="14" customFormat="1" x14ac:dyDescent="0.25">
      <c r="A4" s="16" t="s">
        <v>8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</row>
    <row r="5" spans="1:189" s="14" customFormat="1" x14ac:dyDescent="0.25">
      <c r="A5" s="16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</row>
    <row r="6" spans="1:189" s="20" customFormat="1" ht="63" x14ac:dyDescent="0.25">
      <c r="A6" s="17" t="s">
        <v>9</v>
      </c>
      <c r="B6" s="18" t="s">
        <v>10</v>
      </c>
      <c r="C6" s="18" t="s">
        <v>10</v>
      </c>
      <c r="D6" s="18" t="s">
        <v>10</v>
      </c>
      <c r="E6" s="19" t="s">
        <v>11</v>
      </c>
      <c r="F6" s="19" t="s">
        <v>11</v>
      </c>
      <c r="G6" s="19" t="s">
        <v>11</v>
      </c>
      <c r="H6" s="19" t="s">
        <v>12</v>
      </c>
      <c r="I6" s="19" t="s">
        <v>12</v>
      </c>
      <c r="J6" s="19" t="s">
        <v>12</v>
      </c>
      <c r="K6" s="19" t="s">
        <v>13</v>
      </c>
      <c r="L6" s="19" t="s">
        <v>13</v>
      </c>
      <c r="M6" s="19" t="s">
        <v>13</v>
      </c>
      <c r="N6" s="19" t="s">
        <v>14</v>
      </c>
      <c r="O6" s="19" t="s">
        <v>14</v>
      </c>
      <c r="P6" s="19" t="s">
        <v>14</v>
      </c>
      <c r="Q6" s="19" t="s">
        <v>15</v>
      </c>
      <c r="R6" s="19" t="s">
        <v>15</v>
      </c>
      <c r="S6" s="19" t="s">
        <v>15</v>
      </c>
      <c r="T6" s="19" t="s">
        <v>16</v>
      </c>
      <c r="U6" s="19" t="s">
        <v>16</v>
      </c>
      <c r="V6" s="19" t="s">
        <v>16</v>
      </c>
      <c r="W6" s="19" t="s">
        <v>17</v>
      </c>
      <c r="X6" s="19" t="s">
        <v>17</v>
      </c>
      <c r="Y6" s="19" t="s">
        <v>17</v>
      </c>
      <c r="Z6" s="19" t="s">
        <v>18</v>
      </c>
      <c r="AA6" s="19" t="s">
        <v>18</v>
      </c>
      <c r="AB6" s="19" t="s">
        <v>18</v>
      </c>
    </row>
    <row r="7" spans="1:189" s="20" customFormat="1" x14ac:dyDescent="0.25">
      <c r="A7" s="21"/>
      <c r="B7" s="22" t="s">
        <v>19</v>
      </c>
      <c r="C7" s="22" t="s">
        <v>20</v>
      </c>
      <c r="D7" s="22" t="s">
        <v>21</v>
      </c>
      <c r="E7" s="22" t="s">
        <v>19</v>
      </c>
      <c r="F7" s="22" t="s">
        <v>20</v>
      </c>
      <c r="G7" s="22" t="s">
        <v>21</v>
      </c>
      <c r="H7" s="22" t="s">
        <v>19</v>
      </c>
      <c r="I7" s="22" t="s">
        <v>20</v>
      </c>
      <c r="J7" s="22" t="s">
        <v>21</v>
      </c>
      <c r="K7" s="22" t="s">
        <v>19</v>
      </c>
      <c r="L7" s="22" t="s">
        <v>20</v>
      </c>
      <c r="M7" s="22" t="s">
        <v>21</v>
      </c>
      <c r="N7" s="22" t="s">
        <v>19</v>
      </c>
      <c r="O7" s="22" t="s">
        <v>20</v>
      </c>
      <c r="P7" s="22" t="s">
        <v>21</v>
      </c>
      <c r="Q7" s="22" t="s">
        <v>19</v>
      </c>
      <c r="R7" s="22" t="s">
        <v>20</v>
      </c>
      <c r="S7" s="22" t="s">
        <v>21</v>
      </c>
      <c r="T7" s="22" t="s">
        <v>19</v>
      </c>
      <c r="U7" s="22" t="s">
        <v>20</v>
      </c>
      <c r="V7" s="22" t="s">
        <v>21</v>
      </c>
      <c r="W7" s="22" t="s">
        <v>19</v>
      </c>
      <c r="X7" s="22" t="s">
        <v>20</v>
      </c>
      <c r="Y7" s="22" t="s">
        <v>21</v>
      </c>
      <c r="Z7" s="22" t="s">
        <v>19</v>
      </c>
      <c r="AA7" s="22" t="s">
        <v>20</v>
      </c>
      <c r="AB7" s="22" t="s">
        <v>21</v>
      </c>
    </row>
    <row r="8" spans="1:189" s="25" customFormat="1" x14ac:dyDescent="0.25">
      <c r="A8" s="23" t="s">
        <v>0</v>
      </c>
      <c r="B8" s="24">
        <f>E8+H8+K8+N8+Q8+T8+Z8+W8</f>
        <v>36321469</v>
      </c>
      <c r="C8" s="24">
        <f>F8+I8+L8+O8+R8+U8+AA8+X8</f>
        <v>39208217</v>
      </c>
      <c r="D8" s="24">
        <f>G8+J8+M8+P8+S8+V8+AB8+Y8</f>
        <v>2886748</v>
      </c>
      <c r="E8" s="24">
        <f>SUM(E9,E178,E406,E424,E428)</f>
        <v>1617421</v>
      </c>
      <c r="F8" s="24">
        <f>SUM(F9,F178,F406,F424,F428)</f>
        <v>1617421</v>
      </c>
      <c r="G8" s="24">
        <f>F8-E8</f>
        <v>0</v>
      </c>
      <c r="H8" s="24">
        <f>SUM(H9,H178,H406,H424,H428)</f>
        <v>827468</v>
      </c>
      <c r="I8" s="24">
        <f>SUM(I9,I178,I406,I424,I428)</f>
        <v>858933</v>
      </c>
      <c r="J8" s="24">
        <f t="shared" ref="J8:J73" si="0">I8-H8</f>
        <v>31465</v>
      </c>
      <c r="K8" s="24">
        <f>SUM(K9,K178,K406,K424,K428)</f>
        <v>2771158</v>
      </c>
      <c r="L8" s="24">
        <f>SUM(L9,L178,L406,L424,L428)</f>
        <v>2672824</v>
      </c>
      <c r="M8" s="24">
        <f t="shared" ref="M8:M73" si="1">L8-K8</f>
        <v>-98334</v>
      </c>
      <c r="N8" s="24">
        <f>SUM(N9,N178,N406,N424,N428)</f>
        <v>13487783</v>
      </c>
      <c r="O8" s="24">
        <f>SUM(O9,O178,O406,O424,O428)</f>
        <v>13647937</v>
      </c>
      <c r="P8" s="24">
        <f t="shared" ref="P8:P73" si="2">O8-N8</f>
        <v>160154</v>
      </c>
      <c r="Q8" s="24">
        <f>SUM(Q9,Q178,Q406,Q424,Q428)</f>
        <v>965622</v>
      </c>
      <c r="R8" s="24">
        <f>SUM(R9,R178,R406,R424,R428)</f>
        <v>972877</v>
      </c>
      <c r="S8" s="24">
        <f t="shared" ref="S8:S73" si="3">R8-Q8</f>
        <v>7255</v>
      </c>
      <c r="T8" s="24">
        <f>SUM(T9,T178,T406,T424,T428)</f>
        <v>9711340</v>
      </c>
      <c r="U8" s="24">
        <f>SUM(U9,U178,U406,U424,U428)</f>
        <v>9711340</v>
      </c>
      <c r="V8" s="24">
        <f t="shared" ref="V8:V73" si="4">U8-T8</f>
        <v>0</v>
      </c>
      <c r="W8" s="24">
        <f>SUM(W9,W178,W406,W424,W428)</f>
        <v>1453053</v>
      </c>
      <c r="X8" s="24">
        <f>SUM(X9,X178,X406,X424,X428)</f>
        <v>2743053</v>
      </c>
      <c r="Y8" s="24">
        <f t="shared" ref="Y8:Y73" si="5">X8-W8</f>
        <v>1290000</v>
      </c>
      <c r="Z8" s="24">
        <f>SUM(Z9,Z178,Z406,Z424,Z428)</f>
        <v>5487624</v>
      </c>
      <c r="AA8" s="24">
        <f>SUM(AA9,AA178,AA406,AA424,AA428)</f>
        <v>6983832</v>
      </c>
      <c r="AB8" s="24">
        <f t="shared" ref="AB8:AB73" si="6">AA8-Z8</f>
        <v>1496208</v>
      </c>
    </row>
    <row r="9" spans="1:189" s="25" customFormat="1" x14ac:dyDescent="0.25">
      <c r="A9" s="26" t="s">
        <v>22</v>
      </c>
      <c r="B9" s="27">
        <f t="shared" ref="B9:D85" si="7">E9+H9+K9+N9+Q9+T9+Z9+W9</f>
        <v>18320947</v>
      </c>
      <c r="C9" s="27">
        <f t="shared" si="7"/>
        <v>19431760</v>
      </c>
      <c r="D9" s="27">
        <f t="shared" si="7"/>
        <v>1110813</v>
      </c>
      <c r="E9" s="27">
        <f>SUM(E10,E20,E36,E53,E149,E171,E48,E65)</f>
        <v>909241</v>
      </c>
      <c r="F9" s="27">
        <f>SUM(F10,F20,F36,F53,F149,F171,F48,F65)</f>
        <v>909238</v>
      </c>
      <c r="G9" s="27">
        <f t="shared" ref="G9:G96" si="8">F9-E9</f>
        <v>-3</v>
      </c>
      <c r="H9" s="27">
        <f>SUM(H10,H20,H36,H53,H149,H171,H48,H65)</f>
        <v>450534</v>
      </c>
      <c r="I9" s="27">
        <f>SUM(I10,I20,I36,I53,I149,I171,I48,I65)</f>
        <v>481999</v>
      </c>
      <c r="J9" s="27">
        <f t="shared" si="0"/>
        <v>31465</v>
      </c>
      <c r="K9" s="27">
        <f>SUM(K10,K20,K36,K53,K149,K171,K48,K65)</f>
        <v>1454981</v>
      </c>
      <c r="L9" s="27">
        <f>SUM(L10,L20,L36,L53,L149,L171,L48,L65)</f>
        <v>1435944</v>
      </c>
      <c r="M9" s="27">
        <f t="shared" si="1"/>
        <v>-19037</v>
      </c>
      <c r="N9" s="27">
        <f>SUM(N10,N20,N36,N53,N149,N171,N48,N65)</f>
        <v>7306738</v>
      </c>
      <c r="O9" s="27">
        <f>SUM(O10,O20,O36,O53,O149,O171,O48,O65)</f>
        <v>7465896</v>
      </c>
      <c r="P9" s="27">
        <f t="shared" si="2"/>
        <v>159158</v>
      </c>
      <c r="Q9" s="27">
        <f>SUM(Q10,Q20,Q36,Q53,Q149,Q171,Q48,Q65)</f>
        <v>483970</v>
      </c>
      <c r="R9" s="27">
        <f>SUM(R10,R20,R36,R53,R149,R171,R48,R65)</f>
        <v>486992</v>
      </c>
      <c r="S9" s="27">
        <f t="shared" si="3"/>
        <v>3022</v>
      </c>
      <c r="T9" s="27">
        <f>SUM(T10,T20,T36,T53,T149,T171,T48,T65)</f>
        <v>5379926</v>
      </c>
      <c r="U9" s="27">
        <f>SUM(U10,U20,U36,U53,U149,U171,U48,U65)</f>
        <v>5379926</v>
      </c>
      <c r="V9" s="27">
        <f t="shared" si="4"/>
        <v>0</v>
      </c>
      <c r="W9" s="27">
        <f>SUM(W10,W20,W36,W53,W149,W171,W48,W65)</f>
        <v>599757</v>
      </c>
      <c r="X9" s="27">
        <f>SUM(X10,X20,X36,X53,X149,X171,X48,X65)</f>
        <v>599757</v>
      </c>
      <c r="Y9" s="27">
        <f t="shared" si="5"/>
        <v>0</v>
      </c>
      <c r="Z9" s="27">
        <f>SUM(Z10,Z20,Z36,Z53,Z149,Z171,Z48,Z65)</f>
        <v>1735800</v>
      </c>
      <c r="AA9" s="27">
        <f>SUM(AA10,AA20,AA36,AA53,AA149,AA171,AA48,AA65)</f>
        <v>2672008</v>
      </c>
      <c r="AB9" s="27">
        <f t="shared" si="6"/>
        <v>936208</v>
      </c>
    </row>
    <row r="10" spans="1:189" s="28" customFormat="1" x14ac:dyDescent="0.25">
      <c r="A10" s="26" t="s">
        <v>23</v>
      </c>
      <c r="B10" s="27">
        <f t="shared" si="7"/>
        <v>33324</v>
      </c>
      <c r="C10" s="27">
        <f t="shared" si="7"/>
        <v>33324</v>
      </c>
      <c r="D10" s="27">
        <f t="shared" si="7"/>
        <v>0</v>
      </c>
      <c r="E10" s="27">
        <f t="shared" ref="E10:AA10" si="9">SUM(E11)</f>
        <v>0</v>
      </c>
      <c r="F10" s="27">
        <f t="shared" si="9"/>
        <v>0</v>
      </c>
      <c r="G10" s="27">
        <f t="shared" si="8"/>
        <v>0</v>
      </c>
      <c r="H10" s="27">
        <f t="shared" si="9"/>
        <v>13020</v>
      </c>
      <c r="I10" s="27">
        <f t="shared" si="9"/>
        <v>13020</v>
      </c>
      <c r="J10" s="27">
        <f t="shared" si="0"/>
        <v>0</v>
      </c>
      <c r="K10" s="27">
        <f t="shared" si="9"/>
        <v>20304</v>
      </c>
      <c r="L10" s="27">
        <f t="shared" si="9"/>
        <v>20304</v>
      </c>
      <c r="M10" s="27">
        <f t="shared" si="1"/>
        <v>0</v>
      </c>
      <c r="N10" s="27">
        <f t="shared" si="9"/>
        <v>0</v>
      </c>
      <c r="O10" s="27">
        <f t="shared" si="9"/>
        <v>0</v>
      </c>
      <c r="P10" s="27">
        <f t="shared" si="2"/>
        <v>0</v>
      </c>
      <c r="Q10" s="27">
        <f t="shared" si="9"/>
        <v>0</v>
      </c>
      <c r="R10" s="27">
        <f t="shared" si="9"/>
        <v>0</v>
      </c>
      <c r="S10" s="27">
        <f t="shared" si="3"/>
        <v>0</v>
      </c>
      <c r="T10" s="27">
        <f t="shared" si="9"/>
        <v>0</v>
      </c>
      <c r="U10" s="27">
        <f t="shared" si="9"/>
        <v>0</v>
      </c>
      <c r="V10" s="27">
        <f t="shared" si="4"/>
        <v>0</v>
      </c>
      <c r="W10" s="27">
        <f t="shared" si="9"/>
        <v>0</v>
      </c>
      <c r="X10" s="27">
        <f t="shared" si="9"/>
        <v>0</v>
      </c>
      <c r="Y10" s="27">
        <f t="shared" si="5"/>
        <v>0</v>
      </c>
      <c r="Z10" s="27">
        <f t="shared" si="9"/>
        <v>0</v>
      </c>
      <c r="AA10" s="27">
        <f t="shared" si="9"/>
        <v>0</v>
      </c>
      <c r="AB10" s="27">
        <f t="shared" si="6"/>
        <v>0</v>
      </c>
    </row>
    <row r="11" spans="1:189" s="25" customFormat="1" x14ac:dyDescent="0.25">
      <c r="A11" s="26" t="s">
        <v>24</v>
      </c>
      <c r="B11" s="29">
        <f t="shared" si="7"/>
        <v>33324</v>
      </c>
      <c r="C11" s="29">
        <f t="shared" si="7"/>
        <v>33324</v>
      </c>
      <c r="D11" s="29">
        <f t="shared" si="7"/>
        <v>0</v>
      </c>
      <c r="E11" s="29">
        <f>SUM(E12:E19)</f>
        <v>0</v>
      </c>
      <c r="F11" s="29">
        <f>SUM(F12:F19)</f>
        <v>0</v>
      </c>
      <c r="G11" s="29">
        <f t="shared" si="8"/>
        <v>0</v>
      </c>
      <c r="H11" s="29">
        <f>SUM(H12:H19)</f>
        <v>13020</v>
      </c>
      <c r="I11" s="29">
        <f>SUM(I12:I19)</f>
        <v>13020</v>
      </c>
      <c r="J11" s="29">
        <f t="shared" si="0"/>
        <v>0</v>
      </c>
      <c r="K11" s="29">
        <f>SUM(K12:K19)</f>
        <v>20304</v>
      </c>
      <c r="L11" s="29">
        <f>SUM(L12:L19)</f>
        <v>20304</v>
      </c>
      <c r="M11" s="29">
        <f t="shared" si="1"/>
        <v>0</v>
      </c>
      <c r="N11" s="29">
        <f>SUM(N12:N19)</f>
        <v>0</v>
      </c>
      <c r="O11" s="29">
        <f>SUM(O12:O19)</f>
        <v>0</v>
      </c>
      <c r="P11" s="29">
        <f t="shared" si="2"/>
        <v>0</v>
      </c>
      <c r="Q11" s="29">
        <f>SUM(Q12:Q19)</f>
        <v>0</v>
      </c>
      <c r="R11" s="29">
        <f>SUM(R12:R19)</f>
        <v>0</v>
      </c>
      <c r="S11" s="29">
        <f t="shared" si="3"/>
        <v>0</v>
      </c>
      <c r="T11" s="29">
        <f>SUM(T12:T19)</f>
        <v>0</v>
      </c>
      <c r="U11" s="29">
        <f>SUM(U12:U19)</f>
        <v>0</v>
      </c>
      <c r="V11" s="29">
        <f t="shared" si="4"/>
        <v>0</v>
      </c>
      <c r="W11" s="29">
        <f>SUM(W12:W19)</f>
        <v>0</v>
      </c>
      <c r="X11" s="29">
        <f>SUM(X12:X19)</f>
        <v>0</v>
      </c>
      <c r="Y11" s="29">
        <f t="shared" si="5"/>
        <v>0</v>
      </c>
      <c r="Z11" s="29">
        <f>SUM(Z12:Z19)</f>
        <v>0</v>
      </c>
      <c r="AA11" s="29">
        <f>SUM(AA12:AA19)</f>
        <v>0</v>
      </c>
      <c r="AB11" s="29">
        <f t="shared" si="6"/>
        <v>0</v>
      </c>
    </row>
    <row r="12" spans="1:189" s="28" customFormat="1" ht="47.25" x14ac:dyDescent="0.25">
      <c r="A12" s="30" t="s">
        <v>25</v>
      </c>
      <c r="B12" s="31">
        <f t="shared" si="7"/>
        <v>1290</v>
      </c>
      <c r="C12" s="31">
        <f t="shared" si="7"/>
        <v>1290</v>
      </c>
      <c r="D12" s="31">
        <f t="shared" si="7"/>
        <v>0</v>
      </c>
      <c r="E12" s="31"/>
      <c r="F12" s="31"/>
      <c r="G12" s="31">
        <f t="shared" si="8"/>
        <v>0</v>
      </c>
      <c r="H12" s="31"/>
      <c r="I12" s="31"/>
      <c r="J12" s="31">
        <f>I12-H12</f>
        <v>0</v>
      </c>
      <c r="K12" s="31">
        <v>1290</v>
      </c>
      <c r="L12" s="31">
        <v>1290</v>
      </c>
      <c r="M12" s="31">
        <f>L12-K12</f>
        <v>0</v>
      </c>
      <c r="N12" s="31"/>
      <c r="O12" s="31"/>
      <c r="P12" s="31">
        <f t="shared" si="2"/>
        <v>0</v>
      </c>
      <c r="Q12" s="31"/>
      <c r="R12" s="31"/>
      <c r="S12" s="31">
        <f t="shared" si="3"/>
        <v>0</v>
      </c>
      <c r="T12" s="31"/>
      <c r="U12" s="31"/>
      <c r="V12" s="31">
        <f t="shared" si="4"/>
        <v>0</v>
      </c>
      <c r="W12" s="31"/>
      <c r="X12" s="31"/>
      <c r="Y12" s="31">
        <f t="shared" si="5"/>
        <v>0</v>
      </c>
      <c r="Z12" s="31"/>
      <c r="AA12" s="31"/>
      <c r="AB12" s="31">
        <f t="shared" si="6"/>
        <v>0</v>
      </c>
    </row>
    <row r="13" spans="1:189" s="28" customFormat="1" ht="31.5" x14ac:dyDescent="0.25">
      <c r="A13" s="30" t="s">
        <v>26</v>
      </c>
      <c r="B13" s="31">
        <f t="shared" si="7"/>
        <v>2996</v>
      </c>
      <c r="C13" s="31">
        <f t="shared" si="7"/>
        <v>2996</v>
      </c>
      <c r="D13" s="31">
        <f t="shared" si="7"/>
        <v>0</v>
      </c>
      <c r="E13" s="31"/>
      <c r="F13" s="31"/>
      <c r="G13" s="31">
        <f t="shared" si="8"/>
        <v>0</v>
      </c>
      <c r="H13" s="31"/>
      <c r="I13" s="31"/>
      <c r="J13" s="31">
        <f t="shared" si="0"/>
        <v>0</v>
      </c>
      <c r="K13" s="31">
        <v>2996</v>
      </c>
      <c r="L13" s="31">
        <v>2996</v>
      </c>
      <c r="M13" s="31">
        <f t="shared" si="1"/>
        <v>0</v>
      </c>
      <c r="N13" s="31"/>
      <c r="O13" s="31"/>
      <c r="P13" s="31">
        <f t="shared" si="2"/>
        <v>0</v>
      </c>
      <c r="Q13" s="31"/>
      <c r="R13" s="31"/>
      <c r="S13" s="31">
        <f t="shared" si="3"/>
        <v>0</v>
      </c>
      <c r="T13" s="31"/>
      <c r="U13" s="31"/>
      <c r="V13" s="31">
        <f t="shared" si="4"/>
        <v>0</v>
      </c>
      <c r="W13" s="31"/>
      <c r="X13" s="31"/>
      <c r="Y13" s="31">
        <f t="shared" si="5"/>
        <v>0</v>
      </c>
      <c r="Z13" s="31"/>
      <c r="AA13" s="31"/>
      <c r="AB13" s="31">
        <f t="shared" si="6"/>
        <v>0</v>
      </c>
    </row>
    <row r="14" spans="1:189" s="28" customFormat="1" ht="31.5" x14ac:dyDescent="0.25">
      <c r="A14" s="30" t="s">
        <v>27</v>
      </c>
      <c r="B14" s="31">
        <f t="shared" si="7"/>
        <v>3845</v>
      </c>
      <c r="C14" s="31">
        <f t="shared" si="7"/>
        <v>3845</v>
      </c>
      <c r="D14" s="31">
        <f t="shared" si="7"/>
        <v>0</v>
      </c>
      <c r="E14" s="31"/>
      <c r="F14" s="31"/>
      <c r="G14" s="31">
        <f t="shared" si="8"/>
        <v>0</v>
      </c>
      <c r="H14" s="31"/>
      <c r="I14" s="31"/>
      <c r="J14" s="31">
        <f t="shared" si="0"/>
        <v>0</v>
      </c>
      <c r="K14" s="31">
        <v>3845</v>
      </c>
      <c r="L14" s="31">
        <v>3845</v>
      </c>
      <c r="M14" s="31">
        <f t="shared" si="1"/>
        <v>0</v>
      </c>
      <c r="N14" s="31"/>
      <c r="O14" s="31"/>
      <c r="P14" s="31">
        <f>O14-N14</f>
        <v>0</v>
      </c>
      <c r="Q14" s="31"/>
      <c r="R14" s="31"/>
      <c r="S14" s="31">
        <f t="shared" si="3"/>
        <v>0</v>
      </c>
      <c r="T14" s="31"/>
      <c r="U14" s="31"/>
      <c r="V14" s="31">
        <f t="shared" si="4"/>
        <v>0</v>
      </c>
      <c r="W14" s="31"/>
      <c r="X14" s="31"/>
      <c r="Y14" s="31">
        <f t="shared" si="5"/>
        <v>0</v>
      </c>
      <c r="Z14" s="31"/>
      <c r="AA14" s="31"/>
      <c r="AB14" s="31">
        <f t="shared" si="6"/>
        <v>0</v>
      </c>
    </row>
    <row r="15" spans="1:189" s="28" customFormat="1" ht="31.5" x14ac:dyDescent="0.25">
      <c r="A15" s="30" t="s">
        <v>28</v>
      </c>
      <c r="B15" s="31">
        <f t="shared" si="7"/>
        <v>2400</v>
      </c>
      <c r="C15" s="31">
        <f t="shared" si="7"/>
        <v>2400</v>
      </c>
      <c r="D15" s="31">
        <f t="shared" si="7"/>
        <v>0</v>
      </c>
      <c r="E15" s="31"/>
      <c r="F15" s="31"/>
      <c r="G15" s="31">
        <f t="shared" si="8"/>
        <v>0</v>
      </c>
      <c r="H15" s="31"/>
      <c r="I15" s="31"/>
      <c r="J15" s="31">
        <f t="shared" si="0"/>
        <v>0</v>
      </c>
      <c r="K15" s="31">
        <v>2400</v>
      </c>
      <c r="L15" s="31">
        <v>2400</v>
      </c>
      <c r="M15" s="31">
        <f t="shared" si="1"/>
        <v>0</v>
      </c>
      <c r="N15" s="31"/>
      <c r="O15" s="31"/>
      <c r="P15" s="31">
        <f t="shared" si="2"/>
        <v>0</v>
      </c>
      <c r="Q15" s="31"/>
      <c r="R15" s="31"/>
      <c r="S15" s="31">
        <f t="shared" si="3"/>
        <v>0</v>
      </c>
      <c r="T15" s="31"/>
      <c r="U15" s="31"/>
      <c r="V15" s="31">
        <f t="shared" si="4"/>
        <v>0</v>
      </c>
      <c r="W15" s="31"/>
      <c r="X15" s="31"/>
      <c r="Y15" s="31">
        <f t="shared" si="5"/>
        <v>0</v>
      </c>
      <c r="Z15" s="31"/>
      <c r="AA15" s="31"/>
      <c r="AB15" s="31">
        <f t="shared" si="6"/>
        <v>0</v>
      </c>
    </row>
    <row r="16" spans="1:189" s="28" customFormat="1" ht="31.5" x14ac:dyDescent="0.25">
      <c r="A16" s="30" t="s">
        <v>29</v>
      </c>
      <c r="B16" s="31">
        <f t="shared" si="7"/>
        <v>5000</v>
      </c>
      <c r="C16" s="31">
        <f t="shared" si="7"/>
        <v>5000</v>
      </c>
      <c r="D16" s="31">
        <f t="shared" si="7"/>
        <v>0</v>
      </c>
      <c r="E16" s="31"/>
      <c r="F16" s="31"/>
      <c r="G16" s="31">
        <f t="shared" si="8"/>
        <v>0</v>
      </c>
      <c r="H16" s="31"/>
      <c r="I16" s="31"/>
      <c r="J16" s="31">
        <f>I16-H16</f>
        <v>0</v>
      </c>
      <c r="K16" s="31">
        <v>5000</v>
      </c>
      <c r="L16" s="31">
        <v>5000</v>
      </c>
      <c r="M16" s="31">
        <f t="shared" si="1"/>
        <v>0</v>
      </c>
      <c r="N16" s="31"/>
      <c r="O16" s="31"/>
      <c r="P16" s="31">
        <f t="shared" si="2"/>
        <v>0</v>
      </c>
      <c r="Q16" s="31"/>
      <c r="R16" s="31"/>
      <c r="S16" s="31">
        <f t="shared" si="3"/>
        <v>0</v>
      </c>
      <c r="T16" s="31"/>
      <c r="U16" s="31"/>
      <c r="V16" s="31">
        <f t="shared" si="4"/>
        <v>0</v>
      </c>
      <c r="W16" s="31"/>
      <c r="X16" s="31"/>
      <c r="Y16" s="31">
        <f t="shared" si="5"/>
        <v>0</v>
      </c>
      <c r="Z16" s="31"/>
      <c r="AA16" s="31"/>
      <c r="AB16" s="31">
        <f t="shared" si="6"/>
        <v>0</v>
      </c>
    </row>
    <row r="17" spans="1:28" s="28" customFormat="1" ht="31.5" x14ac:dyDescent="0.25">
      <c r="A17" s="30" t="s">
        <v>30</v>
      </c>
      <c r="B17" s="31">
        <f t="shared" si="7"/>
        <v>2991</v>
      </c>
      <c r="C17" s="31">
        <f t="shared" si="7"/>
        <v>2991</v>
      </c>
      <c r="D17" s="31">
        <f t="shared" si="7"/>
        <v>0</v>
      </c>
      <c r="E17" s="31"/>
      <c r="F17" s="31"/>
      <c r="G17" s="31">
        <f t="shared" si="8"/>
        <v>0</v>
      </c>
      <c r="H17" s="31"/>
      <c r="I17" s="31"/>
      <c r="J17" s="31">
        <f t="shared" si="0"/>
        <v>0</v>
      </c>
      <c r="K17" s="31">
        <v>2991</v>
      </c>
      <c r="L17" s="31">
        <v>2991</v>
      </c>
      <c r="M17" s="31">
        <f t="shared" si="1"/>
        <v>0</v>
      </c>
      <c r="N17" s="31"/>
      <c r="O17" s="31"/>
      <c r="P17" s="31">
        <f t="shared" si="2"/>
        <v>0</v>
      </c>
      <c r="Q17" s="31"/>
      <c r="R17" s="31"/>
      <c r="S17" s="31">
        <f t="shared" si="3"/>
        <v>0</v>
      </c>
      <c r="T17" s="31"/>
      <c r="U17" s="31"/>
      <c r="V17" s="31">
        <f t="shared" si="4"/>
        <v>0</v>
      </c>
      <c r="W17" s="31"/>
      <c r="X17" s="31"/>
      <c r="Y17" s="31">
        <f t="shared" si="5"/>
        <v>0</v>
      </c>
      <c r="Z17" s="31"/>
      <c r="AA17" s="31"/>
      <c r="AB17" s="31">
        <f t="shared" si="6"/>
        <v>0</v>
      </c>
    </row>
    <row r="18" spans="1:28" s="28" customFormat="1" ht="47.25" x14ac:dyDescent="0.25">
      <c r="A18" s="30" t="s">
        <v>31</v>
      </c>
      <c r="B18" s="31">
        <f t="shared" si="7"/>
        <v>13020</v>
      </c>
      <c r="C18" s="31">
        <f t="shared" si="7"/>
        <v>13020</v>
      </c>
      <c r="D18" s="31">
        <f t="shared" si="7"/>
        <v>0</v>
      </c>
      <c r="E18" s="31"/>
      <c r="F18" s="31"/>
      <c r="G18" s="31">
        <f t="shared" si="8"/>
        <v>0</v>
      </c>
      <c r="H18" s="31">
        <f>6780+6240</f>
        <v>13020</v>
      </c>
      <c r="I18" s="31">
        <f>6780+6240</f>
        <v>13020</v>
      </c>
      <c r="J18" s="31">
        <f>I18-H18</f>
        <v>0</v>
      </c>
      <c r="K18" s="31"/>
      <c r="L18" s="31"/>
      <c r="M18" s="31">
        <f t="shared" si="1"/>
        <v>0</v>
      </c>
      <c r="N18" s="31"/>
      <c r="O18" s="31"/>
      <c r="P18" s="31">
        <f t="shared" si="2"/>
        <v>0</v>
      </c>
      <c r="Q18" s="31"/>
      <c r="R18" s="31"/>
      <c r="S18" s="31">
        <f t="shared" si="3"/>
        <v>0</v>
      </c>
      <c r="T18" s="31"/>
      <c r="U18" s="31"/>
      <c r="V18" s="31">
        <f t="shared" si="4"/>
        <v>0</v>
      </c>
      <c r="W18" s="31"/>
      <c r="X18" s="31"/>
      <c r="Y18" s="31">
        <f t="shared" si="5"/>
        <v>0</v>
      </c>
      <c r="Z18" s="31"/>
      <c r="AA18" s="31"/>
      <c r="AB18" s="31">
        <f t="shared" si="6"/>
        <v>0</v>
      </c>
    </row>
    <row r="19" spans="1:28" s="28" customFormat="1" ht="31.5" x14ac:dyDescent="0.25">
      <c r="A19" s="30" t="s">
        <v>32</v>
      </c>
      <c r="B19" s="31">
        <f t="shared" si="7"/>
        <v>1782</v>
      </c>
      <c r="C19" s="31">
        <f t="shared" si="7"/>
        <v>1782</v>
      </c>
      <c r="D19" s="31">
        <f t="shared" si="7"/>
        <v>0</v>
      </c>
      <c r="E19" s="31"/>
      <c r="F19" s="31"/>
      <c r="G19" s="31">
        <f t="shared" si="8"/>
        <v>0</v>
      </c>
      <c r="H19" s="31"/>
      <c r="I19" s="31"/>
      <c r="J19" s="31">
        <f t="shared" si="0"/>
        <v>0</v>
      </c>
      <c r="K19" s="31">
        <v>1782</v>
      </c>
      <c r="L19" s="31">
        <v>1782</v>
      </c>
      <c r="M19" s="31">
        <f t="shared" si="1"/>
        <v>0</v>
      </c>
      <c r="N19" s="31"/>
      <c r="O19" s="31"/>
      <c r="P19" s="31">
        <f t="shared" si="2"/>
        <v>0</v>
      </c>
      <c r="Q19" s="31"/>
      <c r="R19" s="31"/>
      <c r="S19" s="31">
        <f t="shared" si="3"/>
        <v>0</v>
      </c>
      <c r="T19" s="31"/>
      <c r="U19" s="31"/>
      <c r="V19" s="31">
        <f t="shared" si="4"/>
        <v>0</v>
      </c>
      <c r="W19" s="31"/>
      <c r="X19" s="31"/>
      <c r="Y19" s="31">
        <f t="shared" si="5"/>
        <v>0</v>
      </c>
      <c r="Z19" s="31"/>
      <c r="AA19" s="31"/>
      <c r="AB19" s="31">
        <f t="shared" si="6"/>
        <v>0</v>
      </c>
    </row>
    <row r="20" spans="1:28" s="25" customFormat="1" x14ac:dyDescent="0.25">
      <c r="A20" s="32" t="s">
        <v>33</v>
      </c>
      <c r="B20" s="29">
        <f t="shared" si="7"/>
        <v>1137369</v>
      </c>
      <c r="C20" s="29">
        <f t="shared" si="7"/>
        <v>1138917</v>
      </c>
      <c r="D20" s="29">
        <f t="shared" si="7"/>
        <v>1548</v>
      </c>
      <c r="E20" s="29">
        <f t="shared" ref="E20:AA20" si="10">SUM(E21)</f>
        <v>117894</v>
      </c>
      <c r="F20" s="29">
        <f t="shared" si="10"/>
        <v>117894</v>
      </c>
      <c r="G20" s="29">
        <f t="shared" si="8"/>
        <v>0</v>
      </c>
      <c r="H20" s="29">
        <f t="shared" si="10"/>
        <v>0</v>
      </c>
      <c r="I20" s="29">
        <f t="shared" si="10"/>
        <v>0</v>
      </c>
      <c r="J20" s="29">
        <f t="shared" si="0"/>
        <v>0</v>
      </c>
      <c r="K20" s="29">
        <f t="shared" si="10"/>
        <v>151540</v>
      </c>
      <c r="L20" s="29">
        <f t="shared" si="10"/>
        <v>153088</v>
      </c>
      <c r="M20" s="29">
        <f t="shared" si="1"/>
        <v>1548</v>
      </c>
      <c r="N20" s="29">
        <f t="shared" si="10"/>
        <v>0</v>
      </c>
      <c r="O20" s="29">
        <f t="shared" si="10"/>
        <v>0</v>
      </c>
      <c r="P20" s="29">
        <f t="shared" si="2"/>
        <v>0</v>
      </c>
      <c r="Q20" s="29">
        <f t="shared" si="10"/>
        <v>10000</v>
      </c>
      <c r="R20" s="29">
        <f t="shared" si="10"/>
        <v>10000</v>
      </c>
      <c r="S20" s="29">
        <f t="shared" si="3"/>
        <v>0</v>
      </c>
      <c r="T20" s="29">
        <f t="shared" si="10"/>
        <v>807624</v>
      </c>
      <c r="U20" s="29">
        <f t="shared" si="10"/>
        <v>807624</v>
      </c>
      <c r="V20" s="29">
        <f t="shared" si="4"/>
        <v>0</v>
      </c>
      <c r="W20" s="29">
        <f t="shared" si="10"/>
        <v>50311</v>
      </c>
      <c r="X20" s="29">
        <f t="shared" si="10"/>
        <v>50311</v>
      </c>
      <c r="Y20" s="29">
        <f t="shared" si="5"/>
        <v>0</v>
      </c>
      <c r="Z20" s="29">
        <f t="shared" si="10"/>
        <v>0</v>
      </c>
      <c r="AA20" s="29">
        <f t="shared" si="10"/>
        <v>0</v>
      </c>
      <c r="AB20" s="29">
        <f t="shared" si="6"/>
        <v>0</v>
      </c>
    </row>
    <row r="21" spans="1:28" s="25" customFormat="1" x14ac:dyDescent="0.25">
      <c r="A21" s="26" t="s">
        <v>24</v>
      </c>
      <c r="B21" s="29">
        <f t="shared" si="7"/>
        <v>1137369</v>
      </c>
      <c r="C21" s="29">
        <f t="shared" si="7"/>
        <v>1138917</v>
      </c>
      <c r="D21" s="29">
        <f t="shared" si="7"/>
        <v>1548</v>
      </c>
      <c r="E21" s="29">
        <f>SUM(E22:E35)</f>
        <v>117894</v>
      </c>
      <c r="F21" s="29">
        <f>SUM(F22:F35)</f>
        <v>117894</v>
      </c>
      <c r="G21" s="29">
        <f t="shared" si="8"/>
        <v>0</v>
      </c>
      <c r="H21" s="29">
        <f t="shared" ref="H21:I21" si="11">SUM(H22:H35)</f>
        <v>0</v>
      </c>
      <c r="I21" s="29">
        <f t="shared" si="11"/>
        <v>0</v>
      </c>
      <c r="J21" s="29">
        <f t="shared" si="0"/>
        <v>0</v>
      </c>
      <c r="K21" s="29">
        <f t="shared" ref="K21:L21" si="12">SUM(K22:K35)</f>
        <v>151540</v>
      </c>
      <c r="L21" s="29">
        <f t="shared" si="12"/>
        <v>153088</v>
      </c>
      <c r="M21" s="29">
        <f t="shared" si="1"/>
        <v>1548</v>
      </c>
      <c r="N21" s="29">
        <f t="shared" ref="N21:O21" si="13">SUM(N22:N35)</f>
        <v>0</v>
      </c>
      <c r="O21" s="29">
        <f t="shared" si="13"/>
        <v>0</v>
      </c>
      <c r="P21" s="29">
        <f t="shared" si="2"/>
        <v>0</v>
      </c>
      <c r="Q21" s="29">
        <f t="shared" ref="Q21:R21" si="14">SUM(Q22:Q35)</f>
        <v>10000</v>
      </c>
      <c r="R21" s="29">
        <f t="shared" si="14"/>
        <v>10000</v>
      </c>
      <c r="S21" s="29">
        <f t="shared" si="3"/>
        <v>0</v>
      </c>
      <c r="T21" s="29">
        <f t="shared" ref="T21:U21" si="15">SUM(T22:T35)</f>
        <v>807624</v>
      </c>
      <c r="U21" s="29">
        <f t="shared" si="15"/>
        <v>807624</v>
      </c>
      <c r="V21" s="29">
        <f t="shared" si="4"/>
        <v>0</v>
      </c>
      <c r="W21" s="29">
        <f t="shared" ref="W21:X21" si="16">SUM(W22:W35)</f>
        <v>50311</v>
      </c>
      <c r="X21" s="29">
        <f t="shared" si="16"/>
        <v>50311</v>
      </c>
      <c r="Y21" s="29">
        <f t="shared" si="5"/>
        <v>0</v>
      </c>
      <c r="Z21" s="29">
        <f t="shared" ref="Z21:AA21" si="17">SUM(Z22:Z35)</f>
        <v>0</v>
      </c>
      <c r="AA21" s="29">
        <f t="shared" si="17"/>
        <v>0</v>
      </c>
      <c r="AB21" s="29">
        <f t="shared" si="6"/>
        <v>0</v>
      </c>
    </row>
    <row r="22" spans="1:28" s="28" customFormat="1" x14ac:dyDescent="0.25">
      <c r="A22" s="33" t="s">
        <v>34</v>
      </c>
      <c r="B22" s="34">
        <f t="shared" si="7"/>
        <v>110000</v>
      </c>
      <c r="C22" s="34">
        <f t="shared" si="7"/>
        <v>110000</v>
      </c>
      <c r="D22" s="34">
        <f t="shared" si="7"/>
        <v>0</v>
      </c>
      <c r="E22" s="34">
        <f>110000-110000</f>
        <v>0</v>
      </c>
      <c r="F22" s="34">
        <f>110000-110000</f>
        <v>0</v>
      </c>
      <c r="G22" s="34">
        <f t="shared" si="8"/>
        <v>0</v>
      </c>
      <c r="H22" s="34"/>
      <c r="I22" s="34"/>
      <c r="J22" s="34">
        <f t="shared" si="0"/>
        <v>0</v>
      </c>
      <c r="K22" s="34">
        <v>110000</v>
      </c>
      <c r="L22" s="34">
        <v>110000</v>
      </c>
      <c r="M22" s="34">
        <f t="shared" si="1"/>
        <v>0</v>
      </c>
      <c r="N22" s="34"/>
      <c r="O22" s="34"/>
      <c r="P22" s="34">
        <f t="shared" si="2"/>
        <v>0</v>
      </c>
      <c r="Q22" s="34"/>
      <c r="R22" s="34"/>
      <c r="S22" s="34">
        <f t="shared" si="3"/>
        <v>0</v>
      </c>
      <c r="T22" s="34"/>
      <c r="U22" s="34"/>
      <c r="V22" s="34">
        <f t="shared" si="4"/>
        <v>0</v>
      </c>
      <c r="W22" s="34"/>
      <c r="X22" s="34"/>
      <c r="Y22" s="34">
        <f t="shared" si="5"/>
        <v>0</v>
      </c>
      <c r="Z22" s="34"/>
      <c r="AA22" s="34"/>
      <c r="AB22" s="34">
        <f t="shared" si="6"/>
        <v>0</v>
      </c>
    </row>
    <row r="23" spans="1:28" s="28" customFormat="1" x14ac:dyDescent="0.25">
      <c r="A23" s="33" t="s">
        <v>35</v>
      </c>
      <c r="B23" s="34">
        <f t="shared" si="7"/>
        <v>10000</v>
      </c>
      <c r="C23" s="34">
        <f t="shared" si="7"/>
        <v>10000</v>
      </c>
      <c r="D23" s="34">
        <f t="shared" si="7"/>
        <v>0</v>
      </c>
      <c r="E23" s="34"/>
      <c r="F23" s="34"/>
      <c r="G23" s="34">
        <f t="shared" si="8"/>
        <v>0</v>
      </c>
      <c r="H23" s="34"/>
      <c r="I23" s="34"/>
      <c r="J23" s="34">
        <f t="shared" si="0"/>
        <v>0</v>
      </c>
      <c r="K23" s="34"/>
      <c r="L23" s="34"/>
      <c r="M23" s="34">
        <f t="shared" si="1"/>
        <v>0</v>
      </c>
      <c r="N23" s="34"/>
      <c r="O23" s="34"/>
      <c r="P23" s="34">
        <f t="shared" si="2"/>
        <v>0</v>
      </c>
      <c r="Q23" s="34">
        <v>10000</v>
      </c>
      <c r="R23" s="34">
        <v>10000</v>
      </c>
      <c r="S23" s="34">
        <f t="shared" si="3"/>
        <v>0</v>
      </c>
      <c r="T23" s="34"/>
      <c r="U23" s="34"/>
      <c r="V23" s="34">
        <f t="shared" si="4"/>
        <v>0</v>
      </c>
      <c r="W23" s="34"/>
      <c r="X23" s="34"/>
      <c r="Y23" s="34">
        <f t="shared" si="5"/>
        <v>0</v>
      </c>
      <c r="Z23" s="34">
        <v>0</v>
      </c>
      <c r="AA23" s="34">
        <v>0</v>
      </c>
      <c r="AB23" s="34">
        <f t="shared" si="6"/>
        <v>0</v>
      </c>
    </row>
    <row r="24" spans="1:28" s="28" customFormat="1" ht="31.5" x14ac:dyDescent="0.25">
      <c r="A24" s="33" t="s">
        <v>36</v>
      </c>
      <c r="B24" s="34">
        <f t="shared" si="7"/>
        <v>40000</v>
      </c>
      <c r="C24" s="34">
        <f t="shared" si="7"/>
        <v>40000</v>
      </c>
      <c r="D24" s="34">
        <f t="shared" si="7"/>
        <v>0</v>
      </c>
      <c r="E24" s="34"/>
      <c r="F24" s="34"/>
      <c r="G24" s="34">
        <f t="shared" si="8"/>
        <v>0</v>
      </c>
      <c r="H24" s="34"/>
      <c r="I24" s="34"/>
      <c r="J24" s="34">
        <f t="shared" si="0"/>
        <v>0</v>
      </c>
      <c r="K24" s="34">
        <v>40000</v>
      </c>
      <c r="L24" s="34">
        <v>40000</v>
      </c>
      <c r="M24" s="34">
        <f t="shared" si="1"/>
        <v>0</v>
      </c>
      <c r="N24" s="34"/>
      <c r="O24" s="34"/>
      <c r="P24" s="34">
        <f t="shared" si="2"/>
        <v>0</v>
      </c>
      <c r="Q24" s="34"/>
      <c r="R24" s="34"/>
      <c r="S24" s="34">
        <f t="shared" si="3"/>
        <v>0</v>
      </c>
      <c r="T24" s="34"/>
      <c r="U24" s="34"/>
      <c r="V24" s="34">
        <f t="shared" si="4"/>
        <v>0</v>
      </c>
      <c r="W24" s="34"/>
      <c r="X24" s="34"/>
      <c r="Y24" s="34">
        <f t="shared" si="5"/>
        <v>0</v>
      </c>
      <c r="Z24" s="34">
        <v>0</v>
      </c>
      <c r="AA24" s="34">
        <v>0</v>
      </c>
      <c r="AB24" s="34">
        <f t="shared" si="6"/>
        <v>0</v>
      </c>
    </row>
    <row r="25" spans="1:28" s="28" customFormat="1" ht="31.5" x14ac:dyDescent="0.25">
      <c r="A25" s="35" t="s">
        <v>37</v>
      </c>
      <c r="B25" s="34">
        <f t="shared" si="7"/>
        <v>29003</v>
      </c>
      <c r="C25" s="34">
        <f t="shared" si="7"/>
        <v>29003</v>
      </c>
      <c r="D25" s="34">
        <f t="shared" si="7"/>
        <v>0</v>
      </c>
      <c r="E25" s="34"/>
      <c r="F25" s="34"/>
      <c r="G25" s="34">
        <f t="shared" si="8"/>
        <v>0</v>
      </c>
      <c r="H25" s="34"/>
      <c r="I25" s="34"/>
      <c r="J25" s="34">
        <f t="shared" si="0"/>
        <v>0</v>
      </c>
      <c r="K25" s="34"/>
      <c r="L25" s="34"/>
      <c r="M25" s="34">
        <f t="shared" si="1"/>
        <v>0</v>
      </c>
      <c r="N25" s="34"/>
      <c r="O25" s="34"/>
      <c r="P25" s="34">
        <f t="shared" si="2"/>
        <v>0</v>
      </c>
      <c r="Q25" s="34"/>
      <c r="R25" s="34"/>
      <c r="S25" s="34">
        <f t="shared" si="3"/>
        <v>0</v>
      </c>
      <c r="T25" s="34">
        <v>29003</v>
      </c>
      <c r="U25" s="34">
        <v>29003</v>
      </c>
      <c r="V25" s="34">
        <f t="shared" si="4"/>
        <v>0</v>
      </c>
      <c r="W25" s="34"/>
      <c r="X25" s="34"/>
      <c r="Y25" s="34">
        <f t="shared" si="5"/>
        <v>0</v>
      </c>
      <c r="Z25" s="34"/>
      <c r="AA25" s="34"/>
      <c r="AB25" s="34">
        <f t="shared" si="6"/>
        <v>0</v>
      </c>
    </row>
    <row r="26" spans="1:28" s="28" customFormat="1" ht="78.75" x14ac:dyDescent="0.25">
      <c r="A26" s="35" t="s">
        <v>38</v>
      </c>
      <c r="B26" s="34">
        <f t="shared" si="7"/>
        <v>71877</v>
      </c>
      <c r="C26" s="34">
        <f t="shared" si="7"/>
        <v>73425</v>
      </c>
      <c r="D26" s="34">
        <f t="shared" si="7"/>
        <v>1548</v>
      </c>
      <c r="E26" s="34"/>
      <c r="F26" s="34"/>
      <c r="G26" s="34">
        <f t="shared" si="8"/>
        <v>0</v>
      </c>
      <c r="H26" s="34"/>
      <c r="I26" s="34"/>
      <c r="J26" s="34">
        <f t="shared" si="0"/>
        <v>0</v>
      </c>
      <c r="K26" s="34"/>
      <c r="L26" s="34">
        <f>1547+1</f>
        <v>1548</v>
      </c>
      <c r="M26" s="34">
        <f t="shared" si="1"/>
        <v>1548</v>
      </c>
      <c r="N26" s="34"/>
      <c r="O26" s="34"/>
      <c r="P26" s="34">
        <f t="shared" si="2"/>
        <v>0</v>
      </c>
      <c r="Q26" s="34"/>
      <c r="R26" s="34"/>
      <c r="S26" s="34">
        <f t="shared" si="3"/>
        <v>0</v>
      </c>
      <c r="T26" s="34">
        <v>71877</v>
      </c>
      <c r="U26" s="34">
        <v>71877</v>
      </c>
      <c r="V26" s="34">
        <f t="shared" si="4"/>
        <v>0</v>
      </c>
      <c r="W26" s="34"/>
      <c r="X26" s="34"/>
      <c r="Y26" s="34">
        <f t="shared" si="5"/>
        <v>0</v>
      </c>
      <c r="Z26" s="34"/>
      <c r="AA26" s="34"/>
      <c r="AB26" s="34">
        <f t="shared" si="6"/>
        <v>0</v>
      </c>
    </row>
    <row r="27" spans="1:28" s="28" customFormat="1" ht="47.25" x14ac:dyDescent="0.25">
      <c r="A27" s="35" t="s">
        <v>39</v>
      </c>
      <c r="B27" s="34">
        <f t="shared" si="7"/>
        <v>230400</v>
      </c>
      <c r="C27" s="34">
        <f t="shared" si="7"/>
        <v>230400</v>
      </c>
      <c r="D27" s="34">
        <f t="shared" si="7"/>
        <v>0</v>
      </c>
      <c r="E27" s="34"/>
      <c r="F27" s="34"/>
      <c r="G27" s="34">
        <f t="shared" si="8"/>
        <v>0</v>
      </c>
      <c r="H27" s="34"/>
      <c r="I27" s="34"/>
      <c r="J27" s="34">
        <f t="shared" si="0"/>
        <v>0</v>
      </c>
      <c r="K27" s="34"/>
      <c r="L27" s="34"/>
      <c r="M27" s="34">
        <f t="shared" si="1"/>
        <v>0</v>
      </c>
      <c r="N27" s="34"/>
      <c r="O27" s="34"/>
      <c r="P27" s="34">
        <f t="shared" si="2"/>
        <v>0</v>
      </c>
      <c r="Q27" s="34"/>
      <c r="R27" s="34"/>
      <c r="S27" s="34">
        <f t="shared" si="3"/>
        <v>0</v>
      </c>
      <c r="T27" s="34">
        <v>230400</v>
      </c>
      <c r="U27" s="34">
        <v>230400</v>
      </c>
      <c r="V27" s="34">
        <f t="shared" si="4"/>
        <v>0</v>
      </c>
      <c r="W27" s="34"/>
      <c r="X27" s="34"/>
      <c r="Y27" s="34">
        <f t="shared" si="5"/>
        <v>0</v>
      </c>
      <c r="Z27" s="34"/>
      <c r="AA27" s="34"/>
      <c r="AB27" s="34">
        <f t="shared" si="6"/>
        <v>0</v>
      </c>
    </row>
    <row r="28" spans="1:28" s="28" customFormat="1" ht="47.25" x14ac:dyDescent="0.25">
      <c r="A28" s="35" t="s">
        <v>40</v>
      </c>
      <c r="B28" s="34">
        <f t="shared" si="7"/>
        <v>1645</v>
      </c>
      <c r="C28" s="34">
        <f t="shared" si="7"/>
        <v>1645</v>
      </c>
      <c r="D28" s="34">
        <f t="shared" si="7"/>
        <v>0</v>
      </c>
      <c r="E28" s="34"/>
      <c r="F28" s="34"/>
      <c r="G28" s="34">
        <f t="shared" si="8"/>
        <v>0</v>
      </c>
      <c r="H28" s="34"/>
      <c r="I28" s="34"/>
      <c r="J28" s="34">
        <f t="shared" si="0"/>
        <v>0</v>
      </c>
      <c r="K28" s="34"/>
      <c r="L28" s="34"/>
      <c r="M28" s="34">
        <f t="shared" si="1"/>
        <v>0</v>
      </c>
      <c r="N28" s="34"/>
      <c r="O28" s="34"/>
      <c r="P28" s="34">
        <f t="shared" si="2"/>
        <v>0</v>
      </c>
      <c r="Q28" s="34"/>
      <c r="R28" s="34"/>
      <c r="S28" s="34">
        <f t="shared" si="3"/>
        <v>0</v>
      </c>
      <c r="T28" s="34">
        <v>1645</v>
      </c>
      <c r="U28" s="34">
        <v>1645</v>
      </c>
      <c r="V28" s="34">
        <f t="shared" si="4"/>
        <v>0</v>
      </c>
      <c r="W28" s="34"/>
      <c r="X28" s="34"/>
      <c r="Y28" s="34">
        <f t="shared" si="5"/>
        <v>0</v>
      </c>
      <c r="Z28" s="34"/>
      <c r="AA28" s="34"/>
      <c r="AB28" s="34">
        <f t="shared" si="6"/>
        <v>0</v>
      </c>
    </row>
    <row r="29" spans="1:28" s="28" customFormat="1" ht="31.5" x14ac:dyDescent="0.25">
      <c r="A29" s="35" t="s">
        <v>41</v>
      </c>
      <c r="B29" s="34">
        <f t="shared" si="7"/>
        <v>149277</v>
      </c>
      <c r="C29" s="34">
        <f t="shared" si="7"/>
        <v>149277</v>
      </c>
      <c r="D29" s="34">
        <f t="shared" si="7"/>
        <v>0</v>
      </c>
      <c r="E29" s="34">
        <v>67894</v>
      </c>
      <c r="F29" s="34">
        <v>67894</v>
      </c>
      <c r="G29" s="34">
        <f t="shared" si="8"/>
        <v>0</v>
      </c>
      <c r="H29" s="34"/>
      <c r="I29" s="34"/>
      <c r="J29" s="34">
        <f t="shared" si="0"/>
        <v>0</v>
      </c>
      <c r="K29" s="34"/>
      <c r="L29" s="34"/>
      <c r="M29" s="34">
        <f t="shared" si="1"/>
        <v>0</v>
      </c>
      <c r="N29" s="34"/>
      <c r="O29" s="34"/>
      <c r="P29" s="34">
        <f t="shared" si="2"/>
        <v>0</v>
      </c>
      <c r="Q29" s="34"/>
      <c r="R29" s="34"/>
      <c r="S29" s="34">
        <f t="shared" si="3"/>
        <v>0</v>
      </c>
      <c r="T29" s="34">
        <v>81383</v>
      </c>
      <c r="U29" s="34">
        <v>81383</v>
      </c>
      <c r="V29" s="34">
        <f t="shared" si="4"/>
        <v>0</v>
      </c>
      <c r="W29" s="34"/>
      <c r="X29" s="34"/>
      <c r="Y29" s="34">
        <f t="shared" si="5"/>
        <v>0</v>
      </c>
      <c r="Z29" s="34"/>
      <c r="AA29" s="34"/>
      <c r="AB29" s="34">
        <f t="shared" si="6"/>
        <v>0</v>
      </c>
    </row>
    <row r="30" spans="1:28" s="28" customFormat="1" ht="78.75" x14ac:dyDescent="0.25">
      <c r="A30" s="35" t="s">
        <v>42</v>
      </c>
      <c r="B30" s="34">
        <f t="shared" si="7"/>
        <v>15796</v>
      </c>
      <c r="C30" s="34">
        <f t="shared" si="7"/>
        <v>15796</v>
      </c>
      <c r="D30" s="34">
        <f t="shared" si="7"/>
        <v>0</v>
      </c>
      <c r="E30" s="34"/>
      <c r="F30" s="34"/>
      <c r="G30" s="34">
        <f t="shared" si="8"/>
        <v>0</v>
      </c>
      <c r="H30" s="34"/>
      <c r="I30" s="34"/>
      <c r="J30" s="34">
        <f t="shared" si="0"/>
        <v>0</v>
      </c>
      <c r="K30" s="34"/>
      <c r="L30" s="34"/>
      <c r="M30" s="34">
        <f t="shared" si="1"/>
        <v>0</v>
      </c>
      <c r="N30" s="34"/>
      <c r="O30" s="34"/>
      <c r="P30" s="34">
        <f t="shared" si="2"/>
        <v>0</v>
      </c>
      <c r="Q30" s="34"/>
      <c r="R30" s="34"/>
      <c r="S30" s="34">
        <f t="shared" si="3"/>
        <v>0</v>
      </c>
      <c r="T30" s="34">
        <v>15796</v>
      </c>
      <c r="U30" s="34">
        <v>15796</v>
      </c>
      <c r="V30" s="34">
        <f t="shared" si="4"/>
        <v>0</v>
      </c>
      <c r="W30" s="34"/>
      <c r="X30" s="34"/>
      <c r="Y30" s="34">
        <f t="shared" si="5"/>
        <v>0</v>
      </c>
      <c r="Z30" s="34"/>
      <c r="AA30" s="34"/>
      <c r="AB30" s="34">
        <f t="shared" si="6"/>
        <v>0</v>
      </c>
    </row>
    <row r="31" spans="1:28" s="28" customFormat="1" ht="78.75" x14ac:dyDescent="0.25">
      <c r="A31" s="33" t="s">
        <v>43</v>
      </c>
      <c r="B31" s="31">
        <f t="shared" si="7"/>
        <v>9866</v>
      </c>
      <c r="C31" s="31">
        <f t="shared" si="7"/>
        <v>9866</v>
      </c>
      <c r="D31" s="31">
        <f t="shared" si="7"/>
        <v>0</v>
      </c>
      <c r="E31" s="31"/>
      <c r="F31" s="31"/>
      <c r="G31" s="31">
        <f t="shared" si="8"/>
        <v>0</v>
      </c>
      <c r="H31" s="31"/>
      <c r="I31" s="31"/>
      <c r="J31" s="31">
        <f t="shared" si="0"/>
        <v>0</v>
      </c>
      <c r="K31" s="31"/>
      <c r="L31" s="31"/>
      <c r="M31" s="31">
        <f t="shared" si="1"/>
        <v>0</v>
      </c>
      <c r="N31" s="31"/>
      <c r="O31" s="31"/>
      <c r="P31" s="31">
        <f t="shared" si="2"/>
        <v>0</v>
      </c>
      <c r="Q31" s="31"/>
      <c r="R31" s="31"/>
      <c r="S31" s="31">
        <f t="shared" si="3"/>
        <v>0</v>
      </c>
      <c r="T31" s="31">
        <f>1876+7990</f>
        <v>9866</v>
      </c>
      <c r="U31" s="31">
        <f>1876+7990</f>
        <v>9866</v>
      </c>
      <c r="V31" s="31">
        <f t="shared" si="4"/>
        <v>0</v>
      </c>
      <c r="W31" s="31"/>
      <c r="X31" s="31"/>
      <c r="Y31" s="31">
        <f t="shared" si="5"/>
        <v>0</v>
      </c>
      <c r="Z31" s="31"/>
      <c r="AA31" s="31"/>
      <c r="AB31" s="31">
        <f t="shared" si="6"/>
        <v>0</v>
      </c>
    </row>
    <row r="32" spans="1:28" s="28" customFormat="1" ht="94.5" x14ac:dyDescent="0.25">
      <c r="A32" s="35" t="s">
        <v>44</v>
      </c>
      <c r="B32" s="34">
        <f t="shared" si="7"/>
        <v>122493</v>
      </c>
      <c r="C32" s="34">
        <f t="shared" si="7"/>
        <v>122493</v>
      </c>
      <c r="D32" s="34">
        <f t="shared" si="7"/>
        <v>0</v>
      </c>
      <c r="E32" s="34">
        <f>50000</f>
        <v>50000</v>
      </c>
      <c r="F32" s="34">
        <f>50000</f>
        <v>50000</v>
      </c>
      <c r="G32" s="34">
        <f t="shared" si="8"/>
        <v>0</v>
      </c>
      <c r="H32" s="34"/>
      <c r="I32" s="34"/>
      <c r="J32" s="34">
        <f t="shared" si="0"/>
        <v>0</v>
      </c>
      <c r="K32" s="34"/>
      <c r="L32" s="34"/>
      <c r="M32" s="34">
        <f t="shared" si="1"/>
        <v>0</v>
      </c>
      <c r="N32" s="34"/>
      <c r="O32" s="34"/>
      <c r="P32" s="34">
        <f t="shared" si="2"/>
        <v>0</v>
      </c>
      <c r="Q32" s="34"/>
      <c r="R32" s="34"/>
      <c r="S32" s="34">
        <f t="shared" si="3"/>
        <v>0</v>
      </c>
      <c r="T32" s="34">
        <v>72493</v>
      </c>
      <c r="U32" s="34">
        <v>72493</v>
      </c>
      <c r="V32" s="34">
        <f t="shared" si="4"/>
        <v>0</v>
      </c>
      <c r="W32" s="34"/>
      <c r="X32" s="34"/>
      <c r="Y32" s="34">
        <f t="shared" si="5"/>
        <v>0</v>
      </c>
      <c r="Z32" s="34"/>
      <c r="AA32" s="34"/>
      <c r="AB32" s="34">
        <f t="shared" si="6"/>
        <v>0</v>
      </c>
    </row>
    <row r="33" spans="1:189" s="28" customFormat="1" ht="94.5" x14ac:dyDescent="0.25">
      <c r="A33" s="33" t="s">
        <v>45</v>
      </c>
      <c r="B33" s="31">
        <f t="shared" si="7"/>
        <v>187653</v>
      </c>
      <c r="C33" s="31">
        <f t="shared" si="7"/>
        <v>187653</v>
      </c>
      <c r="D33" s="31">
        <f t="shared" si="7"/>
        <v>0</v>
      </c>
      <c r="E33" s="31"/>
      <c r="F33" s="31"/>
      <c r="G33" s="31">
        <f t="shared" si="8"/>
        <v>0</v>
      </c>
      <c r="H33" s="31"/>
      <c r="I33" s="31"/>
      <c r="J33" s="31">
        <f t="shared" si="0"/>
        <v>0</v>
      </c>
      <c r="K33" s="31"/>
      <c r="L33" s="31"/>
      <c r="M33" s="31">
        <f t="shared" si="1"/>
        <v>0</v>
      </c>
      <c r="N33" s="31"/>
      <c r="O33" s="31"/>
      <c r="P33" s="31">
        <f t="shared" si="2"/>
        <v>0</v>
      </c>
      <c r="Q33" s="31"/>
      <c r="R33" s="31"/>
      <c r="S33" s="31">
        <f t="shared" si="3"/>
        <v>0</v>
      </c>
      <c r="T33" s="31">
        <f>187653</f>
        <v>187653</v>
      </c>
      <c r="U33" s="31">
        <f>187653</f>
        <v>187653</v>
      </c>
      <c r="V33" s="31">
        <f t="shared" si="4"/>
        <v>0</v>
      </c>
      <c r="W33" s="31"/>
      <c r="X33" s="31"/>
      <c r="Y33" s="31">
        <f t="shared" si="5"/>
        <v>0</v>
      </c>
      <c r="Z33" s="31"/>
      <c r="AA33" s="31"/>
      <c r="AB33" s="31">
        <f t="shared" si="6"/>
        <v>0</v>
      </c>
    </row>
    <row r="34" spans="1:189" s="28" customFormat="1" ht="47.25" x14ac:dyDescent="0.25">
      <c r="A34" s="33" t="s">
        <v>46</v>
      </c>
      <c r="B34" s="31">
        <f t="shared" si="7"/>
        <v>58737</v>
      </c>
      <c r="C34" s="31">
        <f t="shared" si="7"/>
        <v>58737</v>
      </c>
      <c r="D34" s="31">
        <f t="shared" si="7"/>
        <v>0</v>
      </c>
      <c r="E34" s="31"/>
      <c r="F34" s="31"/>
      <c r="G34" s="31">
        <f t="shared" si="8"/>
        <v>0</v>
      </c>
      <c r="H34" s="31"/>
      <c r="I34" s="31"/>
      <c r="J34" s="31">
        <f t="shared" si="0"/>
        <v>0</v>
      </c>
      <c r="K34" s="31">
        <v>1540</v>
      </c>
      <c r="L34" s="31">
        <v>1540</v>
      </c>
      <c r="M34" s="31">
        <f t="shared" si="1"/>
        <v>0</v>
      </c>
      <c r="N34" s="31"/>
      <c r="O34" s="31"/>
      <c r="P34" s="31">
        <f t="shared" si="2"/>
        <v>0</v>
      </c>
      <c r="Q34" s="31"/>
      <c r="R34" s="31"/>
      <c r="S34" s="31">
        <f t="shared" si="3"/>
        <v>0</v>
      </c>
      <c r="T34" s="31">
        <v>57197</v>
      </c>
      <c r="U34" s="31">
        <v>57197</v>
      </c>
      <c r="V34" s="31">
        <f t="shared" si="4"/>
        <v>0</v>
      </c>
      <c r="W34" s="31"/>
      <c r="X34" s="31"/>
      <c r="Y34" s="31">
        <f t="shared" si="5"/>
        <v>0</v>
      </c>
      <c r="Z34" s="31"/>
      <c r="AA34" s="31"/>
      <c r="AB34" s="31">
        <f t="shared" si="6"/>
        <v>0</v>
      </c>
    </row>
    <row r="35" spans="1:189" s="28" customFormat="1" ht="47.25" x14ac:dyDescent="0.25">
      <c r="A35" s="33" t="s">
        <v>47</v>
      </c>
      <c r="B35" s="31">
        <f t="shared" si="7"/>
        <v>100622</v>
      </c>
      <c r="C35" s="31">
        <f t="shared" si="7"/>
        <v>100622</v>
      </c>
      <c r="D35" s="31">
        <f t="shared" si="7"/>
        <v>0</v>
      </c>
      <c r="E35" s="31"/>
      <c r="F35" s="31"/>
      <c r="G35" s="31">
        <f t="shared" si="8"/>
        <v>0</v>
      </c>
      <c r="H35" s="31"/>
      <c r="I35" s="31"/>
      <c r="J35" s="31">
        <f t="shared" si="0"/>
        <v>0</v>
      </c>
      <c r="K35" s="31"/>
      <c r="L35" s="31"/>
      <c r="M35" s="31">
        <f t="shared" si="1"/>
        <v>0</v>
      </c>
      <c r="N35" s="31"/>
      <c r="O35" s="31"/>
      <c r="P35" s="31">
        <f t="shared" si="2"/>
        <v>0</v>
      </c>
      <c r="Q35" s="31"/>
      <c r="R35" s="31"/>
      <c r="S35" s="31">
        <f t="shared" si="3"/>
        <v>0</v>
      </c>
      <c r="T35" s="31">
        <v>50311</v>
      </c>
      <c r="U35" s="31">
        <v>50311</v>
      </c>
      <c r="V35" s="31">
        <f t="shared" si="4"/>
        <v>0</v>
      </c>
      <c r="W35" s="31">
        <v>50311</v>
      </c>
      <c r="X35" s="31">
        <v>50311</v>
      </c>
      <c r="Y35" s="31">
        <f t="shared" si="5"/>
        <v>0</v>
      </c>
      <c r="Z35" s="31">
        <f>50312-50312</f>
        <v>0</v>
      </c>
      <c r="AA35" s="31">
        <f>50312-50312</f>
        <v>0</v>
      </c>
      <c r="AB35" s="31">
        <f t="shared" si="6"/>
        <v>0</v>
      </c>
    </row>
    <row r="36" spans="1:189" s="28" customFormat="1" x14ac:dyDescent="0.25">
      <c r="A36" s="26" t="s">
        <v>48</v>
      </c>
      <c r="B36" s="27">
        <f t="shared" si="7"/>
        <v>2111127</v>
      </c>
      <c r="C36" s="27">
        <f t="shared" si="7"/>
        <v>3072741</v>
      </c>
      <c r="D36" s="27">
        <f t="shared" si="7"/>
        <v>961614</v>
      </c>
      <c r="E36" s="27">
        <f t="shared" ref="E36:AA36" si="18">SUM(E37)</f>
        <v>256654</v>
      </c>
      <c r="F36" s="27">
        <f t="shared" si="18"/>
        <v>271405</v>
      </c>
      <c r="G36" s="27">
        <f t="shared" si="8"/>
        <v>14751</v>
      </c>
      <c r="H36" s="27">
        <f t="shared" si="18"/>
        <v>0</v>
      </c>
      <c r="I36" s="27">
        <f t="shared" si="18"/>
        <v>0</v>
      </c>
      <c r="J36" s="27">
        <f t="shared" si="0"/>
        <v>0</v>
      </c>
      <c r="K36" s="27">
        <f t="shared" si="18"/>
        <v>132673</v>
      </c>
      <c r="L36" s="27">
        <f t="shared" si="18"/>
        <v>143328</v>
      </c>
      <c r="M36" s="27">
        <f t="shared" si="1"/>
        <v>10655</v>
      </c>
      <c r="N36" s="27">
        <f t="shared" si="18"/>
        <v>0</v>
      </c>
      <c r="O36" s="27">
        <f t="shared" si="18"/>
        <v>0</v>
      </c>
      <c r="P36" s="27">
        <f t="shared" si="2"/>
        <v>0</v>
      </c>
      <c r="Q36" s="27">
        <f t="shared" si="18"/>
        <v>256000</v>
      </c>
      <c r="R36" s="27">
        <f t="shared" si="18"/>
        <v>256000</v>
      </c>
      <c r="S36" s="27">
        <f t="shared" si="3"/>
        <v>0</v>
      </c>
      <c r="T36" s="27">
        <f t="shared" si="18"/>
        <v>0</v>
      </c>
      <c r="U36" s="27">
        <f t="shared" si="18"/>
        <v>0</v>
      </c>
      <c r="V36" s="27">
        <f t="shared" si="4"/>
        <v>0</v>
      </c>
      <c r="W36" s="27">
        <f t="shared" si="18"/>
        <v>0</v>
      </c>
      <c r="X36" s="27">
        <f t="shared" si="18"/>
        <v>0</v>
      </c>
      <c r="Y36" s="27">
        <f t="shared" si="5"/>
        <v>0</v>
      </c>
      <c r="Z36" s="27">
        <f t="shared" si="18"/>
        <v>1465800</v>
      </c>
      <c r="AA36" s="27">
        <f t="shared" si="18"/>
        <v>2402008</v>
      </c>
      <c r="AB36" s="27">
        <f t="shared" si="6"/>
        <v>936208</v>
      </c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25"/>
      <c r="GF36" s="25"/>
      <c r="GG36" s="25"/>
    </row>
    <row r="37" spans="1:189" s="28" customFormat="1" x14ac:dyDescent="0.25">
      <c r="A37" s="26" t="s">
        <v>24</v>
      </c>
      <c r="B37" s="27">
        <f t="shared" si="7"/>
        <v>2111127</v>
      </c>
      <c r="C37" s="27">
        <f t="shared" si="7"/>
        <v>3072741</v>
      </c>
      <c r="D37" s="27">
        <f t="shared" si="7"/>
        <v>961614</v>
      </c>
      <c r="E37" s="27">
        <f>SUM(E38:E47)</f>
        <v>256654</v>
      </c>
      <c r="F37" s="27">
        <f>SUM(F38:F47)</f>
        <v>271405</v>
      </c>
      <c r="G37" s="27">
        <f t="shared" si="8"/>
        <v>14751</v>
      </c>
      <c r="H37" s="27">
        <f t="shared" ref="H37:I37" si="19">SUM(H38:H47)</f>
        <v>0</v>
      </c>
      <c r="I37" s="27">
        <f t="shared" si="19"/>
        <v>0</v>
      </c>
      <c r="J37" s="27">
        <f t="shared" si="0"/>
        <v>0</v>
      </c>
      <c r="K37" s="27">
        <f t="shared" ref="K37:L37" si="20">SUM(K38:K47)</f>
        <v>132673</v>
      </c>
      <c r="L37" s="27">
        <f t="shared" si="20"/>
        <v>143328</v>
      </c>
      <c r="M37" s="27">
        <f t="shared" si="1"/>
        <v>10655</v>
      </c>
      <c r="N37" s="27">
        <f t="shared" ref="N37:O37" si="21">SUM(N38:N47)</f>
        <v>0</v>
      </c>
      <c r="O37" s="27">
        <f t="shared" si="21"/>
        <v>0</v>
      </c>
      <c r="P37" s="27">
        <f t="shared" si="2"/>
        <v>0</v>
      </c>
      <c r="Q37" s="27">
        <f t="shared" ref="Q37:R37" si="22">SUM(Q38:Q47)</f>
        <v>256000</v>
      </c>
      <c r="R37" s="27">
        <f t="shared" si="22"/>
        <v>256000</v>
      </c>
      <c r="S37" s="27">
        <f t="shared" si="3"/>
        <v>0</v>
      </c>
      <c r="T37" s="27">
        <f t="shared" ref="T37:U37" si="23">SUM(T38:T47)</f>
        <v>0</v>
      </c>
      <c r="U37" s="27">
        <f t="shared" si="23"/>
        <v>0</v>
      </c>
      <c r="V37" s="27">
        <f t="shared" si="4"/>
        <v>0</v>
      </c>
      <c r="W37" s="27">
        <f t="shared" ref="W37:X37" si="24">SUM(W38:W47)</f>
        <v>0</v>
      </c>
      <c r="X37" s="27">
        <f t="shared" si="24"/>
        <v>0</v>
      </c>
      <c r="Y37" s="27">
        <f t="shared" si="5"/>
        <v>0</v>
      </c>
      <c r="Z37" s="27">
        <f t="shared" ref="Z37:AA37" si="25">SUM(Z38:Z47)</f>
        <v>1465800</v>
      </c>
      <c r="AA37" s="27">
        <f t="shared" si="25"/>
        <v>2402008</v>
      </c>
      <c r="AB37" s="27">
        <f t="shared" si="6"/>
        <v>936208</v>
      </c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  <c r="GA37" s="25"/>
      <c r="GB37" s="25"/>
      <c r="GC37" s="25"/>
      <c r="GD37" s="25"/>
      <c r="GE37" s="25"/>
      <c r="GF37" s="25"/>
      <c r="GG37" s="25"/>
    </row>
    <row r="38" spans="1:189" s="28" customFormat="1" ht="31.5" x14ac:dyDescent="0.25">
      <c r="A38" s="36" t="s">
        <v>49</v>
      </c>
      <c r="B38" s="34">
        <f t="shared" si="7"/>
        <v>1365800</v>
      </c>
      <c r="C38" s="34">
        <f t="shared" si="7"/>
        <v>1365800</v>
      </c>
      <c r="D38" s="34">
        <f t="shared" si="7"/>
        <v>0</v>
      </c>
      <c r="E38" s="34">
        <v>0</v>
      </c>
      <c r="F38" s="34">
        <v>0</v>
      </c>
      <c r="G38" s="34">
        <f t="shared" si="8"/>
        <v>0</v>
      </c>
      <c r="H38" s="34">
        <v>0</v>
      </c>
      <c r="I38" s="34">
        <v>0</v>
      </c>
      <c r="J38" s="34">
        <f t="shared" si="0"/>
        <v>0</v>
      </c>
      <c r="K38" s="34"/>
      <c r="L38" s="34"/>
      <c r="M38" s="34">
        <f t="shared" si="1"/>
        <v>0</v>
      </c>
      <c r="N38" s="34">
        <v>0</v>
      </c>
      <c r="O38" s="34">
        <v>0</v>
      </c>
      <c r="P38" s="34">
        <f t="shared" si="2"/>
        <v>0</v>
      </c>
      <c r="Q38" s="34"/>
      <c r="R38" s="34"/>
      <c r="S38" s="34">
        <f t="shared" si="3"/>
        <v>0</v>
      </c>
      <c r="T38" s="34"/>
      <c r="U38" s="34"/>
      <c r="V38" s="34">
        <f t="shared" si="4"/>
        <v>0</v>
      </c>
      <c r="W38" s="34"/>
      <c r="X38" s="34"/>
      <c r="Y38" s="34">
        <f t="shared" si="5"/>
        <v>0</v>
      </c>
      <c r="Z38" s="34">
        <v>1365800</v>
      </c>
      <c r="AA38" s="34">
        <v>1365800</v>
      </c>
      <c r="AB38" s="34">
        <f t="shared" si="6"/>
        <v>0</v>
      </c>
    </row>
    <row r="39" spans="1:189" s="28" customFormat="1" ht="31.5" x14ac:dyDescent="0.25">
      <c r="A39" s="36" t="s">
        <v>50</v>
      </c>
      <c r="B39" s="34">
        <f t="shared" si="7"/>
        <v>100000</v>
      </c>
      <c r="C39" s="34">
        <f t="shared" si="7"/>
        <v>100000</v>
      </c>
      <c r="D39" s="34">
        <f t="shared" si="7"/>
        <v>0</v>
      </c>
      <c r="E39" s="34"/>
      <c r="F39" s="34"/>
      <c r="G39" s="34">
        <f t="shared" si="8"/>
        <v>0</v>
      </c>
      <c r="H39" s="34"/>
      <c r="I39" s="34"/>
      <c r="J39" s="34">
        <f t="shared" si="0"/>
        <v>0</v>
      </c>
      <c r="K39" s="34"/>
      <c r="L39" s="34"/>
      <c r="M39" s="34">
        <f t="shared" si="1"/>
        <v>0</v>
      </c>
      <c r="N39" s="34"/>
      <c r="O39" s="34"/>
      <c r="P39" s="34">
        <f t="shared" si="2"/>
        <v>0</v>
      </c>
      <c r="Q39" s="34"/>
      <c r="R39" s="34"/>
      <c r="S39" s="34">
        <f t="shared" si="3"/>
        <v>0</v>
      </c>
      <c r="T39" s="34"/>
      <c r="U39" s="34"/>
      <c r="V39" s="34">
        <f t="shared" si="4"/>
        <v>0</v>
      </c>
      <c r="W39" s="34"/>
      <c r="X39" s="34"/>
      <c r="Y39" s="34">
        <f t="shared" si="5"/>
        <v>0</v>
      </c>
      <c r="Z39" s="34">
        <v>100000</v>
      </c>
      <c r="AA39" s="34">
        <v>100000</v>
      </c>
      <c r="AB39" s="34">
        <f t="shared" si="6"/>
        <v>0</v>
      </c>
    </row>
    <row r="40" spans="1:189" s="28" customFormat="1" ht="78.75" x14ac:dyDescent="0.25">
      <c r="A40" s="36" t="s">
        <v>51</v>
      </c>
      <c r="B40" s="34">
        <f t="shared" si="7"/>
        <v>22720</v>
      </c>
      <c r="C40" s="34">
        <f t="shared" si="7"/>
        <v>22720</v>
      </c>
      <c r="D40" s="34">
        <f t="shared" si="7"/>
        <v>0</v>
      </c>
      <c r="E40" s="34"/>
      <c r="F40" s="34"/>
      <c r="G40" s="34">
        <f t="shared" si="8"/>
        <v>0</v>
      </c>
      <c r="H40" s="34"/>
      <c r="I40" s="34"/>
      <c r="J40" s="34">
        <f t="shared" si="0"/>
        <v>0</v>
      </c>
      <c r="K40" s="34">
        <f>4446+10074+5900+2000+300</f>
        <v>22720</v>
      </c>
      <c r="L40" s="34">
        <f>4446+10074+5900+2000+300</f>
        <v>22720</v>
      </c>
      <c r="M40" s="34">
        <f t="shared" si="1"/>
        <v>0</v>
      </c>
      <c r="N40" s="34"/>
      <c r="O40" s="34"/>
      <c r="P40" s="34">
        <f t="shared" si="2"/>
        <v>0</v>
      </c>
      <c r="Q40" s="34"/>
      <c r="R40" s="34"/>
      <c r="S40" s="34">
        <f t="shared" si="3"/>
        <v>0</v>
      </c>
      <c r="T40" s="34"/>
      <c r="U40" s="34"/>
      <c r="V40" s="34">
        <f t="shared" si="4"/>
        <v>0</v>
      </c>
      <c r="W40" s="34"/>
      <c r="X40" s="34"/>
      <c r="Y40" s="34">
        <f t="shared" si="5"/>
        <v>0</v>
      </c>
      <c r="Z40" s="34"/>
      <c r="AA40" s="34"/>
      <c r="AB40" s="34">
        <f t="shared" si="6"/>
        <v>0</v>
      </c>
    </row>
    <row r="41" spans="1:189" s="28" customFormat="1" ht="31.5" x14ac:dyDescent="0.25">
      <c r="A41" s="36" t="s">
        <v>52</v>
      </c>
      <c r="B41" s="34">
        <f t="shared" si="7"/>
        <v>176654</v>
      </c>
      <c r="C41" s="34">
        <f t="shared" si="7"/>
        <v>176654</v>
      </c>
      <c r="D41" s="34">
        <f t="shared" si="7"/>
        <v>0</v>
      </c>
      <c r="E41" s="34">
        <f>42832+133822</f>
        <v>176654</v>
      </c>
      <c r="F41" s="34">
        <f>42832+133822</f>
        <v>176654</v>
      </c>
      <c r="G41" s="34">
        <f t="shared" si="8"/>
        <v>0</v>
      </c>
      <c r="H41" s="34"/>
      <c r="I41" s="34"/>
      <c r="J41" s="34">
        <f t="shared" si="0"/>
        <v>0</v>
      </c>
      <c r="K41" s="34">
        <f>187173-42832-144341</f>
        <v>0</v>
      </c>
      <c r="L41" s="34">
        <f>187173-42832-144341</f>
        <v>0</v>
      </c>
      <c r="M41" s="34">
        <f t="shared" si="1"/>
        <v>0</v>
      </c>
      <c r="N41" s="34"/>
      <c r="O41" s="34"/>
      <c r="P41" s="34">
        <f t="shared" si="2"/>
        <v>0</v>
      </c>
      <c r="Q41" s="34"/>
      <c r="R41" s="34"/>
      <c r="S41" s="34">
        <f t="shared" si="3"/>
        <v>0</v>
      </c>
      <c r="T41" s="34"/>
      <c r="U41" s="34"/>
      <c r="V41" s="34">
        <f t="shared" si="4"/>
        <v>0</v>
      </c>
      <c r="W41" s="34"/>
      <c r="X41" s="34"/>
      <c r="Y41" s="34">
        <f t="shared" si="5"/>
        <v>0</v>
      </c>
      <c r="Z41" s="34"/>
      <c r="AA41" s="34"/>
      <c r="AB41" s="34">
        <f t="shared" si="6"/>
        <v>0</v>
      </c>
    </row>
    <row r="42" spans="1:189" s="28" customFormat="1" ht="47.25" x14ac:dyDescent="0.25">
      <c r="A42" s="36" t="s">
        <v>53</v>
      </c>
      <c r="B42" s="34">
        <f t="shared" si="7"/>
        <v>0</v>
      </c>
      <c r="C42" s="34">
        <f t="shared" si="7"/>
        <v>962096</v>
      </c>
      <c r="D42" s="34">
        <f t="shared" si="7"/>
        <v>962096</v>
      </c>
      <c r="E42" s="34"/>
      <c r="F42" s="34">
        <v>15233</v>
      </c>
      <c r="G42" s="34">
        <f t="shared" si="8"/>
        <v>15233</v>
      </c>
      <c r="H42" s="34"/>
      <c r="I42" s="34"/>
      <c r="J42" s="34">
        <f t="shared" si="0"/>
        <v>0</v>
      </c>
      <c r="K42" s="34"/>
      <c r="L42" s="34">
        <v>10655</v>
      </c>
      <c r="M42" s="34">
        <f t="shared" si="1"/>
        <v>10655</v>
      </c>
      <c r="N42" s="34"/>
      <c r="O42" s="34"/>
      <c r="P42" s="34">
        <f t="shared" si="2"/>
        <v>0</v>
      </c>
      <c r="Q42" s="34"/>
      <c r="R42" s="34"/>
      <c r="S42" s="34">
        <f t="shared" si="3"/>
        <v>0</v>
      </c>
      <c r="T42" s="34"/>
      <c r="U42" s="34"/>
      <c r="V42" s="34">
        <f t="shared" si="4"/>
        <v>0</v>
      </c>
      <c r="W42" s="34"/>
      <c r="X42" s="34"/>
      <c r="Y42" s="34">
        <f t="shared" si="5"/>
        <v>0</v>
      </c>
      <c r="Z42" s="34"/>
      <c r="AA42" s="34">
        <v>936208</v>
      </c>
      <c r="AB42" s="34">
        <f t="shared" si="6"/>
        <v>936208</v>
      </c>
    </row>
    <row r="43" spans="1:189" s="28" customFormat="1" ht="47.25" x14ac:dyDescent="0.25">
      <c r="A43" s="36" t="s">
        <v>54</v>
      </c>
      <c r="B43" s="34">
        <f t="shared" si="7"/>
        <v>116000</v>
      </c>
      <c r="C43" s="34">
        <f t="shared" si="7"/>
        <v>116000</v>
      </c>
      <c r="D43" s="34">
        <f t="shared" si="7"/>
        <v>0</v>
      </c>
      <c r="E43" s="34"/>
      <c r="F43" s="34"/>
      <c r="G43" s="34">
        <f t="shared" si="8"/>
        <v>0</v>
      </c>
      <c r="H43" s="34"/>
      <c r="I43" s="34"/>
      <c r="J43" s="34">
        <f t="shared" si="0"/>
        <v>0</v>
      </c>
      <c r="K43" s="34"/>
      <c r="L43" s="34"/>
      <c r="M43" s="34">
        <f t="shared" si="1"/>
        <v>0</v>
      </c>
      <c r="N43" s="34"/>
      <c r="O43" s="34"/>
      <c r="P43" s="34">
        <f t="shared" si="2"/>
        <v>0</v>
      </c>
      <c r="Q43" s="34">
        <v>116000</v>
      </c>
      <c r="R43" s="34">
        <v>116000</v>
      </c>
      <c r="S43" s="34">
        <f t="shared" si="3"/>
        <v>0</v>
      </c>
      <c r="T43" s="34"/>
      <c r="U43" s="34"/>
      <c r="V43" s="34">
        <f t="shared" si="4"/>
        <v>0</v>
      </c>
      <c r="W43" s="34"/>
      <c r="X43" s="34"/>
      <c r="Y43" s="34">
        <f t="shared" si="5"/>
        <v>0</v>
      </c>
      <c r="Z43" s="34"/>
      <c r="AA43" s="34"/>
      <c r="AB43" s="34">
        <f t="shared" si="6"/>
        <v>0</v>
      </c>
    </row>
    <row r="44" spans="1:189" s="28" customFormat="1" ht="47.25" x14ac:dyDescent="0.25">
      <c r="A44" s="36" t="s">
        <v>55</v>
      </c>
      <c r="B44" s="34">
        <f t="shared" si="7"/>
        <v>105953</v>
      </c>
      <c r="C44" s="34">
        <f t="shared" si="7"/>
        <v>105953</v>
      </c>
      <c r="D44" s="34">
        <f t="shared" si="7"/>
        <v>0</v>
      </c>
      <c r="E44" s="34">
        <v>0</v>
      </c>
      <c r="F44" s="34">
        <v>0</v>
      </c>
      <c r="G44" s="34">
        <f t="shared" si="8"/>
        <v>0</v>
      </c>
      <c r="H44" s="34">
        <v>0</v>
      </c>
      <c r="I44" s="34">
        <v>0</v>
      </c>
      <c r="J44" s="34">
        <f t="shared" si="0"/>
        <v>0</v>
      </c>
      <c r="K44" s="34">
        <f>37850+68103</f>
        <v>105953</v>
      </c>
      <c r="L44" s="34">
        <f>37850+68103</f>
        <v>105953</v>
      </c>
      <c r="M44" s="34">
        <f t="shared" si="1"/>
        <v>0</v>
      </c>
      <c r="N44" s="34">
        <v>0</v>
      </c>
      <c r="O44" s="34">
        <v>0</v>
      </c>
      <c r="P44" s="34">
        <f t="shared" si="2"/>
        <v>0</v>
      </c>
      <c r="Q44" s="34"/>
      <c r="R44" s="34"/>
      <c r="S44" s="34">
        <f t="shared" si="3"/>
        <v>0</v>
      </c>
      <c r="T44" s="34"/>
      <c r="U44" s="34"/>
      <c r="V44" s="34">
        <f t="shared" si="4"/>
        <v>0</v>
      </c>
      <c r="W44" s="34"/>
      <c r="X44" s="34"/>
      <c r="Y44" s="34">
        <f t="shared" si="5"/>
        <v>0</v>
      </c>
      <c r="Z44" s="34"/>
      <c r="AA44" s="34"/>
      <c r="AB44" s="34">
        <f t="shared" si="6"/>
        <v>0</v>
      </c>
    </row>
    <row r="45" spans="1:189" s="28" customFormat="1" ht="31.5" x14ac:dyDescent="0.25">
      <c r="A45" s="36" t="s">
        <v>56</v>
      </c>
      <c r="B45" s="34">
        <f t="shared" si="7"/>
        <v>64000</v>
      </c>
      <c r="C45" s="34">
        <f t="shared" si="7"/>
        <v>63920</v>
      </c>
      <c r="D45" s="34">
        <f t="shared" si="7"/>
        <v>-80</v>
      </c>
      <c r="E45" s="34">
        <v>60000</v>
      </c>
      <c r="F45" s="34">
        <f>60000-80</f>
        <v>59920</v>
      </c>
      <c r="G45" s="34">
        <f t="shared" si="8"/>
        <v>-80</v>
      </c>
      <c r="H45" s="34"/>
      <c r="I45" s="34"/>
      <c r="J45" s="34">
        <f t="shared" si="0"/>
        <v>0</v>
      </c>
      <c r="K45" s="34">
        <v>4000</v>
      </c>
      <c r="L45" s="34">
        <v>4000</v>
      </c>
      <c r="M45" s="34">
        <f t="shared" si="1"/>
        <v>0</v>
      </c>
      <c r="N45" s="34"/>
      <c r="O45" s="34"/>
      <c r="P45" s="34">
        <f t="shared" si="2"/>
        <v>0</v>
      </c>
      <c r="Q45" s="34"/>
      <c r="R45" s="34"/>
      <c r="S45" s="34">
        <f t="shared" si="3"/>
        <v>0</v>
      </c>
      <c r="T45" s="34"/>
      <c r="U45" s="34"/>
      <c r="V45" s="34">
        <f t="shared" si="4"/>
        <v>0</v>
      </c>
      <c r="W45" s="34"/>
      <c r="X45" s="34"/>
      <c r="Y45" s="34">
        <f t="shared" si="5"/>
        <v>0</v>
      </c>
      <c r="Z45" s="34"/>
      <c r="AA45" s="34"/>
      <c r="AB45" s="34">
        <f t="shared" si="6"/>
        <v>0</v>
      </c>
    </row>
    <row r="46" spans="1:189" s="28" customFormat="1" ht="31.5" x14ac:dyDescent="0.25">
      <c r="A46" s="36" t="s">
        <v>57</v>
      </c>
      <c r="B46" s="34">
        <f t="shared" si="7"/>
        <v>140000</v>
      </c>
      <c r="C46" s="34">
        <f t="shared" si="7"/>
        <v>140000</v>
      </c>
      <c r="D46" s="34">
        <f t="shared" si="7"/>
        <v>0</v>
      </c>
      <c r="E46" s="34">
        <f>140000-140000</f>
        <v>0</v>
      </c>
      <c r="F46" s="34">
        <f>140000-140000</f>
        <v>0</v>
      </c>
      <c r="G46" s="34">
        <f t="shared" si="8"/>
        <v>0</v>
      </c>
      <c r="H46" s="34"/>
      <c r="I46" s="34"/>
      <c r="J46" s="34">
        <f t="shared" si="0"/>
        <v>0</v>
      </c>
      <c r="K46" s="34"/>
      <c r="L46" s="34"/>
      <c r="M46" s="34">
        <f t="shared" si="1"/>
        <v>0</v>
      </c>
      <c r="N46" s="34"/>
      <c r="O46" s="34"/>
      <c r="P46" s="34">
        <f t="shared" si="2"/>
        <v>0</v>
      </c>
      <c r="Q46" s="34">
        <v>140000</v>
      </c>
      <c r="R46" s="34">
        <v>140000</v>
      </c>
      <c r="S46" s="34">
        <f t="shared" si="3"/>
        <v>0</v>
      </c>
      <c r="T46" s="34"/>
      <c r="U46" s="34"/>
      <c r="V46" s="34">
        <f t="shared" si="4"/>
        <v>0</v>
      </c>
      <c r="W46" s="34"/>
      <c r="X46" s="34"/>
      <c r="Y46" s="34">
        <f t="shared" si="5"/>
        <v>0</v>
      </c>
      <c r="Z46" s="34"/>
      <c r="AA46" s="34"/>
      <c r="AB46" s="34">
        <f t="shared" si="6"/>
        <v>0</v>
      </c>
    </row>
    <row r="47" spans="1:189" s="28" customFormat="1" ht="31.5" x14ac:dyDescent="0.25">
      <c r="A47" s="36" t="s">
        <v>58</v>
      </c>
      <c r="B47" s="34">
        <f t="shared" si="7"/>
        <v>20000</v>
      </c>
      <c r="C47" s="34">
        <f t="shared" si="7"/>
        <v>19598</v>
      </c>
      <c r="D47" s="34">
        <f t="shared" si="7"/>
        <v>-402</v>
      </c>
      <c r="E47" s="34">
        <v>20000</v>
      </c>
      <c r="F47" s="34">
        <f>20000-402</f>
        <v>19598</v>
      </c>
      <c r="G47" s="34">
        <f t="shared" si="8"/>
        <v>-402</v>
      </c>
      <c r="H47" s="34"/>
      <c r="I47" s="34"/>
      <c r="J47" s="34">
        <f t="shared" si="0"/>
        <v>0</v>
      </c>
      <c r="K47" s="34"/>
      <c r="L47" s="34"/>
      <c r="M47" s="34">
        <f t="shared" si="1"/>
        <v>0</v>
      </c>
      <c r="N47" s="34"/>
      <c r="O47" s="34"/>
      <c r="P47" s="34">
        <f t="shared" si="2"/>
        <v>0</v>
      </c>
      <c r="Q47" s="34"/>
      <c r="R47" s="34"/>
      <c r="S47" s="34">
        <f t="shared" si="3"/>
        <v>0</v>
      </c>
      <c r="T47" s="34"/>
      <c r="U47" s="34"/>
      <c r="V47" s="34">
        <f t="shared" si="4"/>
        <v>0</v>
      </c>
      <c r="W47" s="34"/>
      <c r="X47" s="34"/>
      <c r="Y47" s="34">
        <f t="shared" si="5"/>
        <v>0</v>
      </c>
      <c r="Z47" s="34"/>
      <c r="AA47" s="34"/>
      <c r="AB47" s="34">
        <f t="shared" si="6"/>
        <v>0</v>
      </c>
    </row>
    <row r="48" spans="1:189" s="28" customFormat="1" x14ac:dyDescent="0.25">
      <c r="A48" s="26" t="s">
        <v>59</v>
      </c>
      <c r="B48" s="27">
        <f t="shared" si="7"/>
        <v>471669</v>
      </c>
      <c r="C48" s="27">
        <f t="shared" si="7"/>
        <v>474691</v>
      </c>
      <c r="D48" s="27">
        <f t="shared" si="7"/>
        <v>3022</v>
      </c>
      <c r="E48" s="27">
        <f t="shared" ref="E48:AA48" si="26">SUM(E49)</f>
        <v>0</v>
      </c>
      <c r="F48" s="27">
        <f t="shared" si="26"/>
        <v>0</v>
      </c>
      <c r="G48" s="27">
        <f t="shared" si="8"/>
        <v>0</v>
      </c>
      <c r="H48" s="27">
        <f t="shared" si="26"/>
        <v>0</v>
      </c>
      <c r="I48" s="27">
        <f t="shared" si="26"/>
        <v>0</v>
      </c>
      <c r="J48" s="27">
        <f t="shared" si="0"/>
        <v>0</v>
      </c>
      <c r="K48" s="27">
        <f t="shared" si="26"/>
        <v>0</v>
      </c>
      <c r="L48" s="27">
        <f t="shared" si="26"/>
        <v>0</v>
      </c>
      <c r="M48" s="27">
        <f t="shared" si="1"/>
        <v>0</v>
      </c>
      <c r="N48" s="27">
        <f t="shared" si="26"/>
        <v>0</v>
      </c>
      <c r="O48" s="27">
        <f t="shared" si="26"/>
        <v>0</v>
      </c>
      <c r="P48" s="27">
        <f t="shared" si="2"/>
        <v>0</v>
      </c>
      <c r="Q48" s="27">
        <f t="shared" si="26"/>
        <v>201669</v>
      </c>
      <c r="R48" s="27">
        <f t="shared" si="26"/>
        <v>204691</v>
      </c>
      <c r="S48" s="27">
        <f t="shared" si="3"/>
        <v>3022</v>
      </c>
      <c r="T48" s="27">
        <f t="shared" si="26"/>
        <v>0</v>
      </c>
      <c r="U48" s="27">
        <f t="shared" si="26"/>
        <v>0</v>
      </c>
      <c r="V48" s="27">
        <f t="shared" si="4"/>
        <v>0</v>
      </c>
      <c r="W48" s="27">
        <f t="shared" si="26"/>
        <v>0</v>
      </c>
      <c r="X48" s="27">
        <f t="shared" si="26"/>
        <v>0</v>
      </c>
      <c r="Y48" s="27">
        <f t="shared" si="5"/>
        <v>0</v>
      </c>
      <c r="Z48" s="27">
        <f t="shared" si="26"/>
        <v>270000</v>
      </c>
      <c r="AA48" s="27">
        <f t="shared" si="26"/>
        <v>270000</v>
      </c>
      <c r="AB48" s="27">
        <f t="shared" si="6"/>
        <v>0</v>
      </c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  <c r="GA48" s="25"/>
      <c r="GB48" s="25"/>
      <c r="GC48" s="25"/>
      <c r="GD48" s="25"/>
      <c r="GE48" s="25"/>
      <c r="GF48" s="25"/>
      <c r="GG48" s="25"/>
    </row>
    <row r="49" spans="1:189" s="25" customFormat="1" x14ac:dyDescent="0.25">
      <c r="A49" s="26" t="s">
        <v>24</v>
      </c>
      <c r="B49" s="27">
        <f t="shared" si="7"/>
        <v>471669</v>
      </c>
      <c r="C49" s="27">
        <f t="shared" si="7"/>
        <v>474691</v>
      </c>
      <c r="D49" s="27">
        <f t="shared" si="7"/>
        <v>3022</v>
      </c>
      <c r="E49" s="27">
        <f>SUM(E50:E52)</f>
        <v>0</v>
      </c>
      <c r="F49" s="27">
        <f>SUM(F50:F52)</f>
        <v>0</v>
      </c>
      <c r="G49" s="27">
        <f t="shared" si="8"/>
        <v>0</v>
      </c>
      <c r="H49" s="27">
        <f t="shared" ref="H49:I49" si="27">SUM(H50:H52)</f>
        <v>0</v>
      </c>
      <c r="I49" s="27">
        <f t="shared" si="27"/>
        <v>0</v>
      </c>
      <c r="J49" s="27">
        <f t="shared" si="0"/>
        <v>0</v>
      </c>
      <c r="K49" s="27">
        <f t="shared" ref="K49:L49" si="28">SUM(K50:K52)</f>
        <v>0</v>
      </c>
      <c r="L49" s="27">
        <f t="shared" si="28"/>
        <v>0</v>
      </c>
      <c r="M49" s="27">
        <f t="shared" si="1"/>
        <v>0</v>
      </c>
      <c r="N49" s="27">
        <f t="shared" ref="N49:O49" si="29">SUM(N50:N52)</f>
        <v>0</v>
      </c>
      <c r="O49" s="27">
        <f t="shared" si="29"/>
        <v>0</v>
      </c>
      <c r="P49" s="27">
        <f t="shared" si="2"/>
        <v>0</v>
      </c>
      <c r="Q49" s="27">
        <f t="shared" ref="Q49:R49" si="30">SUM(Q50:Q52)</f>
        <v>201669</v>
      </c>
      <c r="R49" s="27">
        <f t="shared" si="30"/>
        <v>204691</v>
      </c>
      <c r="S49" s="27">
        <f t="shared" si="3"/>
        <v>3022</v>
      </c>
      <c r="T49" s="27">
        <f t="shared" ref="T49:U49" si="31">SUM(T50:T52)</f>
        <v>0</v>
      </c>
      <c r="U49" s="27">
        <f t="shared" si="31"/>
        <v>0</v>
      </c>
      <c r="V49" s="27">
        <f t="shared" si="4"/>
        <v>0</v>
      </c>
      <c r="W49" s="27">
        <f t="shared" ref="W49:X49" si="32">SUM(W50:W52)</f>
        <v>0</v>
      </c>
      <c r="X49" s="27">
        <f t="shared" si="32"/>
        <v>0</v>
      </c>
      <c r="Y49" s="27">
        <f t="shared" si="5"/>
        <v>0</v>
      </c>
      <c r="Z49" s="27">
        <f t="shared" ref="Z49:AA49" si="33">SUM(Z50:Z52)</f>
        <v>270000</v>
      </c>
      <c r="AA49" s="27">
        <f t="shared" si="33"/>
        <v>270000</v>
      </c>
      <c r="AB49" s="27">
        <f t="shared" si="6"/>
        <v>0</v>
      </c>
    </row>
    <row r="50" spans="1:189" s="28" customFormat="1" x14ac:dyDescent="0.25">
      <c r="A50" s="33" t="s">
        <v>60</v>
      </c>
      <c r="B50" s="34">
        <f t="shared" si="7"/>
        <v>350000</v>
      </c>
      <c r="C50" s="34">
        <f t="shared" si="7"/>
        <v>350000</v>
      </c>
      <c r="D50" s="34">
        <f t="shared" si="7"/>
        <v>0</v>
      </c>
      <c r="E50" s="34"/>
      <c r="F50" s="34"/>
      <c r="G50" s="34">
        <f t="shared" si="8"/>
        <v>0</v>
      </c>
      <c r="H50" s="34"/>
      <c r="I50" s="34"/>
      <c r="J50" s="34">
        <f t="shared" si="0"/>
        <v>0</v>
      </c>
      <c r="K50" s="34"/>
      <c r="L50" s="34"/>
      <c r="M50" s="34">
        <f t="shared" si="1"/>
        <v>0</v>
      </c>
      <c r="N50" s="34"/>
      <c r="O50" s="34"/>
      <c r="P50" s="34">
        <f t="shared" si="2"/>
        <v>0</v>
      </c>
      <c r="Q50" s="34">
        <v>80000</v>
      </c>
      <c r="R50" s="34">
        <v>80000</v>
      </c>
      <c r="S50" s="34">
        <f t="shared" si="3"/>
        <v>0</v>
      </c>
      <c r="T50" s="34"/>
      <c r="U50" s="34"/>
      <c r="V50" s="34">
        <f t="shared" si="4"/>
        <v>0</v>
      </c>
      <c r="W50" s="34"/>
      <c r="X50" s="34"/>
      <c r="Y50" s="34">
        <f t="shared" si="5"/>
        <v>0</v>
      </c>
      <c r="Z50" s="34">
        <v>270000</v>
      </c>
      <c r="AA50" s="34">
        <v>270000</v>
      </c>
      <c r="AB50" s="34">
        <f t="shared" si="6"/>
        <v>0</v>
      </c>
    </row>
    <row r="51" spans="1:189" s="28" customFormat="1" ht="31.5" x14ac:dyDescent="0.25">
      <c r="A51" s="33" t="s">
        <v>61</v>
      </c>
      <c r="B51" s="34">
        <f t="shared" si="7"/>
        <v>119928</v>
      </c>
      <c r="C51" s="34">
        <f t="shared" si="7"/>
        <v>122950</v>
      </c>
      <c r="D51" s="34">
        <f t="shared" si="7"/>
        <v>3022</v>
      </c>
      <c r="E51" s="34"/>
      <c r="F51" s="34"/>
      <c r="G51" s="34">
        <f t="shared" si="8"/>
        <v>0</v>
      </c>
      <c r="H51" s="34"/>
      <c r="I51" s="34"/>
      <c r="J51" s="34">
        <f t="shared" si="0"/>
        <v>0</v>
      </c>
      <c r="K51" s="34"/>
      <c r="L51" s="34"/>
      <c r="M51" s="34">
        <f t="shared" si="1"/>
        <v>0</v>
      </c>
      <c r="N51" s="34"/>
      <c r="O51" s="34"/>
      <c r="P51" s="34">
        <f t="shared" si="2"/>
        <v>0</v>
      </c>
      <c r="Q51" s="34">
        <f>95431+528+23969</f>
        <v>119928</v>
      </c>
      <c r="R51" s="34">
        <f>95431+528+23969+3022</f>
        <v>122950</v>
      </c>
      <c r="S51" s="34">
        <f t="shared" si="3"/>
        <v>3022</v>
      </c>
      <c r="T51" s="34"/>
      <c r="U51" s="34"/>
      <c r="V51" s="34">
        <f t="shared" si="4"/>
        <v>0</v>
      </c>
      <c r="W51" s="34"/>
      <c r="X51" s="34"/>
      <c r="Y51" s="34">
        <f t="shared" si="5"/>
        <v>0</v>
      </c>
      <c r="Z51" s="34"/>
      <c r="AA51" s="34"/>
      <c r="AB51" s="34">
        <f t="shared" si="6"/>
        <v>0</v>
      </c>
    </row>
    <row r="52" spans="1:189" s="28" customFormat="1" ht="31.5" x14ac:dyDescent="0.25">
      <c r="A52" s="33" t="s">
        <v>62</v>
      </c>
      <c r="B52" s="34">
        <f t="shared" si="7"/>
        <v>1741</v>
      </c>
      <c r="C52" s="34">
        <f t="shared" si="7"/>
        <v>1741</v>
      </c>
      <c r="D52" s="34">
        <f t="shared" si="7"/>
        <v>0</v>
      </c>
      <c r="E52" s="34"/>
      <c r="F52" s="34"/>
      <c r="G52" s="34">
        <f t="shared" si="8"/>
        <v>0</v>
      </c>
      <c r="H52" s="34"/>
      <c r="I52" s="34"/>
      <c r="J52" s="34">
        <f t="shared" si="0"/>
        <v>0</v>
      </c>
      <c r="K52" s="34"/>
      <c r="L52" s="34"/>
      <c r="M52" s="34">
        <f t="shared" si="1"/>
        <v>0</v>
      </c>
      <c r="N52" s="34"/>
      <c r="O52" s="34"/>
      <c r="P52" s="34">
        <f t="shared" si="2"/>
        <v>0</v>
      </c>
      <c r="Q52" s="34">
        <v>1741</v>
      </c>
      <c r="R52" s="34">
        <v>1741</v>
      </c>
      <c r="S52" s="34">
        <f t="shared" si="3"/>
        <v>0</v>
      </c>
      <c r="T52" s="34"/>
      <c r="U52" s="34"/>
      <c r="V52" s="34">
        <f t="shared" si="4"/>
        <v>0</v>
      </c>
      <c r="W52" s="34"/>
      <c r="X52" s="34"/>
      <c r="Y52" s="34">
        <f t="shared" si="5"/>
        <v>0</v>
      </c>
      <c r="Z52" s="34"/>
      <c r="AA52" s="34"/>
      <c r="AB52" s="34">
        <f t="shared" si="6"/>
        <v>0</v>
      </c>
    </row>
    <row r="53" spans="1:189" s="28" customFormat="1" ht="31.5" x14ac:dyDescent="0.25">
      <c r="A53" s="26" t="s">
        <v>63</v>
      </c>
      <c r="B53" s="27">
        <f t="shared" si="7"/>
        <v>683558</v>
      </c>
      <c r="C53" s="27">
        <f t="shared" si="7"/>
        <v>683785</v>
      </c>
      <c r="D53" s="27">
        <f t="shared" si="7"/>
        <v>227</v>
      </c>
      <c r="E53" s="27">
        <f t="shared" ref="E53:AA53" si="34">SUM(E54)</f>
        <v>0</v>
      </c>
      <c r="F53" s="27">
        <f t="shared" si="34"/>
        <v>0</v>
      </c>
      <c r="G53" s="27">
        <f t="shared" si="8"/>
        <v>0</v>
      </c>
      <c r="H53" s="27">
        <f t="shared" si="34"/>
        <v>5468</v>
      </c>
      <c r="I53" s="27">
        <f t="shared" si="34"/>
        <v>5468</v>
      </c>
      <c r="J53" s="27">
        <f t="shared" si="0"/>
        <v>0</v>
      </c>
      <c r="K53" s="27">
        <f t="shared" si="34"/>
        <v>56088</v>
      </c>
      <c r="L53" s="27">
        <f t="shared" si="34"/>
        <v>56315</v>
      </c>
      <c r="M53" s="27">
        <f t="shared" si="1"/>
        <v>227</v>
      </c>
      <c r="N53" s="27">
        <f t="shared" si="34"/>
        <v>580747</v>
      </c>
      <c r="O53" s="27">
        <f t="shared" si="34"/>
        <v>580747</v>
      </c>
      <c r="P53" s="27">
        <f t="shared" si="2"/>
        <v>0</v>
      </c>
      <c r="Q53" s="27">
        <f t="shared" si="34"/>
        <v>16301</v>
      </c>
      <c r="R53" s="27">
        <f t="shared" si="34"/>
        <v>16301</v>
      </c>
      <c r="S53" s="27">
        <f t="shared" si="3"/>
        <v>0</v>
      </c>
      <c r="T53" s="27">
        <f t="shared" si="34"/>
        <v>0</v>
      </c>
      <c r="U53" s="27">
        <f t="shared" si="34"/>
        <v>0</v>
      </c>
      <c r="V53" s="27">
        <f t="shared" si="4"/>
        <v>0</v>
      </c>
      <c r="W53" s="27">
        <f t="shared" si="34"/>
        <v>24954</v>
      </c>
      <c r="X53" s="27">
        <f t="shared" si="34"/>
        <v>24954</v>
      </c>
      <c r="Y53" s="27">
        <f t="shared" si="5"/>
        <v>0</v>
      </c>
      <c r="Z53" s="27">
        <f t="shared" si="34"/>
        <v>0</v>
      </c>
      <c r="AA53" s="27">
        <f t="shared" si="34"/>
        <v>0</v>
      </c>
      <c r="AB53" s="27">
        <f t="shared" si="6"/>
        <v>0</v>
      </c>
    </row>
    <row r="54" spans="1:189" s="28" customFormat="1" x14ac:dyDescent="0.25">
      <c r="A54" s="26" t="s">
        <v>24</v>
      </c>
      <c r="B54" s="27">
        <f t="shared" si="7"/>
        <v>683558</v>
      </c>
      <c r="C54" s="27">
        <f t="shared" si="7"/>
        <v>683785</v>
      </c>
      <c r="D54" s="27">
        <f t="shared" si="7"/>
        <v>227</v>
      </c>
      <c r="E54" s="27">
        <f>SUM(E55:E64)</f>
        <v>0</v>
      </c>
      <c r="F54" s="27">
        <f>SUM(F55:F64)</f>
        <v>0</v>
      </c>
      <c r="G54" s="27">
        <f t="shared" si="8"/>
        <v>0</v>
      </c>
      <c r="H54" s="27">
        <f t="shared" ref="H54:I54" si="35">SUM(H55:H64)</f>
        <v>5468</v>
      </c>
      <c r="I54" s="27">
        <f t="shared" si="35"/>
        <v>5468</v>
      </c>
      <c r="J54" s="27">
        <f t="shared" si="0"/>
        <v>0</v>
      </c>
      <c r="K54" s="27">
        <f t="shared" ref="K54:L54" si="36">SUM(K55:K64)</f>
        <v>56088</v>
      </c>
      <c r="L54" s="27">
        <f t="shared" si="36"/>
        <v>56315</v>
      </c>
      <c r="M54" s="27">
        <f t="shared" si="1"/>
        <v>227</v>
      </c>
      <c r="N54" s="27">
        <f t="shared" ref="N54:O54" si="37">SUM(N55:N64)</f>
        <v>580747</v>
      </c>
      <c r="O54" s="27">
        <f t="shared" si="37"/>
        <v>580747</v>
      </c>
      <c r="P54" s="27">
        <f t="shared" si="2"/>
        <v>0</v>
      </c>
      <c r="Q54" s="27">
        <f t="shared" ref="Q54:R54" si="38">SUM(Q55:Q64)</f>
        <v>16301</v>
      </c>
      <c r="R54" s="27">
        <f t="shared" si="38"/>
        <v>16301</v>
      </c>
      <c r="S54" s="27">
        <f t="shared" si="3"/>
        <v>0</v>
      </c>
      <c r="T54" s="27">
        <f t="shared" ref="T54:U54" si="39">SUM(T55:T64)</f>
        <v>0</v>
      </c>
      <c r="U54" s="27">
        <f t="shared" si="39"/>
        <v>0</v>
      </c>
      <c r="V54" s="27">
        <f t="shared" si="4"/>
        <v>0</v>
      </c>
      <c r="W54" s="27">
        <f t="shared" ref="W54:X54" si="40">SUM(W55:W64)</f>
        <v>24954</v>
      </c>
      <c r="X54" s="27">
        <f t="shared" si="40"/>
        <v>24954</v>
      </c>
      <c r="Y54" s="27">
        <f t="shared" si="5"/>
        <v>0</v>
      </c>
      <c r="Z54" s="27">
        <f t="shared" ref="Z54:AA54" si="41">SUM(Z55:Z64)</f>
        <v>0</v>
      </c>
      <c r="AA54" s="27">
        <f t="shared" si="41"/>
        <v>0</v>
      </c>
      <c r="AB54" s="27">
        <f t="shared" si="6"/>
        <v>0</v>
      </c>
    </row>
    <row r="55" spans="1:189" s="25" customFormat="1" ht="110.25" x14ac:dyDescent="0.25">
      <c r="A55" s="35" t="s">
        <v>64</v>
      </c>
      <c r="B55" s="37">
        <f t="shared" si="7"/>
        <v>130000</v>
      </c>
      <c r="C55" s="37">
        <f t="shared" si="7"/>
        <v>130000</v>
      </c>
      <c r="D55" s="37">
        <f t="shared" si="7"/>
        <v>0</v>
      </c>
      <c r="E55" s="37"/>
      <c r="F55" s="37"/>
      <c r="G55" s="37">
        <f t="shared" si="8"/>
        <v>0</v>
      </c>
      <c r="H55" s="37"/>
      <c r="I55" s="37"/>
      <c r="J55" s="37">
        <f t="shared" si="0"/>
        <v>0</v>
      </c>
      <c r="K55" s="37"/>
      <c r="L55" s="37"/>
      <c r="M55" s="37">
        <f t="shared" si="1"/>
        <v>0</v>
      </c>
      <c r="N55" s="37">
        <f>130000</f>
        <v>130000</v>
      </c>
      <c r="O55" s="37">
        <f>130000</f>
        <v>130000</v>
      </c>
      <c r="P55" s="37">
        <f t="shared" si="2"/>
        <v>0</v>
      </c>
      <c r="Q55" s="37"/>
      <c r="R55" s="37"/>
      <c r="S55" s="37">
        <f t="shared" si="3"/>
        <v>0</v>
      </c>
      <c r="T55" s="37"/>
      <c r="U55" s="37"/>
      <c r="V55" s="37">
        <f t="shared" si="4"/>
        <v>0</v>
      </c>
      <c r="W55" s="37"/>
      <c r="X55" s="37"/>
      <c r="Y55" s="37">
        <f t="shared" si="5"/>
        <v>0</v>
      </c>
      <c r="Z55" s="37"/>
      <c r="AA55" s="37"/>
      <c r="AB55" s="37">
        <f t="shared" si="6"/>
        <v>0</v>
      </c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8"/>
      <c r="ED55" s="28"/>
      <c r="EE55" s="28"/>
      <c r="EF55" s="28"/>
      <c r="EG55" s="28"/>
      <c r="EH55" s="28"/>
      <c r="EI55" s="28"/>
      <c r="EJ55" s="28"/>
      <c r="EK55" s="28"/>
      <c r="EL55" s="28"/>
      <c r="EM55" s="28"/>
      <c r="EN55" s="28"/>
      <c r="EO55" s="28"/>
      <c r="EP55" s="28"/>
      <c r="EQ55" s="28"/>
      <c r="ER55" s="28"/>
      <c r="ES55" s="28"/>
      <c r="ET55" s="28"/>
      <c r="EU55" s="28"/>
      <c r="EV55" s="28"/>
      <c r="EW55" s="28"/>
      <c r="EX55" s="28"/>
      <c r="EY55" s="28"/>
      <c r="EZ55" s="28"/>
      <c r="FA55" s="28"/>
      <c r="FB55" s="28"/>
      <c r="FC55" s="28"/>
      <c r="FD55" s="28"/>
      <c r="FE55" s="28"/>
      <c r="FF55" s="28"/>
      <c r="FG55" s="28"/>
      <c r="FH55" s="28"/>
      <c r="FI55" s="28"/>
      <c r="FJ55" s="28"/>
      <c r="FK55" s="28"/>
      <c r="FL55" s="28"/>
      <c r="FM55" s="28"/>
      <c r="FN55" s="28"/>
      <c r="FO55" s="28"/>
      <c r="FP55" s="28"/>
      <c r="FQ55" s="28"/>
      <c r="FR55" s="28"/>
      <c r="FS55" s="28"/>
      <c r="FT55" s="28"/>
      <c r="FU55" s="28"/>
      <c r="FV55" s="28"/>
      <c r="FW55" s="28"/>
      <c r="FX55" s="28"/>
      <c r="FY55" s="28"/>
      <c r="FZ55" s="28"/>
      <c r="GA55" s="28"/>
      <c r="GB55" s="28"/>
      <c r="GC55" s="28"/>
      <c r="GD55" s="28"/>
      <c r="GE55" s="28"/>
      <c r="GF55" s="28"/>
      <c r="GG55" s="28"/>
    </row>
    <row r="56" spans="1:189" s="28" customFormat="1" ht="63" x14ac:dyDescent="0.25">
      <c r="A56" s="35" t="s">
        <v>65</v>
      </c>
      <c r="B56" s="31">
        <f t="shared" si="7"/>
        <v>53191</v>
      </c>
      <c r="C56" s="31">
        <f t="shared" si="7"/>
        <v>53191</v>
      </c>
      <c r="D56" s="31">
        <f t="shared" si="7"/>
        <v>0</v>
      </c>
      <c r="E56" s="31"/>
      <c r="F56" s="31"/>
      <c r="G56" s="31">
        <f t="shared" si="8"/>
        <v>0</v>
      </c>
      <c r="H56" s="31"/>
      <c r="I56" s="31"/>
      <c r="J56" s="31">
        <f t="shared" si="0"/>
        <v>0</v>
      </c>
      <c r="K56" s="31"/>
      <c r="L56" s="31"/>
      <c r="M56" s="31">
        <f t="shared" si="1"/>
        <v>0</v>
      </c>
      <c r="N56" s="31">
        <v>53191</v>
      </c>
      <c r="O56" s="31">
        <v>53191</v>
      </c>
      <c r="P56" s="31">
        <f t="shared" si="2"/>
        <v>0</v>
      </c>
      <c r="Q56" s="31"/>
      <c r="R56" s="31"/>
      <c r="S56" s="31">
        <f t="shared" si="3"/>
        <v>0</v>
      </c>
      <c r="T56" s="31"/>
      <c r="U56" s="31"/>
      <c r="V56" s="31">
        <f t="shared" si="4"/>
        <v>0</v>
      </c>
      <c r="W56" s="31"/>
      <c r="X56" s="31"/>
      <c r="Y56" s="31">
        <f t="shared" si="5"/>
        <v>0</v>
      </c>
      <c r="Z56" s="31"/>
      <c r="AA56" s="31"/>
      <c r="AB56" s="31">
        <f t="shared" si="6"/>
        <v>0</v>
      </c>
    </row>
    <row r="57" spans="1:189" s="28" customFormat="1" ht="41.25" customHeight="1" x14ac:dyDescent="0.25">
      <c r="A57" s="35" t="s">
        <v>66</v>
      </c>
      <c r="B57" s="31">
        <f t="shared" si="7"/>
        <v>14640</v>
      </c>
      <c r="C57" s="31">
        <f t="shared" si="7"/>
        <v>14640</v>
      </c>
      <c r="D57" s="31">
        <f t="shared" si="7"/>
        <v>0</v>
      </c>
      <c r="E57" s="31"/>
      <c r="F57" s="31"/>
      <c r="G57" s="31">
        <f t="shared" si="8"/>
        <v>0</v>
      </c>
      <c r="H57" s="31"/>
      <c r="I57" s="31"/>
      <c r="J57" s="31">
        <f t="shared" si="0"/>
        <v>0</v>
      </c>
      <c r="K57" s="31">
        <v>14640</v>
      </c>
      <c r="L57" s="31">
        <v>14640</v>
      </c>
      <c r="M57" s="31">
        <f>L57-K57</f>
        <v>0</v>
      </c>
      <c r="N57" s="31"/>
      <c r="O57" s="31"/>
      <c r="P57" s="31">
        <f t="shared" si="2"/>
        <v>0</v>
      </c>
      <c r="Q57" s="31"/>
      <c r="R57" s="31"/>
      <c r="S57" s="31">
        <v>0</v>
      </c>
      <c r="T57" s="31"/>
      <c r="U57" s="31"/>
      <c r="V57" s="31">
        <v>0</v>
      </c>
      <c r="W57" s="31"/>
      <c r="X57" s="31"/>
      <c r="Y57" s="31">
        <v>0</v>
      </c>
      <c r="Z57" s="31"/>
      <c r="AA57" s="31"/>
      <c r="AB57" s="31">
        <v>0</v>
      </c>
    </row>
    <row r="58" spans="1:189" s="28" customFormat="1" ht="47.25" x14ac:dyDescent="0.25">
      <c r="A58" s="30" t="s">
        <v>67</v>
      </c>
      <c r="B58" s="31">
        <f t="shared" si="7"/>
        <v>5468</v>
      </c>
      <c r="C58" s="31">
        <f t="shared" si="7"/>
        <v>5468</v>
      </c>
      <c r="D58" s="31">
        <f t="shared" si="7"/>
        <v>0</v>
      </c>
      <c r="E58" s="31"/>
      <c r="F58" s="31"/>
      <c r="G58" s="31">
        <f t="shared" si="8"/>
        <v>0</v>
      </c>
      <c r="H58" s="31">
        <f>5100+368</f>
        <v>5468</v>
      </c>
      <c r="I58" s="31">
        <f>5100+368</f>
        <v>5468</v>
      </c>
      <c r="J58" s="31">
        <f t="shared" si="0"/>
        <v>0</v>
      </c>
      <c r="K58" s="31"/>
      <c r="L58" s="31"/>
      <c r="M58" s="31">
        <f t="shared" si="1"/>
        <v>0</v>
      </c>
      <c r="N58" s="31"/>
      <c r="O58" s="31"/>
      <c r="P58" s="31">
        <f t="shared" si="2"/>
        <v>0</v>
      </c>
      <c r="Q58" s="31"/>
      <c r="R58" s="31"/>
      <c r="S58" s="31">
        <f t="shared" si="3"/>
        <v>0</v>
      </c>
      <c r="T58" s="31"/>
      <c r="U58" s="31"/>
      <c r="V58" s="31">
        <f t="shared" si="4"/>
        <v>0</v>
      </c>
      <c r="W58" s="31"/>
      <c r="X58" s="31"/>
      <c r="Y58" s="31">
        <f t="shared" si="5"/>
        <v>0</v>
      </c>
      <c r="Z58" s="31"/>
      <c r="AA58" s="31"/>
      <c r="AB58" s="31">
        <f t="shared" si="6"/>
        <v>0</v>
      </c>
    </row>
    <row r="59" spans="1:189" s="28" customFormat="1" ht="47.25" x14ac:dyDescent="0.25">
      <c r="A59" s="30" t="s">
        <v>68</v>
      </c>
      <c r="B59" s="31">
        <f t="shared" si="7"/>
        <v>3000</v>
      </c>
      <c r="C59" s="31">
        <f t="shared" si="7"/>
        <v>3000</v>
      </c>
      <c r="D59" s="31">
        <f t="shared" si="7"/>
        <v>0</v>
      </c>
      <c r="E59" s="31"/>
      <c r="F59" s="31"/>
      <c r="G59" s="31">
        <f t="shared" si="8"/>
        <v>0</v>
      </c>
      <c r="H59" s="31"/>
      <c r="I59" s="31"/>
      <c r="J59" s="31">
        <f t="shared" si="0"/>
        <v>0</v>
      </c>
      <c r="K59" s="31">
        <v>3000</v>
      </c>
      <c r="L59" s="31">
        <v>3000</v>
      </c>
      <c r="M59" s="31">
        <f>L59-K59</f>
        <v>0</v>
      </c>
      <c r="N59" s="31"/>
      <c r="O59" s="31"/>
      <c r="P59" s="31">
        <f t="shared" si="2"/>
        <v>0</v>
      </c>
      <c r="Q59" s="31"/>
      <c r="R59" s="31"/>
      <c r="S59" s="31">
        <f t="shared" si="3"/>
        <v>0</v>
      </c>
      <c r="T59" s="31"/>
      <c r="U59" s="31"/>
      <c r="V59" s="31">
        <f t="shared" si="4"/>
        <v>0</v>
      </c>
      <c r="W59" s="31"/>
      <c r="X59" s="31"/>
      <c r="Y59" s="31">
        <f t="shared" si="5"/>
        <v>0</v>
      </c>
      <c r="Z59" s="31"/>
      <c r="AA59" s="31"/>
      <c r="AB59" s="31">
        <f t="shared" si="6"/>
        <v>0</v>
      </c>
    </row>
    <row r="60" spans="1:189" s="28" customFormat="1" ht="31.5" x14ac:dyDescent="0.25">
      <c r="A60" s="30" t="s">
        <v>69</v>
      </c>
      <c r="B60" s="31">
        <f t="shared" si="7"/>
        <v>5000</v>
      </c>
      <c r="C60" s="31">
        <f t="shared" si="7"/>
        <v>5000</v>
      </c>
      <c r="D60" s="31">
        <f t="shared" si="7"/>
        <v>0</v>
      </c>
      <c r="E60" s="31"/>
      <c r="F60" s="31"/>
      <c r="G60" s="31">
        <f t="shared" si="8"/>
        <v>0</v>
      </c>
      <c r="H60" s="31"/>
      <c r="I60" s="31"/>
      <c r="J60" s="31">
        <f t="shared" si="0"/>
        <v>0</v>
      </c>
      <c r="K60" s="31">
        <v>5000</v>
      </c>
      <c r="L60" s="31">
        <v>5000</v>
      </c>
      <c r="M60" s="31">
        <f t="shared" si="1"/>
        <v>0</v>
      </c>
      <c r="N60" s="31"/>
      <c r="O60" s="31"/>
      <c r="P60" s="31">
        <f t="shared" si="2"/>
        <v>0</v>
      </c>
      <c r="Q60" s="31"/>
      <c r="R60" s="31"/>
      <c r="S60" s="31">
        <f t="shared" si="3"/>
        <v>0</v>
      </c>
      <c r="T60" s="31"/>
      <c r="U60" s="31"/>
      <c r="V60" s="31">
        <f t="shared" si="4"/>
        <v>0</v>
      </c>
      <c r="W60" s="31"/>
      <c r="X60" s="31"/>
      <c r="Y60" s="31">
        <f t="shared" si="5"/>
        <v>0</v>
      </c>
      <c r="Z60" s="31"/>
      <c r="AA60" s="31"/>
      <c r="AB60" s="31">
        <f t="shared" si="6"/>
        <v>0</v>
      </c>
    </row>
    <row r="61" spans="1:189" s="28" customFormat="1" x14ac:dyDescent="0.25">
      <c r="A61" s="30" t="s">
        <v>70</v>
      </c>
      <c r="B61" s="31">
        <f t="shared" si="7"/>
        <v>6248</v>
      </c>
      <c r="C61" s="31">
        <f t="shared" si="7"/>
        <v>6248</v>
      </c>
      <c r="D61" s="31">
        <f t="shared" si="7"/>
        <v>0</v>
      </c>
      <c r="E61" s="31"/>
      <c r="F61" s="31"/>
      <c r="G61" s="31">
        <f t="shared" si="8"/>
        <v>0</v>
      </c>
      <c r="H61" s="31"/>
      <c r="I61" s="31"/>
      <c r="J61" s="31">
        <f t="shared" si="0"/>
        <v>0</v>
      </c>
      <c r="K61" s="31">
        <v>6248</v>
      </c>
      <c r="L61" s="31">
        <v>6248</v>
      </c>
      <c r="M61" s="31">
        <f t="shared" si="1"/>
        <v>0</v>
      </c>
      <c r="N61" s="31"/>
      <c r="O61" s="31"/>
      <c r="P61" s="31">
        <f t="shared" si="2"/>
        <v>0</v>
      </c>
      <c r="Q61" s="31"/>
      <c r="R61" s="31"/>
      <c r="S61" s="31">
        <f t="shared" si="3"/>
        <v>0</v>
      </c>
      <c r="T61" s="31"/>
      <c r="U61" s="31"/>
      <c r="V61" s="31">
        <f t="shared" si="4"/>
        <v>0</v>
      </c>
      <c r="W61" s="31"/>
      <c r="X61" s="31"/>
      <c r="Y61" s="31">
        <f t="shared" si="5"/>
        <v>0</v>
      </c>
      <c r="Z61" s="31"/>
      <c r="AA61" s="31"/>
      <c r="AB61" s="31">
        <f t="shared" si="6"/>
        <v>0</v>
      </c>
    </row>
    <row r="62" spans="1:189" s="28" customFormat="1" ht="31.5" x14ac:dyDescent="0.25">
      <c r="A62" s="30" t="s">
        <v>71</v>
      </c>
      <c r="B62" s="31">
        <f t="shared" si="7"/>
        <v>49908</v>
      </c>
      <c r="C62" s="31">
        <f t="shared" si="7"/>
        <v>50135</v>
      </c>
      <c r="D62" s="31">
        <f t="shared" si="7"/>
        <v>227</v>
      </c>
      <c r="E62" s="31"/>
      <c r="F62" s="31"/>
      <c r="G62" s="31">
        <f t="shared" si="8"/>
        <v>0</v>
      </c>
      <c r="H62" s="31"/>
      <c r="I62" s="31"/>
      <c r="J62" s="31">
        <f t="shared" si="0"/>
        <v>0</v>
      </c>
      <c r="K62" s="31">
        <v>24954</v>
      </c>
      <c r="L62" s="31">
        <f>24954+227</f>
        <v>25181</v>
      </c>
      <c r="M62" s="31">
        <f t="shared" si="1"/>
        <v>227</v>
      </c>
      <c r="N62" s="31"/>
      <c r="O62" s="31"/>
      <c r="P62" s="31">
        <f t="shared" si="2"/>
        <v>0</v>
      </c>
      <c r="Q62" s="31"/>
      <c r="R62" s="31"/>
      <c r="S62" s="31">
        <f t="shared" si="3"/>
        <v>0</v>
      </c>
      <c r="T62" s="31"/>
      <c r="U62" s="31"/>
      <c r="V62" s="31">
        <f t="shared" si="4"/>
        <v>0</v>
      </c>
      <c r="W62" s="31">
        <v>24954</v>
      </c>
      <c r="X62" s="31">
        <v>24954</v>
      </c>
      <c r="Y62" s="31">
        <f t="shared" si="5"/>
        <v>0</v>
      </c>
      <c r="Z62" s="31"/>
      <c r="AA62" s="31"/>
      <c r="AB62" s="31">
        <f t="shared" si="6"/>
        <v>0</v>
      </c>
    </row>
    <row r="63" spans="1:189" s="28" customFormat="1" ht="31.5" x14ac:dyDescent="0.25">
      <c r="A63" s="35" t="s">
        <v>72</v>
      </c>
      <c r="B63" s="31">
        <f t="shared" si="7"/>
        <v>18547</v>
      </c>
      <c r="C63" s="31">
        <f t="shared" si="7"/>
        <v>18547</v>
      </c>
      <c r="D63" s="31">
        <f t="shared" si="7"/>
        <v>0</v>
      </c>
      <c r="E63" s="31"/>
      <c r="F63" s="31"/>
      <c r="G63" s="31">
        <f t="shared" si="8"/>
        <v>0</v>
      </c>
      <c r="H63" s="31"/>
      <c r="I63" s="31"/>
      <c r="J63" s="31">
        <f t="shared" si="0"/>
        <v>0</v>
      </c>
      <c r="K63" s="31">
        <v>2246</v>
      </c>
      <c r="L63" s="31">
        <v>2246</v>
      </c>
      <c r="M63" s="31">
        <f t="shared" si="1"/>
        <v>0</v>
      </c>
      <c r="N63" s="31"/>
      <c r="O63" s="31"/>
      <c r="P63" s="31">
        <f t="shared" si="2"/>
        <v>0</v>
      </c>
      <c r="Q63" s="31">
        <v>16301</v>
      </c>
      <c r="R63" s="31">
        <v>16301</v>
      </c>
      <c r="S63" s="31">
        <f t="shared" si="3"/>
        <v>0</v>
      </c>
      <c r="T63" s="31"/>
      <c r="U63" s="31"/>
      <c r="V63" s="31">
        <f t="shared" si="4"/>
        <v>0</v>
      </c>
      <c r="W63" s="31"/>
      <c r="X63" s="31"/>
      <c r="Y63" s="31">
        <f t="shared" si="5"/>
        <v>0</v>
      </c>
      <c r="Z63" s="31"/>
      <c r="AA63" s="31"/>
      <c r="AB63" s="31">
        <f t="shared" si="6"/>
        <v>0</v>
      </c>
    </row>
    <row r="64" spans="1:189" s="28" customFormat="1" ht="78.75" x14ac:dyDescent="0.25">
      <c r="A64" s="35" t="s">
        <v>73</v>
      </c>
      <c r="B64" s="31">
        <f t="shared" si="7"/>
        <v>397556</v>
      </c>
      <c r="C64" s="31">
        <f t="shared" si="7"/>
        <v>397556</v>
      </c>
      <c r="D64" s="31">
        <f t="shared" si="7"/>
        <v>0</v>
      </c>
      <c r="E64" s="31"/>
      <c r="F64" s="31"/>
      <c r="G64" s="31">
        <f t="shared" si="8"/>
        <v>0</v>
      </c>
      <c r="H64" s="31"/>
      <c r="I64" s="31"/>
      <c r="J64" s="31">
        <f t="shared" si="0"/>
        <v>0</v>
      </c>
      <c r="K64" s="31"/>
      <c r="L64" s="31"/>
      <c r="M64" s="31">
        <f t="shared" si="1"/>
        <v>0</v>
      </c>
      <c r="N64" s="31">
        <f>394555+3001</f>
        <v>397556</v>
      </c>
      <c r="O64" s="31">
        <f>394555+3001</f>
        <v>397556</v>
      </c>
      <c r="P64" s="31">
        <f t="shared" si="2"/>
        <v>0</v>
      </c>
      <c r="Q64" s="31"/>
      <c r="R64" s="31"/>
      <c r="S64" s="31">
        <f t="shared" si="3"/>
        <v>0</v>
      </c>
      <c r="T64" s="31"/>
      <c r="U64" s="31"/>
      <c r="V64" s="31">
        <f t="shared" si="4"/>
        <v>0</v>
      </c>
      <c r="W64" s="31"/>
      <c r="X64" s="31"/>
      <c r="Y64" s="31">
        <f t="shared" si="5"/>
        <v>0</v>
      </c>
      <c r="Z64" s="31"/>
      <c r="AA64" s="31"/>
      <c r="AB64" s="31">
        <f t="shared" si="6"/>
        <v>0</v>
      </c>
    </row>
    <row r="65" spans="1:189" s="28" customFormat="1" ht="31.5" x14ac:dyDescent="0.25">
      <c r="A65" s="26" t="s">
        <v>74</v>
      </c>
      <c r="B65" s="27">
        <f t="shared" si="7"/>
        <v>10650111</v>
      </c>
      <c r="C65" s="27">
        <f t="shared" si="7"/>
        <v>10635828</v>
      </c>
      <c r="D65" s="27">
        <f t="shared" si="7"/>
        <v>-14283</v>
      </c>
      <c r="E65" s="27">
        <f t="shared" ref="E65:AA65" si="42">SUM(E66)</f>
        <v>280755</v>
      </c>
      <c r="F65" s="27">
        <f t="shared" si="42"/>
        <v>266474</v>
      </c>
      <c r="G65" s="27">
        <f t="shared" si="8"/>
        <v>-14281</v>
      </c>
      <c r="H65" s="27">
        <f t="shared" si="42"/>
        <v>246684</v>
      </c>
      <c r="I65" s="27">
        <f t="shared" si="42"/>
        <v>278149</v>
      </c>
      <c r="J65" s="27">
        <f t="shared" si="0"/>
        <v>31465</v>
      </c>
      <c r="K65" s="27">
        <f t="shared" si="42"/>
        <v>910126</v>
      </c>
      <c r="L65" s="27">
        <f t="shared" si="42"/>
        <v>878659</v>
      </c>
      <c r="M65" s="27">
        <f t="shared" si="1"/>
        <v>-31467</v>
      </c>
      <c r="N65" s="27">
        <f t="shared" si="42"/>
        <v>4477843</v>
      </c>
      <c r="O65" s="27">
        <f t="shared" si="42"/>
        <v>4477843</v>
      </c>
      <c r="P65" s="27">
        <f t="shared" si="2"/>
        <v>0</v>
      </c>
      <c r="Q65" s="27">
        <f t="shared" si="42"/>
        <v>0</v>
      </c>
      <c r="R65" s="27">
        <f t="shared" si="42"/>
        <v>0</v>
      </c>
      <c r="S65" s="27">
        <f t="shared" si="3"/>
        <v>0</v>
      </c>
      <c r="T65" s="27">
        <f t="shared" si="42"/>
        <v>4210211</v>
      </c>
      <c r="U65" s="27">
        <f t="shared" si="42"/>
        <v>4210211</v>
      </c>
      <c r="V65" s="27">
        <f t="shared" si="4"/>
        <v>0</v>
      </c>
      <c r="W65" s="27">
        <f t="shared" si="42"/>
        <v>524492</v>
      </c>
      <c r="X65" s="27">
        <f t="shared" si="42"/>
        <v>524492</v>
      </c>
      <c r="Y65" s="27">
        <f t="shared" si="5"/>
        <v>0</v>
      </c>
      <c r="Z65" s="27">
        <f t="shared" si="42"/>
        <v>0</v>
      </c>
      <c r="AA65" s="27">
        <f t="shared" si="42"/>
        <v>0</v>
      </c>
      <c r="AB65" s="27">
        <f t="shared" si="6"/>
        <v>0</v>
      </c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  <c r="EM65" s="25"/>
      <c r="EN65" s="25"/>
      <c r="EO65" s="25"/>
      <c r="EP65" s="25"/>
      <c r="EQ65" s="25"/>
      <c r="ER65" s="25"/>
      <c r="ES65" s="25"/>
      <c r="ET65" s="25"/>
      <c r="EU65" s="25"/>
      <c r="EV65" s="25"/>
      <c r="EW65" s="25"/>
      <c r="EX65" s="25"/>
      <c r="EY65" s="25"/>
      <c r="EZ65" s="25"/>
      <c r="FA65" s="25"/>
      <c r="FB65" s="25"/>
      <c r="FC65" s="25"/>
      <c r="FD65" s="25"/>
      <c r="FE65" s="25"/>
      <c r="FF65" s="25"/>
      <c r="FG65" s="25"/>
      <c r="FH65" s="25"/>
      <c r="FI65" s="25"/>
      <c r="FJ65" s="25"/>
      <c r="FK65" s="25"/>
      <c r="FL65" s="25"/>
      <c r="FM65" s="25"/>
      <c r="FN65" s="25"/>
      <c r="FO65" s="25"/>
      <c r="FP65" s="25"/>
      <c r="FQ65" s="25"/>
      <c r="FR65" s="25"/>
      <c r="FS65" s="25"/>
      <c r="FT65" s="25"/>
      <c r="FU65" s="25"/>
      <c r="FV65" s="25"/>
      <c r="FW65" s="25"/>
      <c r="FX65" s="25"/>
      <c r="FY65" s="25"/>
      <c r="FZ65" s="25"/>
      <c r="GA65" s="25"/>
      <c r="GB65" s="25"/>
      <c r="GC65" s="25"/>
      <c r="GD65" s="25"/>
      <c r="GE65" s="25"/>
      <c r="GF65" s="25"/>
      <c r="GG65" s="25"/>
    </row>
    <row r="66" spans="1:189" s="28" customFormat="1" x14ac:dyDescent="0.25">
      <c r="A66" s="26" t="s">
        <v>24</v>
      </c>
      <c r="B66" s="27">
        <f t="shared" si="7"/>
        <v>10650111</v>
      </c>
      <c r="C66" s="27">
        <f t="shared" si="7"/>
        <v>10635828</v>
      </c>
      <c r="D66" s="27">
        <f t="shared" si="7"/>
        <v>-14283</v>
      </c>
      <c r="E66" s="27">
        <f>SUM(E67:E79,E80,E117,E148)</f>
        <v>280755</v>
      </c>
      <c r="F66" s="27">
        <f>SUM(F67:F79,F80,F117,F148)</f>
        <v>266474</v>
      </c>
      <c r="G66" s="27">
        <f t="shared" si="8"/>
        <v>-14281</v>
      </c>
      <c r="H66" s="27">
        <f t="shared" ref="H66:I66" si="43">SUM(H67:H79,H80,H117,H148)</f>
        <v>246684</v>
      </c>
      <c r="I66" s="27">
        <f t="shared" si="43"/>
        <v>278149</v>
      </c>
      <c r="J66" s="27">
        <f t="shared" si="0"/>
        <v>31465</v>
      </c>
      <c r="K66" s="27">
        <f t="shared" ref="K66:L66" si="44">SUM(K67:K79,K80,K117,K148)</f>
        <v>910126</v>
      </c>
      <c r="L66" s="27">
        <f t="shared" si="44"/>
        <v>878659</v>
      </c>
      <c r="M66" s="27">
        <f t="shared" si="1"/>
        <v>-31467</v>
      </c>
      <c r="N66" s="27">
        <f t="shared" ref="N66:O66" si="45">SUM(N67:N79,N80,N117,N148)</f>
        <v>4477843</v>
      </c>
      <c r="O66" s="27">
        <f t="shared" si="45"/>
        <v>4477843</v>
      </c>
      <c r="P66" s="27">
        <f t="shared" si="2"/>
        <v>0</v>
      </c>
      <c r="Q66" s="27">
        <f t="shared" ref="Q66:R66" si="46">SUM(Q67:Q79,Q80,Q117,Q148)</f>
        <v>0</v>
      </c>
      <c r="R66" s="27">
        <f t="shared" si="46"/>
        <v>0</v>
      </c>
      <c r="S66" s="27">
        <f t="shared" si="3"/>
        <v>0</v>
      </c>
      <c r="T66" s="27">
        <f t="shared" ref="T66:U66" si="47">SUM(T67:T79,T80,T117,T148)</f>
        <v>4210211</v>
      </c>
      <c r="U66" s="27">
        <f t="shared" si="47"/>
        <v>4210211</v>
      </c>
      <c r="V66" s="27">
        <f t="shared" si="4"/>
        <v>0</v>
      </c>
      <c r="W66" s="27">
        <f t="shared" ref="W66:X66" si="48">SUM(W67:W79,W80,W117,W148)</f>
        <v>524492</v>
      </c>
      <c r="X66" s="27">
        <f t="shared" si="48"/>
        <v>524492</v>
      </c>
      <c r="Y66" s="27">
        <f t="shared" si="5"/>
        <v>0</v>
      </c>
      <c r="Z66" s="27">
        <f t="shared" ref="Z66:AA66" si="49">SUM(Z67:Z79,Z80,Z117,Z148)</f>
        <v>0</v>
      </c>
      <c r="AA66" s="27">
        <f t="shared" si="49"/>
        <v>0</v>
      </c>
      <c r="AB66" s="27">
        <f t="shared" si="6"/>
        <v>0</v>
      </c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  <c r="EM66" s="25"/>
      <c r="EN66" s="25"/>
      <c r="EO66" s="25"/>
      <c r="EP66" s="25"/>
      <c r="EQ66" s="25"/>
      <c r="ER66" s="25"/>
      <c r="ES66" s="25"/>
      <c r="ET66" s="25"/>
      <c r="EU66" s="25"/>
      <c r="EV66" s="25"/>
      <c r="EW66" s="25"/>
      <c r="EX66" s="25"/>
      <c r="EY66" s="25"/>
      <c r="EZ66" s="25"/>
      <c r="FA66" s="25"/>
      <c r="FB66" s="25"/>
      <c r="FC66" s="25"/>
      <c r="FD66" s="25"/>
      <c r="FE66" s="25"/>
      <c r="FF66" s="25"/>
      <c r="FG66" s="25"/>
      <c r="FH66" s="25"/>
      <c r="FI66" s="25"/>
      <c r="FJ66" s="25"/>
      <c r="FK66" s="25"/>
      <c r="FL66" s="25"/>
      <c r="FM66" s="25"/>
      <c r="FN66" s="25"/>
      <c r="FO66" s="25"/>
      <c r="FP66" s="25"/>
      <c r="FQ66" s="25"/>
      <c r="FR66" s="25"/>
      <c r="FS66" s="25"/>
      <c r="FT66" s="25"/>
      <c r="FU66" s="25"/>
      <c r="FV66" s="25"/>
      <c r="FW66" s="25"/>
      <c r="FX66" s="25"/>
      <c r="FY66" s="25"/>
      <c r="FZ66" s="25"/>
      <c r="GA66" s="25"/>
      <c r="GB66" s="25"/>
      <c r="GC66" s="25"/>
      <c r="GD66" s="25"/>
      <c r="GE66" s="25"/>
      <c r="GF66" s="25"/>
      <c r="GG66" s="25"/>
    </row>
    <row r="67" spans="1:189" s="28" customFormat="1" ht="31.5" x14ac:dyDescent="0.25">
      <c r="A67" s="38" t="s">
        <v>75</v>
      </c>
      <c r="B67" s="34">
        <f t="shared" si="7"/>
        <v>3183</v>
      </c>
      <c r="C67" s="34">
        <f t="shared" si="7"/>
        <v>3183</v>
      </c>
      <c r="D67" s="34">
        <f t="shared" si="7"/>
        <v>0</v>
      </c>
      <c r="E67" s="34"/>
      <c r="F67" s="34"/>
      <c r="G67" s="34">
        <f t="shared" si="8"/>
        <v>0</v>
      </c>
      <c r="H67" s="34"/>
      <c r="I67" s="34"/>
      <c r="J67" s="34">
        <f t="shared" si="0"/>
        <v>0</v>
      </c>
      <c r="K67" s="34">
        <v>3183</v>
      </c>
      <c r="L67" s="34">
        <v>3183</v>
      </c>
      <c r="M67" s="34">
        <f t="shared" si="1"/>
        <v>0</v>
      </c>
      <c r="N67" s="34"/>
      <c r="O67" s="34"/>
      <c r="P67" s="34">
        <f t="shared" si="2"/>
        <v>0</v>
      </c>
      <c r="Q67" s="34"/>
      <c r="R67" s="34"/>
      <c r="S67" s="34">
        <f t="shared" si="3"/>
        <v>0</v>
      </c>
      <c r="T67" s="34">
        <v>0</v>
      </c>
      <c r="U67" s="34">
        <v>0</v>
      </c>
      <c r="V67" s="34">
        <f t="shared" si="4"/>
        <v>0</v>
      </c>
      <c r="W67" s="34">
        <v>0</v>
      </c>
      <c r="X67" s="34">
        <v>0</v>
      </c>
      <c r="Y67" s="34">
        <f t="shared" si="5"/>
        <v>0</v>
      </c>
      <c r="Z67" s="34"/>
      <c r="AA67" s="34"/>
      <c r="AB67" s="34">
        <f t="shared" si="6"/>
        <v>0</v>
      </c>
    </row>
    <row r="68" spans="1:189" s="28" customFormat="1" ht="31.5" x14ac:dyDescent="0.25">
      <c r="A68" s="38" t="s">
        <v>76</v>
      </c>
      <c r="B68" s="34">
        <f t="shared" si="7"/>
        <v>50400</v>
      </c>
      <c r="C68" s="34">
        <f t="shared" si="7"/>
        <v>50400</v>
      </c>
      <c r="D68" s="34">
        <f t="shared" si="7"/>
        <v>0</v>
      </c>
      <c r="E68" s="34"/>
      <c r="F68" s="34"/>
      <c r="G68" s="34">
        <f t="shared" si="8"/>
        <v>0</v>
      </c>
      <c r="H68" s="34"/>
      <c r="I68" s="34"/>
      <c r="J68" s="34">
        <f t="shared" si="0"/>
        <v>0</v>
      </c>
      <c r="K68" s="34">
        <v>50400</v>
      </c>
      <c r="L68" s="34">
        <v>50400</v>
      </c>
      <c r="M68" s="34">
        <f t="shared" si="1"/>
        <v>0</v>
      </c>
      <c r="N68" s="34"/>
      <c r="O68" s="34"/>
      <c r="P68" s="34">
        <f t="shared" si="2"/>
        <v>0</v>
      </c>
      <c r="Q68" s="34"/>
      <c r="R68" s="34"/>
      <c r="S68" s="34">
        <f t="shared" si="3"/>
        <v>0</v>
      </c>
      <c r="T68" s="34">
        <v>0</v>
      </c>
      <c r="U68" s="34">
        <v>0</v>
      </c>
      <c r="V68" s="34">
        <f t="shared" si="4"/>
        <v>0</v>
      </c>
      <c r="W68" s="34">
        <v>0</v>
      </c>
      <c r="X68" s="34">
        <v>0</v>
      </c>
      <c r="Y68" s="34">
        <f t="shared" si="5"/>
        <v>0</v>
      </c>
      <c r="Z68" s="34"/>
      <c r="AA68" s="34"/>
      <c r="AB68" s="34">
        <f t="shared" si="6"/>
        <v>0</v>
      </c>
    </row>
    <row r="69" spans="1:189" s="28" customFormat="1" x14ac:dyDescent="0.25">
      <c r="A69" s="38" t="s">
        <v>77</v>
      </c>
      <c r="B69" s="34">
        <f t="shared" si="7"/>
        <v>129666</v>
      </c>
      <c r="C69" s="34">
        <f t="shared" si="7"/>
        <v>115385</v>
      </c>
      <c r="D69" s="34">
        <f t="shared" si="7"/>
        <v>-14281</v>
      </c>
      <c r="E69" s="34">
        <v>129666</v>
      </c>
      <c r="F69" s="34">
        <f>129666-14281</f>
        <v>115385</v>
      </c>
      <c r="G69" s="34">
        <f t="shared" si="8"/>
        <v>-14281</v>
      </c>
      <c r="H69" s="34"/>
      <c r="I69" s="34"/>
      <c r="J69" s="34">
        <f t="shared" si="0"/>
        <v>0</v>
      </c>
      <c r="K69" s="34">
        <f>129666-129666</f>
        <v>0</v>
      </c>
      <c r="L69" s="34">
        <f>129666-129666</f>
        <v>0</v>
      </c>
      <c r="M69" s="34">
        <f t="shared" si="1"/>
        <v>0</v>
      </c>
      <c r="N69" s="34"/>
      <c r="O69" s="34"/>
      <c r="P69" s="34">
        <f t="shared" si="2"/>
        <v>0</v>
      </c>
      <c r="Q69" s="34"/>
      <c r="R69" s="34"/>
      <c r="S69" s="34">
        <f t="shared" si="3"/>
        <v>0</v>
      </c>
      <c r="T69" s="34">
        <v>0</v>
      </c>
      <c r="U69" s="34">
        <v>0</v>
      </c>
      <c r="V69" s="34">
        <f t="shared" si="4"/>
        <v>0</v>
      </c>
      <c r="W69" s="34">
        <v>0</v>
      </c>
      <c r="X69" s="34">
        <v>0</v>
      </c>
      <c r="Y69" s="34">
        <f t="shared" si="5"/>
        <v>0</v>
      </c>
      <c r="Z69" s="34"/>
      <c r="AA69" s="34"/>
      <c r="AB69" s="34">
        <f t="shared" si="6"/>
        <v>0</v>
      </c>
    </row>
    <row r="70" spans="1:189" s="28" customFormat="1" x14ac:dyDescent="0.25">
      <c r="A70" s="38" t="s">
        <v>78</v>
      </c>
      <c r="B70" s="34">
        <f t="shared" si="7"/>
        <v>13200</v>
      </c>
      <c r="C70" s="34">
        <f t="shared" si="7"/>
        <v>13200</v>
      </c>
      <c r="D70" s="34">
        <f t="shared" si="7"/>
        <v>0</v>
      </c>
      <c r="E70" s="34"/>
      <c r="F70" s="34"/>
      <c r="G70" s="34">
        <f t="shared" si="8"/>
        <v>0</v>
      </c>
      <c r="H70" s="34"/>
      <c r="I70" s="34"/>
      <c r="J70" s="34">
        <f t="shared" si="0"/>
        <v>0</v>
      </c>
      <c r="K70" s="34">
        <v>13200</v>
      </c>
      <c r="L70" s="34">
        <v>13200</v>
      </c>
      <c r="M70" s="34">
        <f t="shared" si="1"/>
        <v>0</v>
      </c>
      <c r="N70" s="34"/>
      <c r="O70" s="34"/>
      <c r="P70" s="34">
        <f t="shared" si="2"/>
        <v>0</v>
      </c>
      <c r="Q70" s="34"/>
      <c r="R70" s="34"/>
      <c r="S70" s="34">
        <f t="shared" si="3"/>
        <v>0</v>
      </c>
      <c r="T70" s="34">
        <v>0</v>
      </c>
      <c r="U70" s="34">
        <v>0</v>
      </c>
      <c r="V70" s="34">
        <f t="shared" si="4"/>
        <v>0</v>
      </c>
      <c r="W70" s="34">
        <v>0</v>
      </c>
      <c r="X70" s="34">
        <v>0</v>
      </c>
      <c r="Y70" s="34">
        <f t="shared" si="5"/>
        <v>0</v>
      </c>
      <c r="Z70" s="34"/>
      <c r="AA70" s="34"/>
      <c r="AB70" s="34">
        <f t="shared" si="6"/>
        <v>0</v>
      </c>
    </row>
    <row r="71" spans="1:189" s="28" customFormat="1" ht="31.5" x14ac:dyDescent="0.25">
      <c r="A71" s="38" t="s">
        <v>79</v>
      </c>
      <c r="B71" s="34">
        <f t="shared" si="7"/>
        <v>41100</v>
      </c>
      <c r="C71" s="34">
        <f t="shared" si="7"/>
        <v>41100</v>
      </c>
      <c r="D71" s="34">
        <f t="shared" si="7"/>
        <v>0</v>
      </c>
      <c r="E71" s="34"/>
      <c r="F71" s="34"/>
      <c r="G71" s="34">
        <f t="shared" si="8"/>
        <v>0</v>
      </c>
      <c r="H71" s="34"/>
      <c r="I71" s="34"/>
      <c r="J71" s="34">
        <f t="shared" si="0"/>
        <v>0</v>
      </c>
      <c r="K71" s="34">
        <v>41100</v>
      </c>
      <c r="L71" s="34">
        <v>41100</v>
      </c>
      <c r="M71" s="34">
        <f t="shared" si="1"/>
        <v>0</v>
      </c>
      <c r="N71" s="34"/>
      <c r="O71" s="34"/>
      <c r="P71" s="34">
        <f t="shared" si="2"/>
        <v>0</v>
      </c>
      <c r="Q71" s="34"/>
      <c r="R71" s="34"/>
      <c r="S71" s="34">
        <f t="shared" si="3"/>
        <v>0</v>
      </c>
      <c r="T71" s="34">
        <v>0</v>
      </c>
      <c r="U71" s="34">
        <v>0</v>
      </c>
      <c r="V71" s="34">
        <f t="shared" si="4"/>
        <v>0</v>
      </c>
      <c r="W71" s="34">
        <v>0</v>
      </c>
      <c r="X71" s="34">
        <v>0</v>
      </c>
      <c r="Y71" s="34">
        <f t="shared" si="5"/>
        <v>0</v>
      </c>
      <c r="Z71" s="34"/>
      <c r="AA71" s="34"/>
      <c r="AB71" s="34">
        <f t="shared" si="6"/>
        <v>0</v>
      </c>
    </row>
    <row r="72" spans="1:189" s="28" customFormat="1" ht="110.25" x14ac:dyDescent="0.25">
      <c r="A72" s="35" t="s">
        <v>80</v>
      </c>
      <c r="B72" s="34">
        <f t="shared" si="7"/>
        <v>230380</v>
      </c>
      <c r="C72" s="34">
        <f t="shared" si="7"/>
        <v>230380</v>
      </c>
      <c r="D72" s="34">
        <f t="shared" si="7"/>
        <v>0</v>
      </c>
      <c r="E72" s="34"/>
      <c r="F72" s="34"/>
      <c r="G72" s="34">
        <f t="shared" si="8"/>
        <v>0</v>
      </c>
      <c r="H72" s="34"/>
      <c r="I72" s="34"/>
      <c r="J72" s="34">
        <f t="shared" si="0"/>
        <v>0</v>
      </c>
      <c r="K72" s="34"/>
      <c r="L72" s="34"/>
      <c r="M72" s="34">
        <f t="shared" si="1"/>
        <v>0</v>
      </c>
      <c r="N72" s="34">
        <v>230380</v>
      </c>
      <c r="O72" s="34">
        <v>230380</v>
      </c>
      <c r="P72" s="34">
        <f t="shared" si="2"/>
        <v>0</v>
      </c>
      <c r="Q72" s="34"/>
      <c r="R72" s="34"/>
      <c r="S72" s="34">
        <f t="shared" si="3"/>
        <v>0</v>
      </c>
      <c r="T72" s="34"/>
      <c r="U72" s="34"/>
      <c r="V72" s="34">
        <f t="shared" si="4"/>
        <v>0</v>
      </c>
      <c r="W72" s="34"/>
      <c r="X72" s="34"/>
      <c r="Y72" s="34">
        <f t="shared" si="5"/>
        <v>0</v>
      </c>
      <c r="Z72" s="34"/>
      <c r="AA72" s="34"/>
      <c r="AB72" s="34">
        <f t="shared" si="6"/>
        <v>0</v>
      </c>
    </row>
    <row r="73" spans="1:189" s="28" customFormat="1" x14ac:dyDescent="0.25">
      <c r="A73" s="38" t="s">
        <v>81</v>
      </c>
      <c r="B73" s="34">
        <f t="shared" si="7"/>
        <v>132389</v>
      </c>
      <c r="C73" s="34">
        <f t="shared" si="7"/>
        <v>132389</v>
      </c>
      <c r="D73" s="34">
        <f t="shared" si="7"/>
        <v>0</v>
      </c>
      <c r="E73" s="34">
        <f>150000-17611</f>
        <v>132389</v>
      </c>
      <c r="F73" s="34">
        <f>150000-17611</f>
        <v>132389</v>
      </c>
      <c r="G73" s="34">
        <f t="shared" si="8"/>
        <v>0</v>
      </c>
      <c r="H73" s="34"/>
      <c r="I73" s="34"/>
      <c r="J73" s="34">
        <f t="shared" si="0"/>
        <v>0</v>
      </c>
      <c r="K73" s="34"/>
      <c r="L73" s="34"/>
      <c r="M73" s="34">
        <f t="shared" si="1"/>
        <v>0</v>
      </c>
      <c r="N73" s="34"/>
      <c r="O73" s="34"/>
      <c r="P73" s="34">
        <f t="shared" si="2"/>
        <v>0</v>
      </c>
      <c r="Q73" s="34"/>
      <c r="R73" s="34"/>
      <c r="S73" s="34">
        <f t="shared" si="3"/>
        <v>0</v>
      </c>
      <c r="T73" s="34"/>
      <c r="U73" s="34"/>
      <c r="V73" s="34">
        <f t="shared" si="4"/>
        <v>0</v>
      </c>
      <c r="W73" s="34"/>
      <c r="X73" s="34"/>
      <c r="Y73" s="34">
        <f t="shared" si="5"/>
        <v>0</v>
      </c>
      <c r="Z73" s="34"/>
      <c r="AA73" s="34"/>
      <c r="AB73" s="34">
        <f t="shared" si="6"/>
        <v>0</v>
      </c>
    </row>
    <row r="74" spans="1:189" s="28" customFormat="1" ht="47.25" x14ac:dyDescent="0.25">
      <c r="A74" s="33" t="s">
        <v>82</v>
      </c>
      <c r="B74" s="34">
        <f t="shared" si="7"/>
        <v>2534</v>
      </c>
      <c r="C74" s="34">
        <f t="shared" si="7"/>
        <v>2534</v>
      </c>
      <c r="D74" s="34">
        <f t="shared" si="7"/>
        <v>0</v>
      </c>
      <c r="E74" s="34"/>
      <c r="F74" s="34"/>
      <c r="G74" s="34">
        <f t="shared" si="8"/>
        <v>0</v>
      </c>
      <c r="H74" s="34"/>
      <c r="I74" s="34"/>
      <c r="J74" s="34">
        <f t="shared" ref="J74:J157" si="50">I74-H74</f>
        <v>0</v>
      </c>
      <c r="K74" s="34"/>
      <c r="L74" s="34"/>
      <c r="M74" s="34">
        <f t="shared" ref="M74:M157" si="51">L74-K74</f>
        <v>0</v>
      </c>
      <c r="N74" s="34"/>
      <c r="O74" s="34"/>
      <c r="P74" s="34">
        <f t="shared" ref="P74:P157" si="52">O74-N74</f>
        <v>0</v>
      </c>
      <c r="Q74" s="34"/>
      <c r="R74" s="34"/>
      <c r="S74" s="34">
        <f t="shared" ref="S74:S157" si="53">R74-Q74</f>
        <v>0</v>
      </c>
      <c r="T74" s="34">
        <v>2534</v>
      </c>
      <c r="U74" s="34">
        <v>2534</v>
      </c>
      <c r="V74" s="34">
        <f t="shared" ref="V74:V157" si="54">U74-T74</f>
        <v>0</v>
      </c>
      <c r="W74" s="34"/>
      <c r="X74" s="34"/>
      <c r="Y74" s="34">
        <f t="shared" ref="Y74:Y157" si="55">X74-W74</f>
        <v>0</v>
      </c>
      <c r="Z74" s="34"/>
      <c r="AA74" s="34"/>
      <c r="AB74" s="34">
        <f t="shared" ref="AB74:AB157" si="56">AA74-Z74</f>
        <v>0</v>
      </c>
    </row>
    <row r="75" spans="1:189" s="28" customFormat="1" ht="157.5" x14ac:dyDescent="0.25">
      <c r="A75" s="30" t="s">
        <v>83</v>
      </c>
      <c r="B75" s="34">
        <f t="shared" si="7"/>
        <v>4247463</v>
      </c>
      <c r="C75" s="34">
        <f t="shared" si="7"/>
        <v>4247463</v>
      </c>
      <c r="D75" s="34">
        <f t="shared" si="7"/>
        <v>0</v>
      </c>
      <c r="E75" s="34"/>
      <c r="F75" s="34"/>
      <c r="G75" s="34">
        <f t="shared" si="8"/>
        <v>0</v>
      </c>
      <c r="H75" s="34"/>
      <c r="I75" s="34"/>
      <c r="J75" s="34">
        <f t="shared" si="50"/>
        <v>0</v>
      </c>
      <c r="K75" s="34"/>
      <c r="L75" s="34"/>
      <c r="M75" s="34">
        <f t="shared" si="51"/>
        <v>0</v>
      </c>
      <c r="N75" s="34">
        <v>4247463</v>
      </c>
      <c r="O75" s="34">
        <v>4247463</v>
      </c>
      <c r="P75" s="34">
        <f t="shared" si="52"/>
        <v>0</v>
      </c>
      <c r="Q75" s="34"/>
      <c r="R75" s="34"/>
      <c r="S75" s="34">
        <f t="shared" si="53"/>
        <v>0</v>
      </c>
      <c r="T75" s="34"/>
      <c r="U75" s="34"/>
      <c r="V75" s="34">
        <f t="shared" si="54"/>
        <v>0</v>
      </c>
      <c r="W75" s="34"/>
      <c r="X75" s="34"/>
      <c r="Y75" s="34">
        <f t="shared" si="55"/>
        <v>0</v>
      </c>
      <c r="Z75" s="34"/>
      <c r="AA75" s="34"/>
      <c r="AB75" s="34">
        <f t="shared" si="56"/>
        <v>0</v>
      </c>
    </row>
    <row r="76" spans="1:189" s="28" customFormat="1" ht="31.5" x14ac:dyDescent="0.25">
      <c r="A76" s="39" t="s">
        <v>84</v>
      </c>
      <c r="B76" s="34">
        <f t="shared" si="7"/>
        <v>876438</v>
      </c>
      <c r="C76" s="34">
        <f t="shared" si="7"/>
        <v>876438</v>
      </c>
      <c r="D76" s="34">
        <f t="shared" si="7"/>
        <v>0</v>
      </c>
      <c r="E76" s="34"/>
      <c r="F76" s="34"/>
      <c r="G76" s="34">
        <f t="shared" si="8"/>
        <v>0</v>
      </c>
      <c r="H76" s="34"/>
      <c r="I76" s="34"/>
      <c r="J76" s="34">
        <f t="shared" si="50"/>
        <v>0</v>
      </c>
      <c r="K76" s="34">
        <f>553628-485624-63930+21500-5</f>
        <v>25569</v>
      </c>
      <c r="L76" s="34">
        <f>553628-485624-63930+21500-5</f>
        <v>25569</v>
      </c>
      <c r="M76" s="34">
        <f t="shared" si="51"/>
        <v>0</v>
      </c>
      <c r="N76" s="34"/>
      <c r="O76" s="34"/>
      <c r="P76" s="34">
        <f t="shared" si="52"/>
        <v>0</v>
      </c>
      <c r="Q76" s="34"/>
      <c r="R76" s="34"/>
      <c r="S76" s="34">
        <f t="shared" si="53"/>
        <v>0</v>
      </c>
      <c r="T76" s="34">
        <f>326372+5</f>
        <v>326377</v>
      </c>
      <c r="U76" s="34">
        <f>326372+5</f>
        <v>326377</v>
      </c>
      <c r="V76" s="34">
        <f t="shared" si="54"/>
        <v>0</v>
      </c>
      <c r="W76" s="34">
        <f>38868+485624</f>
        <v>524492</v>
      </c>
      <c r="X76" s="34">
        <f>38868+485624</f>
        <v>524492</v>
      </c>
      <c r="Y76" s="34">
        <f t="shared" si="55"/>
        <v>0</v>
      </c>
      <c r="Z76" s="34"/>
      <c r="AA76" s="34"/>
      <c r="AB76" s="34">
        <f t="shared" si="56"/>
        <v>0</v>
      </c>
    </row>
    <row r="77" spans="1:189" s="28" customFormat="1" x14ac:dyDescent="0.25">
      <c r="A77" s="39" t="s">
        <v>85</v>
      </c>
      <c r="B77" s="34">
        <f t="shared" si="7"/>
        <v>3000</v>
      </c>
      <c r="C77" s="34">
        <f t="shared" si="7"/>
        <v>3000</v>
      </c>
      <c r="D77" s="34">
        <f t="shared" si="7"/>
        <v>0</v>
      </c>
      <c r="E77" s="34"/>
      <c r="F77" s="34"/>
      <c r="G77" s="34">
        <f t="shared" si="8"/>
        <v>0</v>
      </c>
      <c r="H77" s="34"/>
      <c r="I77" s="34"/>
      <c r="J77" s="34">
        <f t="shared" si="50"/>
        <v>0</v>
      </c>
      <c r="K77" s="34">
        <v>3000</v>
      </c>
      <c r="L77" s="34">
        <v>3000</v>
      </c>
      <c r="M77" s="34">
        <f t="shared" si="51"/>
        <v>0</v>
      </c>
      <c r="N77" s="34"/>
      <c r="O77" s="34"/>
      <c r="P77" s="34">
        <f t="shared" si="52"/>
        <v>0</v>
      </c>
      <c r="Q77" s="34"/>
      <c r="R77" s="34"/>
      <c r="S77" s="34">
        <f t="shared" si="53"/>
        <v>0</v>
      </c>
      <c r="T77" s="34"/>
      <c r="U77" s="34"/>
      <c r="V77" s="34">
        <f t="shared" si="54"/>
        <v>0</v>
      </c>
      <c r="W77" s="34"/>
      <c r="X77" s="34"/>
      <c r="Y77" s="34">
        <f t="shared" si="55"/>
        <v>0</v>
      </c>
      <c r="Z77" s="34"/>
      <c r="AA77" s="34"/>
      <c r="AB77" s="34">
        <f t="shared" si="56"/>
        <v>0</v>
      </c>
    </row>
    <row r="78" spans="1:189" s="28" customFormat="1" ht="31.5" x14ac:dyDescent="0.25">
      <c r="A78" s="33" t="s">
        <v>86</v>
      </c>
      <c r="B78" s="34">
        <f t="shared" si="7"/>
        <v>50000</v>
      </c>
      <c r="C78" s="34">
        <f t="shared" si="7"/>
        <v>50000</v>
      </c>
      <c r="D78" s="34">
        <f t="shared" si="7"/>
        <v>0</v>
      </c>
      <c r="E78" s="34">
        <v>18700</v>
      </c>
      <c r="F78" s="34">
        <v>18700</v>
      </c>
      <c r="G78" s="34">
        <f t="shared" si="8"/>
        <v>0</v>
      </c>
      <c r="H78" s="34"/>
      <c r="I78" s="34"/>
      <c r="J78" s="34">
        <f t="shared" si="50"/>
        <v>0</v>
      </c>
      <c r="K78" s="34"/>
      <c r="L78" s="34"/>
      <c r="M78" s="34">
        <f t="shared" si="51"/>
        <v>0</v>
      </c>
      <c r="N78" s="34"/>
      <c r="O78" s="34"/>
      <c r="P78" s="34">
        <f t="shared" si="52"/>
        <v>0</v>
      </c>
      <c r="Q78" s="34"/>
      <c r="R78" s="34"/>
      <c r="S78" s="34">
        <f t="shared" si="53"/>
        <v>0</v>
      </c>
      <c r="T78" s="34">
        <f>10904+20396</f>
        <v>31300</v>
      </c>
      <c r="U78" s="34">
        <f>10904+20396</f>
        <v>31300</v>
      </c>
      <c r="V78" s="34">
        <f t="shared" si="54"/>
        <v>0</v>
      </c>
      <c r="W78" s="34"/>
      <c r="X78" s="34"/>
      <c r="Y78" s="34">
        <f t="shared" si="55"/>
        <v>0</v>
      </c>
      <c r="Z78" s="34"/>
      <c r="AA78" s="34"/>
      <c r="AB78" s="34">
        <f t="shared" si="56"/>
        <v>0</v>
      </c>
    </row>
    <row r="79" spans="1:189" s="28" customFormat="1" ht="47.25" x14ac:dyDescent="0.25">
      <c r="A79" s="33" t="s">
        <v>87</v>
      </c>
      <c r="B79" s="34">
        <f t="shared" si="7"/>
        <v>3850000</v>
      </c>
      <c r="C79" s="34">
        <f t="shared" si="7"/>
        <v>3850000</v>
      </c>
      <c r="D79" s="34">
        <f t="shared" si="7"/>
        <v>0</v>
      </c>
      <c r="E79" s="34"/>
      <c r="F79" s="34"/>
      <c r="G79" s="34">
        <f t="shared" si="8"/>
        <v>0</v>
      </c>
      <c r="H79" s="34"/>
      <c r="I79" s="34"/>
      <c r="J79" s="34">
        <f t="shared" si="50"/>
        <v>0</v>
      </c>
      <c r="K79" s="34"/>
      <c r="L79" s="34"/>
      <c r="M79" s="34">
        <f t="shared" si="51"/>
        <v>0</v>
      </c>
      <c r="N79" s="34"/>
      <c r="O79" s="34"/>
      <c r="P79" s="34">
        <f t="shared" si="52"/>
        <v>0</v>
      </c>
      <c r="Q79" s="34"/>
      <c r="R79" s="34"/>
      <c r="S79" s="34">
        <f t="shared" si="53"/>
        <v>0</v>
      </c>
      <c r="T79" s="34">
        <v>3850000</v>
      </c>
      <c r="U79" s="34">
        <v>3850000</v>
      </c>
      <c r="V79" s="34">
        <f t="shared" si="54"/>
        <v>0</v>
      </c>
      <c r="W79" s="34"/>
      <c r="X79" s="34"/>
      <c r="Y79" s="34">
        <f t="shared" si="55"/>
        <v>0</v>
      </c>
      <c r="Z79" s="34"/>
      <c r="AA79" s="34"/>
      <c r="AB79" s="34">
        <f t="shared" si="56"/>
        <v>0</v>
      </c>
    </row>
    <row r="80" spans="1:189" s="25" customFormat="1" ht="47.25" x14ac:dyDescent="0.25">
      <c r="A80" s="40" t="s">
        <v>88</v>
      </c>
      <c r="B80" s="27">
        <f t="shared" si="7"/>
        <v>585135</v>
      </c>
      <c r="C80" s="27">
        <f t="shared" si="7"/>
        <v>585135</v>
      </c>
      <c r="D80" s="27">
        <f t="shared" si="7"/>
        <v>0</v>
      </c>
      <c r="E80" s="27">
        <f t="shared" ref="E80" si="57">SUM(E81:E116)</f>
        <v>0</v>
      </c>
      <c r="F80" s="27">
        <f t="shared" ref="F80:AA80" si="58">SUM(F81:F116)</f>
        <v>0</v>
      </c>
      <c r="G80" s="27">
        <f t="shared" si="8"/>
        <v>0</v>
      </c>
      <c r="H80" s="27">
        <f t="shared" ref="H80" si="59">SUM(H81:H116)</f>
        <v>246684</v>
      </c>
      <c r="I80" s="27">
        <f t="shared" si="58"/>
        <v>246684</v>
      </c>
      <c r="J80" s="27">
        <f t="shared" si="50"/>
        <v>0</v>
      </c>
      <c r="K80" s="27">
        <f t="shared" ref="K80" si="60">SUM(K81:K116)</f>
        <v>338451</v>
      </c>
      <c r="L80" s="27">
        <f t="shared" si="58"/>
        <v>338451</v>
      </c>
      <c r="M80" s="27">
        <f t="shared" si="51"/>
        <v>0</v>
      </c>
      <c r="N80" s="27">
        <f t="shared" ref="N80" si="61">SUM(N81:N116)</f>
        <v>0</v>
      </c>
      <c r="O80" s="27">
        <f t="shared" si="58"/>
        <v>0</v>
      </c>
      <c r="P80" s="27">
        <f t="shared" si="52"/>
        <v>0</v>
      </c>
      <c r="Q80" s="27">
        <f t="shared" ref="Q80" si="62">SUM(Q81:Q116)</f>
        <v>0</v>
      </c>
      <c r="R80" s="27">
        <f t="shared" si="58"/>
        <v>0</v>
      </c>
      <c r="S80" s="27">
        <f t="shared" si="53"/>
        <v>0</v>
      </c>
      <c r="T80" s="27">
        <f t="shared" ref="T80" si="63">SUM(T81:T116)</f>
        <v>0</v>
      </c>
      <c r="U80" s="27">
        <f t="shared" si="58"/>
        <v>0</v>
      </c>
      <c r="V80" s="27">
        <f t="shared" si="54"/>
        <v>0</v>
      </c>
      <c r="W80" s="27">
        <f t="shared" ref="W80" si="64">SUM(W81:W116)</f>
        <v>0</v>
      </c>
      <c r="X80" s="27">
        <f t="shared" si="58"/>
        <v>0</v>
      </c>
      <c r="Y80" s="27">
        <f t="shared" si="55"/>
        <v>0</v>
      </c>
      <c r="Z80" s="27">
        <f t="shared" ref="Z80" si="65">SUM(Z81:Z116)</f>
        <v>0</v>
      </c>
      <c r="AA80" s="27">
        <f t="shared" si="58"/>
        <v>0</v>
      </c>
      <c r="AB80" s="27">
        <f t="shared" si="56"/>
        <v>0</v>
      </c>
    </row>
    <row r="81" spans="1:28" s="28" customFormat="1" ht="31.5" x14ac:dyDescent="0.25">
      <c r="A81" s="41" t="s">
        <v>89</v>
      </c>
      <c r="B81" s="34">
        <f t="shared" si="7"/>
        <v>57171</v>
      </c>
      <c r="C81" s="34">
        <f t="shared" si="7"/>
        <v>57171</v>
      </c>
      <c r="D81" s="34">
        <f t="shared" si="7"/>
        <v>0</v>
      </c>
      <c r="E81" s="34"/>
      <c r="F81" s="34"/>
      <c r="G81" s="34">
        <f t="shared" si="8"/>
        <v>0</v>
      </c>
      <c r="H81" s="34">
        <f>41161</f>
        <v>41161</v>
      </c>
      <c r="I81" s="34">
        <f>41161</f>
        <v>41161</v>
      </c>
      <c r="J81" s="34">
        <f t="shared" si="50"/>
        <v>0</v>
      </c>
      <c r="K81" s="34">
        <f>5010+11000</f>
        <v>16010</v>
      </c>
      <c r="L81" s="34">
        <f>5010+11000</f>
        <v>16010</v>
      </c>
      <c r="M81" s="34">
        <f t="shared" si="51"/>
        <v>0</v>
      </c>
      <c r="N81" s="34"/>
      <c r="O81" s="34"/>
      <c r="P81" s="34">
        <f t="shared" si="52"/>
        <v>0</v>
      </c>
      <c r="Q81" s="34"/>
      <c r="R81" s="34"/>
      <c r="S81" s="34">
        <f t="shared" si="53"/>
        <v>0</v>
      </c>
      <c r="T81" s="34"/>
      <c r="U81" s="34"/>
      <c r="V81" s="34">
        <f t="shared" si="54"/>
        <v>0</v>
      </c>
      <c r="W81" s="34"/>
      <c r="X81" s="34"/>
      <c r="Y81" s="34">
        <f t="shared" si="55"/>
        <v>0</v>
      </c>
      <c r="Z81" s="34"/>
      <c r="AA81" s="34"/>
      <c r="AB81" s="34">
        <f t="shared" si="56"/>
        <v>0</v>
      </c>
    </row>
    <row r="82" spans="1:28" s="28" customFormat="1" x14ac:dyDescent="0.25">
      <c r="A82" s="41" t="s">
        <v>90</v>
      </c>
      <c r="B82" s="34">
        <f t="shared" si="7"/>
        <v>11000</v>
      </c>
      <c r="C82" s="34">
        <f t="shared" si="7"/>
        <v>11000</v>
      </c>
      <c r="D82" s="34">
        <f t="shared" si="7"/>
        <v>0</v>
      </c>
      <c r="E82" s="34"/>
      <c r="F82" s="34"/>
      <c r="G82" s="34">
        <f t="shared" si="8"/>
        <v>0</v>
      </c>
      <c r="H82" s="34"/>
      <c r="I82" s="34"/>
      <c r="J82" s="34">
        <f t="shared" si="50"/>
        <v>0</v>
      </c>
      <c r="K82" s="34">
        <v>11000</v>
      </c>
      <c r="L82" s="34">
        <v>11000</v>
      </c>
      <c r="M82" s="34">
        <f t="shared" si="51"/>
        <v>0</v>
      </c>
      <c r="N82" s="34"/>
      <c r="O82" s="34"/>
      <c r="P82" s="34">
        <f t="shared" si="52"/>
        <v>0</v>
      </c>
      <c r="Q82" s="34"/>
      <c r="R82" s="34"/>
      <c r="S82" s="34">
        <f t="shared" si="53"/>
        <v>0</v>
      </c>
      <c r="T82" s="34"/>
      <c r="U82" s="34"/>
      <c r="V82" s="34">
        <f t="shared" si="54"/>
        <v>0</v>
      </c>
      <c r="W82" s="34"/>
      <c r="X82" s="34"/>
      <c r="Y82" s="34">
        <f t="shared" si="55"/>
        <v>0</v>
      </c>
      <c r="Z82" s="34"/>
      <c r="AA82" s="34"/>
      <c r="AB82" s="34">
        <f t="shared" si="56"/>
        <v>0</v>
      </c>
    </row>
    <row r="83" spans="1:28" s="28" customFormat="1" ht="31.5" x14ac:dyDescent="0.25">
      <c r="A83" s="41" t="s">
        <v>91</v>
      </c>
      <c r="B83" s="34">
        <f t="shared" si="7"/>
        <v>35001</v>
      </c>
      <c r="C83" s="34">
        <f t="shared" si="7"/>
        <v>35001</v>
      </c>
      <c r="D83" s="34">
        <f t="shared" si="7"/>
        <v>0</v>
      </c>
      <c r="E83" s="34"/>
      <c r="F83" s="34"/>
      <c r="G83" s="34">
        <f t="shared" si="8"/>
        <v>0</v>
      </c>
      <c r="H83" s="34">
        <f>4780+25712</f>
        <v>30492</v>
      </c>
      <c r="I83" s="34">
        <f>4780+25712</f>
        <v>30492</v>
      </c>
      <c r="J83" s="34">
        <f t="shared" si="50"/>
        <v>0</v>
      </c>
      <c r="K83" s="34">
        <f>4773+11000-13264+2000</f>
        <v>4509</v>
      </c>
      <c r="L83" s="34">
        <f>4773+11000-13264+2000</f>
        <v>4509</v>
      </c>
      <c r="M83" s="34">
        <f t="shared" si="51"/>
        <v>0</v>
      </c>
      <c r="N83" s="34"/>
      <c r="O83" s="34"/>
      <c r="P83" s="34">
        <f t="shared" si="52"/>
        <v>0</v>
      </c>
      <c r="Q83" s="34"/>
      <c r="R83" s="34"/>
      <c r="S83" s="34">
        <f t="shared" si="53"/>
        <v>0</v>
      </c>
      <c r="T83" s="34"/>
      <c r="U83" s="34"/>
      <c r="V83" s="34">
        <f t="shared" si="54"/>
        <v>0</v>
      </c>
      <c r="W83" s="34"/>
      <c r="X83" s="34"/>
      <c r="Y83" s="34">
        <f t="shared" si="55"/>
        <v>0</v>
      </c>
      <c r="Z83" s="34"/>
      <c r="AA83" s="34"/>
      <c r="AB83" s="34">
        <f t="shared" si="56"/>
        <v>0</v>
      </c>
    </row>
    <row r="84" spans="1:28" s="28" customFormat="1" x14ac:dyDescent="0.25">
      <c r="A84" s="41" t="s">
        <v>92</v>
      </c>
      <c r="B84" s="34">
        <f t="shared" si="7"/>
        <v>4000</v>
      </c>
      <c r="C84" s="34">
        <f t="shared" si="7"/>
        <v>4000</v>
      </c>
      <c r="D84" s="34">
        <f t="shared" si="7"/>
        <v>0</v>
      </c>
      <c r="E84" s="34"/>
      <c r="F84" s="34"/>
      <c r="G84" s="34">
        <f t="shared" si="8"/>
        <v>0</v>
      </c>
      <c r="H84" s="34"/>
      <c r="I84" s="34"/>
      <c r="J84" s="34">
        <f t="shared" si="50"/>
        <v>0</v>
      </c>
      <c r="K84" s="34">
        <v>4000</v>
      </c>
      <c r="L84" s="34">
        <v>4000</v>
      </c>
      <c r="M84" s="34">
        <f t="shared" si="51"/>
        <v>0</v>
      </c>
      <c r="N84" s="34"/>
      <c r="O84" s="34"/>
      <c r="P84" s="34">
        <f t="shared" si="52"/>
        <v>0</v>
      </c>
      <c r="Q84" s="34"/>
      <c r="R84" s="34"/>
      <c r="S84" s="34">
        <f t="shared" si="53"/>
        <v>0</v>
      </c>
      <c r="T84" s="34"/>
      <c r="U84" s="34"/>
      <c r="V84" s="34">
        <f t="shared" si="54"/>
        <v>0</v>
      </c>
      <c r="W84" s="34"/>
      <c r="X84" s="34"/>
      <c r="Y84" s="34">
        <f t="shared" si="55"/>
        <v>0</v>
      </c>
      <c r="Z84" s="34"/>
      <c r="AA84" s="34"/>
      <c r="AB84" s="34">
        <f t="shared" si="56"/>
        <v>0</v>
      </c>
    </row>
    <row r="85" spans="1:28" s="28" customFormat="1" x14ac:dyDescent="0.25">
      <c r="A85" s="41" t="s">
        <v>93</v>
      </c>
      <c r="B85" s="34">
        <f t="shared" si="7"/>
        <v>5000</v>
      </c>
      <c r="C85" s="34">
        <f t="shared" si="7"/>
        <v>5000</v>
      </c>
      <c r="D85" s="34">
        <f t="shared" si="7"/>
        <v>0</v>
      </c>
      <c r="E85" s="34"/>
      <c r="F85" s="34"/>
      <c r="G85" s="34">
        <f t="shared" si="8"/>
        <v>0</v>
      </c>
      <c r="H85" s="34"/>
      <c r="I85" s="34"/>
      <c r="J85" s="34">
        <f t="shared" si="50"/>
        <v>0</v>
      </c>
      <c r="K85" s="34">
        <v>5000</v>
      </c>
      <c r="L85" s="34">
        <v>5000</v>
      </c>
      <c r="M85" s="34">
        <f t="shared" si="51"/>
        <v>0</v>
      </c>
      <c r="N85" s="34"/>
      <c r="O85" s="34"/>
      <c r="P85" s="34">
        <f t="shared" si="52"/>
        <v>0</v>
      </c>
      <c r="Q85" s="34"/>
      <c r="R85" s="34"/>
      <c r="S85" s="34">
        <f t="shared" si="53"/>
        <v>0</v>
      </c>
      <c r="T85" s="34"/>
      <c r="U85" s="34"/>
      <c r="V85" s="34">
        <f t="shared" si="54"/>
        <v>0</v>
      </c>
      <c r="W85" s="34"/>
      <c r="X85" s="34"/>
      <c r="Y85" s="34">
        <f t="shared" si="55"/>
        <v>0</v>
      </c>
      <c r="Z85" s="34"/>
      <c r="AA85" s="34"/>
      <c r="AB85" s="34">
        <f t="shared" si="56"/>
        <v>0</v>
      </c>
    </row>
    <row r="86" spans="1:28" s="28" customFormat="1" x14ac:dyDescent="0.25">
      <c r="A86" s="41" t="s">
        <v>94</v>
      </c>
      <c r="B86" s="34">
        <f t="shared" ref="B86:D144" si="66">E86+H86+K86+N86+Q86+T86+Z86+W86</f>
        <v>4000</v>
      </c>
      <c r="C86" s="34">
        <f t="shared" si="66"/>
        <v>4000</v>
      </c>
      <c r="D86" s="34">
        <f t="shared" si="66"/>
        <v>0</v>
      </c>
      <c r="E86" s="34"/>
      <c r="F86" s="34"/>
      <c r="G86" s="34">
        <f t="shared" si="8"/>
        <v>0</v>
      </c>
      <c r="H86" s="34"/>
      <c r="I86" s="34"/>
      <c r="J86" s="34">
        <f t="shared" si="50"/>
        <v>0</v>
      </c>
      <c r="K86" s="34">
        <v>4000</v>
      </c>
      <c r="L86" s="34">
        <v>4000</v>
      </c>
      <c r="M86" s="34">
        <f t="shared" si="51"/>
        <v>0</v>
      </c>
      <c r="N86" s="34"/>
      <c r="O86" s="34"/>
      <c r="P86" s="34">
        <f t="shared" si="52"/>
        <v>0</v>
      </c>
      <c r="Q86" s="34"/>
      <c r="R86" s="34"/>
      <c r="S86" s="34">
        <f t="shared" si="53"/>
        <v>0</v>
      </c>
      <c r="T86" s="34"/>
      <c r="U86" s="34"/>
      <c r="V86" s="34">
        <f t="shared" si="54"/>
        <v>0</v>
      </c>
      <c r="W86" s="34"/>
      <c r="X86" s="34"/>
      <c r="Y86" s="34">
        <f t="shared" si="55"/>
        <v>0</v>
      </c>
      <c r="Z86" s="34"/>
      <c r="AA86" s="34"/>
      <c r="AB86" s="34">
        <f t="shared" si="56"/>
        <v>0</v>
      </c>
    </row>
    <row r="87" spans="1:28" s="28" customFormat="1" x14ac:dyDescent="0.25">
      <c r="A87" s="41" t="s">
        <v>95</v>
      </c>
      <c r="B87" s="34">
        <f t="shared" si="66"/>
        <v>7000</v>
      </c>
      <c r="C87" s="34">
        <f t="shared" si="66"/>
        <v>7000</v>
      </c>
      <c r="D87" s="34">
        <f t="shared" si="66"/>
        <v>0</v>
      </c>
      <c r="E87" s="34"/>
      <c r="F87" s="34"/>
      <c r="G87" s="34">
        <f t="shared" si="8"/>
        <v>0</v>
      </c>
      <c r="H87" s="34"/>
      <c r="I87" s="34"/>
      <c r="J87" s="34">
        <f t="shared" si="50"/>
        <v>0</v>
      </c>
      <c r="K87" s="34">
        <v>7000</v>
      </c>
      <c r="L87" s="34">
        <v>7000</v>
      </c>
      <c r="M87" s="34">
        <f t="shared" si="51"/>
        <v>0</v>
      </c>
      <c r="N87" s="34"/>
      <c r="O87" s="34"/>
      <c r="P87" s="34">
        <f t="shared" si="52"/>
        <v>0</v>
      </c>
      <c r="Q87" s="34"/>
      <c r="R87" s="34"/>
      <c r="S87" s="34">
        <f t="shared" si="53"/>
        <v>0</v>
      </c>
      <c r="T87" s="34"/>
      <c r="U87" s="34"/>
      <c r="V87" s="34">
        <f t="shared" si="54"/>
        <v>0</v>
      </c>
      <c r="W87" s="34"/>
      <c r="X87" s="34"/>
      <c r="Y87" s="34">
        <f t="shared" si="55"/>
        <v>0</v>
      </c>
      <c r="Z87" s="34"/>
      <c r="AA87" s="34"/>
      <c r="AB87" s="34">
        <f t="shared" si="56"/>
        <v>0</v>
      </c>
    </row>
    <row r="88" spans="1:28" s="28" customFormat="1" ht="31.5" x14ac:dyDescent="0.25">
      <c r="A88" s="41" t="s">
        <v>96</v>
      </c>
      <c r="B88" s="34">
        <f t="shared" si="66"/>
        <v>16398</v>
      </c>
      <c r="C88" s="34">
        <f t="shared" si="66"/>
        <v>16398</v>
      </c>
      <c r="D88" s="34">
        <f t="shared" si="66"/>
        <v>0</v>
      </c>
      <c r="E88" s="34"/>
      <c r="F88" s="34"/>
      <c r="G88" s="34">
        <f t="shared" si="8"/>
        <v>0</v>
      </c>
      <c r="H88" s="34">
        <v>8898</v>
      </c>
      <c r="I88" s="34">
        <v>8898</v>
      </c>
      <c r="J88" s="34">
        <f t="shared" si="50"/>
        <v>0</v>
      </c>
      <c r="K88" s="34">
        <v>7500</v>
      </c>
      <c r="L88" s="34">
        <v>7500</v>
      </c>
      <c r="M88" s="34">
        <f t="shared" si="51"/>
        <v>0</v>
      </c>
      <c r="N88" s="34"/>
      <c r="O88" s="34"/>
      <c r="P88" s="34">
        <f t="shared" si="52"/>
        <v>0</v>
      </c>
      <c r="Q88" s="34"/>
      <c r="R88" s="34"/>
      <c r="S88" s="34">
        <f t="shared" si="53"/>
        <v>0</v>
      </c>
      <c r="T88" s="34"/>
      <c r="U88" s="34"/>
      <c r="V88" s="34">
        <f t="shared" si="54"/>
        <v>0</v>
      </c>
      <c r="W88" s="34"/>
      <c r="X88" s="34"/>
      <c r="Y88" s="34">
        <f t="shared" si="55"/>
        <v>0</v>
      </c>
      <c r="Z88" s="34"/>
      <c r="AA88" s="34"/>
      <c r="AB88" s="34">
        <f t="shared" si="56"/>
        <v>0</v>
      </c>
    </row>
    <row r="89" spans="1:28" s="28" customFormat="1" x14ac:dyDescent="0.25">
      <c r="A89" s="41" t="s">
        <v>97</v>
      </c>
      <c r="B89" s="34">
        <f t="shared" si="66"/>
        <v>4000</v>
      </c>
      <c r="C89" s="34">
        <f t="shared" si="66"/>
        <v>4000</v>
      </c>
      <c r="D89" s="34">
        <f t="shared" si="66"/>
        <v>0</v>
      </c>
      <c r="E89" s="34"/>
      <c r="F89" s="34"/>
      <c r="G89" s="34">
        <f t="shared" si="8"/>
        <v>0</v>
      </c>
      <c r="H89" s="34"/>
      <c r="I89" s="34"/>
      <c r="J89" s="34">
        <f t="shared" si="50"/>
        <v>0</v>
      </c>
      <c r="K89" s="34">
        <v>4000</v>
      </c>
      <c r="L89" s="34">
        <v>4000</v>
      </c>
      <c r="M89" s="34">
        <f t="shared" si="51"/>
        <v>0</v>
      </c>
      <c r="N89" s="34"/>
      <c r="O89" s="34"/>
      <c r="P89" s="34">
        <f t="shared" si="52"/>
        <v>0</v>
      </c>
      <c r="Q89" s="34"/>
      <c r="R89" s="34"/>
      <c r="S89" s="34">
        <f t="shared" si="53"/>
        <v>0</v>
      </c>
      <c r="T89" s="34"/>
      <c r="U89" s="34"/>
      <c r="V89" s="34">
        <f t="shared" si="54"/>
        <v>0</v>
      </c>
      <c r="W89" s="34"/>
      <c r="X89" s="34"/>
      <c r="Y89" s="34">
        <f t="shared" si="55"/>
        <v>0</v>
      </c>
      <c r="Z89" s="34"/>
      <c r="AA89" s="34"/>
      <c r="AB89" s="34">
        <f t="shared" si="56"/>
        <v>0</v>
      </c>
    </row>
    <row r="90" spans="1:28" s="28" customFormat="1" ht="31.5" x14ac:dyDescent="0.25">
      <c r="A90" s="41" t="s">
        <v>98</v>
      </c>
      <c r="B90" s="34">
        <f t="shared" si="66"/>
        <v>23702</v>
      </c>
      <c r="C90" s="34">
        <f t="shared" si="66"/>
        <v>23702</v>
      </c>
      <c r="D90" s="34">
        <f t="shared" si="66"/>
        <v>0</v>
      </c>
      <c r="E90" s="34"/>
      <c r="F90" s="34"/>
      <c r="G90" s="34">
        <f t="shared" si="8"/>
        <v>0</v>
      </c>
      <c r="H90" s="34">
        <f>15702</f>
        <v>15702</v>
      </c>
      <c r="I90" s="34">
        <f>15702</f>
        <v>15702</v>
      </c>
      <c r="J90" s="34">
        <f t="shared" si="50"/>
        <v>0</v>
      </c>
      <c r="K90" s="34">
        <v>8000</v>
      </c>
      <c r="L90" s="34">
        <v>8000</v>
      </c>
      <c r="M90" s="34">
        <f t="shared" si="51"/>
        <v>0</v>
      </c>
      <c r="N90" s="34"/>
      <c r="O90" s="34"/>
      <c r="P90" s="34">
        <f t="shared" si="52"/>
        <v>0</v>
      </c>
      <c r="Q90" s="34"/>
      <c r="R90" s="34"/>
      <c r="S90" s="34">
        <f t="shared" si="53"/>
        <v>0</v>
      </c>
      <c r="T90" s="34"/>
      <c r="U90" s="34"/>
      <c r="V90" s="34">
        <f t="shared" si="54"/>
        <v>0</v>
      </c>
      <c r="W90" s="34"/>
      <c r="X90" s="34"/>
      <c r="Y90" s="34">
        <f t="shared" si="55"/>
        <v>0</v>
      </c>
      <c r="Z90" s="34"/>
      <c r="AA90" s="34"/>
      <c r="AB90" s="34">
        <f t="shared" si="56"/>
        <v>0</v>
      </c>
    </row>
    <row r="91" spans="1:28" s="28" customFormat="1" x14ac:dyDescent="0.25">
      <c r="A91" s="41" t="s">
        <v>99</v>
      </c>
      <c r="B91" s="34">
        <f t="shared" si="66"/>
        <v>11000</v>
      </c>
      <c r="C91" s="34">
        <f t="shared" si="66"/>
        <v>11000</v>
      </c>
      <c r="D91" s="34">
        <f t="shared" si="66"/>
        <v>0</v>
      </c>
      <c r="E91" s="34"/>
      <c r="F91" s="34"/>
      <c r="G91" s="34">
        <f t="shared" si="8"/>
        <v>0</v>
      </c>
      <c r="H91" s="34"/>
      <c r="I91" s="34"/>
      <c r="J91" s="34">
        <f t="shared" si="50"/>
        <v>0</v>
      </c>
      <c r="K91" s="34">
        <v>11000</v>
      </c>
      <c r="L91" s="34">
        <v>11000</v>
      </c>
      <c r="M91" s="34">
        <f t="shared" si="51"/>
        <v>0</v>
      </c>
      <c r="N91" s="34"/>
      <c r="O91" s="34"/>
      <c r="P91" s="34">
        <f t="shared" si="52"/>
        <v>0</v>
      </c>
      <c r="Q91" s="34"/>
      <c r="R91" s="34"/>
      <c r="S91" s="34">
        <f t="shared" si="53"/>
        <v>0</v>
      </c>
      <c r="T91" s="34"/>
      <c r="U91" s="34"/>
      <c r="V91" s="34">
        <f t="shared" si="54"/>
        <v>0</v>
      </c>
      <c r="W91" s="34"/>
      <c r="X91" s="34"/>
      <c r="Y91" s="34">
        <f t="shared" si="55"/>
        <v>0</v>
      </c>
      <c r="Z91" s="34"/>
      <c r="AA91" s="34"/>
      <c r="AB91" s="34">
        <f t="shared" si="56"/>
        <v>0</v>
      </c>
    </row>
    <row r="92" spans="1:28" s="28" customFormat="1" ht="31.5" x14ac:dyDescent="0.25">
      <c r="A92" s="41" t="s">
        <v>100</v>
      </c>
      <c r="B92" s="34">
        <f t="shared" si="66"/>
        <v>8697</v>
      </c>
      <c r="C92" s="34">
        <f t="shared" si="66"/>
        <v>8697</v>
      </c>
      <c r="D92" s="34">
        <f t="shared" si="66"/>
        <v>0</v>
      </c>
      <c r="E92" s="34"/>
      <c r="F92" s="34"/>
      <c r="G92" s="34">
        <f t="shared" si="8"/>
        <v>0</v>
      </c>
      <c r="H92" s="34"/>
      <c r="I92" s="34"/>
      <c r="J92" s="34">
        <f t="shared" si="50"/>
        <v>0</v>
      </c>
      <c r="K92" s="34">
        <f>197+8500</f>
        <v>8697</v>
      </c>
      <c r="L92" s="34">
        <f>197+8500</f>
        <v>8697</v>
      </c>
      <c r="M92" s="34">
        <f t="shared" si="51"/>
        <v>0</v>
      </c>
      <c r="N92" s="34"/>
      <c r="O92" s="34"/>
      <c r="P92" s="34">
        <f t="shared" si="52"/>
        <v>0</v>
      </c>
      <c r="Q92" s="34"/>
      <c r="R92" s="34"/>
      <c r="S92" s="34">
        <f t="shared" si="53"/>
        <v>0</v>
      </c>
      <c r="T92" s="34"/>
      <c r="U92" s="34"/>
      <c r="V92" s="34">
        <f t="shared" si="54"/>
        <v>0</v>
      </c>
      <c r="W92" s="34"/>
      <c r="X92" s="34"/>
      <c r="Y92" s="34">
        <f t="shared" si="55"/>
        <v>0</v>
      </c>
      <c r="Z92" s="34"/>
      <c r="AA92" s="34"/>
      <c r="AB92" s="34">
        <f t="shared" si="56"/>
        <v>0</v>
      </c>
    </row>
    <row r="93" spans="1:28" s="28" customFormat="1" x14ac:dyDescent="0.25">
      <c r="A93" s="41" t="s">
        <v>101</v>
      </c>
      <c r="B93" s="34">
        <f t="shared" si="66"/>
        <v>17000</v>
      </c>
      <c r="C93" s="34">
        <f t="shared" si="66"/>
        <v>17000</v>
      </c>
      <c r="D93" s="34">
        <f t="shared" si="66"/>
        <v>0</v>
      </c>
      <c r="E93" s="34"/>
      <c r="F93" s="34"/>
      <c r="G93" s="34">
        <f t="shared" si="8"/>
        <v>0</v>
      </c>
      <c r="H93" s="34">
        <v>8500</v>
      </c>
      <c r="I93" s="34">
        <v>8500</v>
      </c>
      <c r="J93" s="34">
        <f t="shared" si="50"/>
        <v>0</v>
      </c>
      <c r="K93" s="34">
        <v>8500</v>
      </c>
      <c r="L93" s="34">
        <v>8500</v>
      </c>
      <c r="M93" s="34">
        <f t="shared" si="51"/>
        <v>0</v>
      </c>
      <c r="N93" s="34"/>
      <c r="O93" s="34"/>
      <c r="P93" s="34">
        <f t="shared" si="52"/>
        <v>0</v>
      </c>
      <c r="Q93" s="34"/>
      <c r="R93" s="34"/>
      <c r="S93" s="34">
        <f t="shared" si="53"/>
        <v>0</v>
      </c>
      <c r="T93" s="34"/>
      <c r="U93" s="34"/>
      <c r="V93" s="34">
        <f t="shared" si="54"/>
        <v>0</v>
      </c>
      <c r="W93" s="34"/>
      <c r="X93" s="34"/>
      <c r="Y93" s="34">
        <f t="shared" si="55"/>
        <v>0</v>
      </c>
      <c r="Z93" s="34"/>
      <c r="AA93" s="34"/>
      <c r="AB93" s="34">
        <f t="shared" si="56"/>
        <v>0</v>
      </c>
    </row>
    <row r="94" spans="1:28" s="28" customFormat="1" x14ac:dyDescent="0.25">
      <c r="A94" s="41" t="s">
        <v>102</v>
      </c>
      <c r="B94" s="34">
        <f t="shared" si="66"/>
        <v>5500</v>
      </c>
      <c r="C94" s="34">
        <f t="shared" si="66"/>
        <v>5500</v>
      </c>
      <c r="D94" s="34">
        <f t="shared" si="66"/>
        <v>0</v>
      </c>
      <c r="E94" s="34"/>
      <c r="F94" s="34"/>
      <c r="G94" s="34">
        <f t="shared" si="8"/>
        <v>0</v>
      </c>
      <c r="H94" s="34"/>
      <c r="I94" s="34"/>
      <c r="J94" s="34">
        <f t="shared" si="50"/>
        <v>0</v>
      </c>
      <c r="K94" s="34">
        <v>5500</v>
      </c>
      <c r="L94" s="34">
        <v>5500</v>
      </c>
      <c r="M94" s="34">
        <f t="shared" si="51"/>
        <v>0</v>
      </c>
      <c r="N94" s="34"/>
      <c r="O94" s="34"/>
      <c r="P94" s="34">
        <f t="shared" si="52"/>
        <v>0</v>
      </c>
      <c r="Q94" s="34"/>
      <c r="R94" s="34"/>
      <c r="S94" s="34">
        <f t="shared" si="53"/>
        <v>0</v>
      </c>
      <c r="T94" s="34"/>
      <c r="U94" s="34"/>
      <c r="V94" s="34">
        <f t="shared" si="54"/>
        <v>0</v>
      </c>
      <c r="W94" s="34"/>
      <c r="X94" s="34"/>
      <c r="Y94" s="34">
        <f t="shared" si="55"/>
        <v>0</v>
      </c>
      <c r="Z94" s="34"/>
      <c r="AA94" s="34"/>
      <c r="AB94" s="34">
        <f t="shared" si="56"/>
        <v>0</v>
      </c>
    </row>
    <row r="95" spans="1:28" s="28" customFormat="1" x14ac:dyDescent="0.25">
      <c r="A95" s="41" t="s">
        <v>103</v>
      </c>
      <c r="B95" s="34">
        <f t="shared" si="66"/>
        <v>9000</v>
      </c>
      <c r="C95" s="34">
        <f t="shared" si="66"/>
        <v>9000</v>
      </c>
      <c r="D95" s="34">
        <f t="shared" si="66"/>
        <v>0</v>
      </c>
      <c r="E95" s="34"/>
      <c r="F95" s="34"/>
      <c r="G95" s="34">
        <f t="shared" si="8"/>
        <v>0</v>
      </c>
      <c r="H95" s="34"/>
      <c r="I95" s="34"/>
      <c r="J95" s="34">
        <f t="shared" si="50"/>
        <v>0</v>
      </c>
      <c r="K95" s="34">
        <v>9000</v>
      </c>
      <c r="L95" s="34">
        <v>9000</v>
      </c>
      <c r="M95" s="34">
        <f t="shared" si="51"/>
        <v>0</v>
      </c>
      <c r="N95" s="34"/>
      <c r="O95" s="34"/>
      <c r="P95" s="34">
        <f t="shared" si="52"/>
        <v>0</v>
      </c>
      <c r="Q95" s="34"/>
      <c r="R95" s="34"/>
      <c r="S95" s="34">
        <f t="shared" si="53"/>
        <v>0</v>
      </c>
      <c r="T95" s="34"/>
      <c r="U95" s="34"/>
      <c r="V95" s="34">
        <f t="shared" si="54"/>
        <v>0</v>
      </c>
      <c r="W95" s="34"/>
      <c r="X95" s="34"/>
      <c r="Y95" s="34">
        <f t="shared" si="55"/>
        <v>0</v>
      </c>
      <c r="Z95" s="34"/>
      <c r="AA95" s="34"/>
      <c r="AB95" s="34">
        <f t="shared" si="56"/>
        <v>0</v>
      </c>
    </row>
    <row r="96" spans="1:28" s="28" customFormat="1" ht="47.25" x14ac:dyDescent="0.25">
      <c r="A96" s="41" t="s">
        <v>104</v>
      </c>
      <c r="B96" s="34">
        <f t="shared" si="66"/>
        <v>41364</v>
      </c>
      <c r="C96" s="34">
        <f t="shared" si="66"/>
        <v>41364</v>
      </c>
      <c r="D96" s="34">
        <f t="shared" si="66"/>
        <v>0</v>
      </c>
      <c r="E96" s="34"/>
      <c r="F96" s="34"/>
      <c r="G96" s="34">
        <f t="shared" si="8"/>
        <v>0</v>
      </c>
      <c r="H96" s="34">
        <f>11000+19364</f>
        <v>30364</v>
      </c>
      <c r="I96" s="34">
        <f>11000+19364</f>
        <v>30364</v>
      </c>
      <c r="J96" s="34">
        <f t="shared" si="50"/>
        <v>0</v>
      </c>
      <c r="K96" s="34">
        <v>11000</v>
      </c>
      <c r="L96" s="34">
        <v>11000</v>
      </c>
      <c r="M96" s="34">
        <f t="shared" si="51"/>
        <v>0</v>
      </c>
      <c r="N96" s="34"/>
      <c r="O96" s="34"/>
      <c r="P96" s="34">
        <f t="shared" si="52"/>
        <v>0</v>
      </c>
      <c r="Q96" s="34"/>
      <c r="R96" s="34"/>
      <c r="S96" s="34">
        <f t="shared" si="53"/>
        <v>0</v>
      </c>
      <c r="T96" s="34"/>
      <c r="U96" s="34"/>
      <c r="V96" s="34">
        <f t="shared" si="54"/>
        <v>0</v>
      </c>
      <c r="W96" s="34"/>
      <c r="X96" s="34"/>
      <c r="Y96" s="34">
        <f t="shared" si="55"/>
        <v>0</v>
      </c>
      <c r="Z96" s="34"/>
      <c r="AA96" s="34"/>
      <c r="AB96" s="34">
        <f t="shared" si="56"/>
        <v>0</v>
      </c>
    </row>
    <row r="97" spans="1:28" s="28" customFormat="1" x14ac:dyDescent="0.25">
      <c r="A97" s="41" t="s">
        <v>105</v>
      </c>
      <c r="B97" s="34">
        <f t="shared" si="66"/>
        <v>8000</v>
      </c>
      <c r="C97" s="34">
        <f t="shared" si="66"/>
        <v>8000</v>
      </c>
      <c r="D97" s="34">
        <f t="shared" si="66"/>
        <v>0</v>
      </c>
      <c r="E97" s="34"/>
      <c r="F97" s="34"/>
      <c r="G97" s="34">
        <f t="shared" ref="G97:G232" si="67">F97-E97</f>
        <v>0</v>
      </c>
      <c r="H97" s="34"/>
      <c r="I97" s="34"/>
      <c r="J97" s="34">
        <f t="shared" si="50"/>
        <v>0</v>
      </c>
      <c r="K97" s="34">
        <v>8000</v>
      </c>
      <c r="L97" s="34">
        <v>8000</v>
      </c>
      <c r="M97" s="34">
        <f t="shared" si="51"/>
        <v>0</v>
      </c>
      <c r="N97" s="34"/>
      <c r="O97" s="34"/>
      <c r="P97" s="34">
        <f t="shared" si="52"/>
        <v>0</v>
      </c>
      <c r="Q97" s="34"/>
      <c r="R97" s="34"/>
      <c r="S97" s="34">
        <f t="shared" si="53"/>
        <v>0</v>
      </c>
      <c r="T97" s="34"/>
      <c r="U97" s="34"/>
      <c r="V97" s="34">
        <f t="shared" si="54"/>
        <v>0</v>
      </c>
      <c r="W97" s="34"/>
      <c r="X97" s="34"/>
      <c r="Y97" s="34">
        <f t="shared" si="55"/>
        <v>0</v>
      </c>
      <c r="Z97" s="34"/>
      <c r="AA97" s="34"/>
      <c r="AB97" s="34">
        <f t="shared" si="56"/>
        <v>0</v>
      </c>
    </row>
    <row r="98" spans="1:28" s="28" customFormat="1" ht="31.5" x14ac:dyDescent="0.25">
      <c r="A98" s="41" t="s">
        <v>106</v>
      </c>
      <c r="B98" s="34">
        <f t="shared" si="66"/>
        <v>50432</v>
      </c>
      <c r="C98" s="34">
        <f t="shared" si="66"/>
        <v>50432</v>
      </c>
      <c r="D98" s="34">
        <f t="shared" si="66"/>
        <v>0</v>
      </c>
      <c r="E98" s="34"/>
      <c r="F98" s="34"/>
      <c r="G98" s="34">
        <f t="shared" si="67"/>
        <v>0</v>
      </c>
      <c r="H98" s="34">
        <v>36432</v>
      </c>
      <c r="I98" s="34">
        <v>36432</v>
      </c>
      <c r="J98" s="34">
        <f t="shared" si="50"/>
        <v>0</v>
      </c>
      <c r="K98" s="34">
        <f>11000+3000</f>
        <v>14000</v>
      </c>
      <c r="L98" s="34">
        <f>11000+3000</f>
        <v>14000</v>
      </c>
      <c r="M98" s="34">
        <f t="shared" si="51"/>
        <v>0</v>
      </c>
      <c r="N98" s="34"/>
      <c r="O98" s="34"/>
      <c r="P98" s="34">
        <f t="shared" si="52"/>
        <v>0</v>
      </c>
      <c r="Q98" s="34"/>
      <c r="R98" s="34"/>
      <c r="S98" s="34">
        <f t="shared" si="53"/>
        <v>0</v>
      </c>
      <c r="T98" s="34"/>
      <c r="U98" s="34"/>
      <c r="V98" s="34">
        <f t="shared" si="54"/>
        <v>0</v>
      </c>
      <c r="W98" s="34"/>
      <c r="X98" s="34"/>
      <c r="Y98" s="34">
        <f t="shared" si="55"/>
        <v>0</v>
      </c>
      <c r="Z98" s="34"/>
      <c r="AA98" s="34"/>
      <c r="AB98" s="34">
        <f t="shared" si="56"/>
        <v>0</v>
      </c>
    </row>
    <row r="99" spans="1:28" s="28" customFormat="1" ht="31.5" x14ac:dyDescent="0.25">
      <c r="A99" s="41" t="s">
        <v>107</v>
      </c>
      <c r="B99" s="34">
        <f t="shared" si="66"/>
        <v>7550</v>
      </c>
      <c r="C99" s="34">
        <f t="shared" si="66"/>
        <v>7550</v>
      </c>
      <c r="D99" s="34">
        <f t="shared" si="66"/>
        <v>0</v>
      </c>
      <c r="E99" s="34"/>
      <c r="F99" s="34"/>
      <c r="G99" s="34">
        <f t="shared" si="67"/>
        <v>0</v>
      </c>
      <c r="H99" s="34"/>
      <c r="I99" s="34"/>
      <c r="J99" s="34">
        <f t="shared" si="50"/>
        <v>0</v>
      </c>
      <c r="K99" s="34">
        <f>5000+2550</f>
        <v>7550</v>
      </c>
      <c r="L99" s="34">
        <f>5000+2550</f>
        <v>7550</v>
      </c>
      <c r="M99" s="34">
        <f t="shared" si="51"/>
        <v>0</v>
      </c>
      <c r="N99" s="34"/>
      <c r="O99" s="34"/>
      <c r="P99" s="34">
        <f t="shared" si="52"/>
        <v>0</v>
      </c>
      <c r="Q99" s="34"/>
      <c r="R99" s="34"/>
      <c r="S99" s="34">
        <f t="shared" si="53"/>
        <v>0</v>
      </c>
      <c r="T99" s="34"/>
      <c r="U99" s="34"/>
      <c r="V99" s="34">
        <f t="shared" si="54"/>
        <v>0</v>
      </c>
      <c r="W99" s="34"/>
      <c r="X99" s="34"/>
      <c r="Y99" s="34">
        <f t="shared" si="55"/>
        <v>0</v>
      </c>
      <c r="Z99" s="34"/>
      <c r="AA99" s="34"/>
      <c r="AB99" s="34">
        <f t="shared" si="56"/>
        <v>0</v>
      </c>
    </row>
    <row r="100" spans="1:28" s="28" customFormat="1" x14ac:dyDescent="0.25">
      <c r="A100" s="41" t="s">
        <v>108</v>
      </c>
      <c r="B100" s="34">
        <f t="shared" si="66"/>
        <v>11000</v>
      </c>
      <c r="C100" s="34">
        <f t="shared" si="66"/>
        <v>11000</v>
      </c>
      <c r="D100" s="34">
        <f t="shared" si="66"/>
        <v>0</v>
      </c>
      <c r="E100" s="34"/>
      <c r="F100" s="34"/>
      <c r="G100" s="34">
        <f t="shared" si="67"/>
        <v>0</v>
      </c>
      <c r="H100" s="34"/>
      <c r="I100" s="34"/>
      <c r="J100" s="34">
        <f t="shared" si="50"/>
        <v>0</v>
      </c>
      <c r="K100" s="34">
        <v>11000</v>
      </c>
      <c r="L100" s="34">
        <v>11000</v>
      </c>
      <c r="M100" s="34">
        <f t="shared" si="51"/>
        <v>0</v>
      </c>
      <c r="N100" s="34"/>
      <c r="O100" s="34"/>
      <c r="P100" s="34">
        <f t="shared" si="52"/>
        <v>0</v>
      </c>
      <c r="Q100" s="34"/>
      <c r="R100" s="34"/>
      <c r="S100" s="34">
        <f t="shared" si="53"/>
        <v>0</v>
      </c>
      <c r="T100" s="34"/>
      <c r="U100" s="34"/>
      <c r="V100" s="34">
        <f t="shared" si="54"/>
        <v>0</v>
      </c>
      <c r="W100" s="34"/>
      <c r="X100" s="34"/>
      <c r="Y100" s="34">
        <f t="shared" si="55"/>
        <v>0</v>
      </c>
      <c r="Z100" s="34"/>
      <c r="AA100" s="34"/>
      <c r="AB100" s="34">
        <f t="shared" si="56"/>
        <v>0</v>
      </c>
    </row>
    <row r="101" spans="1:28" s="28" customFormat="1" x14ac:dyDescent="0.25">
      <c r="A101" s="41" t="s">
        <v>109</v>
      </c>
      <c r="B101" s="34">
        <f t="shared" si="66"/>
        <v>9000</v>
      </c>
      <c r="C101" s="34">
        <f t="shared" si="66"/>
        <v>9000</v>
      </c>
      <c r="D101" s="34">
        <f t="shared" si="66"/>
        <v>0</v>
      </c>
      <c r="E101" s="34"/>
      <c r="F101" s="34"/>
      <c r="G101" s="34">
        <f t="shared" si="67"/>
        <v>0</v>
      </c>
      <c r="H101" s="34"/>
      <c r="I101" s="34"/>
      <c r="J101" s="34">
        <f t="shared" si="50"/>
        <v>0</v>
      </c>
      <c r="K101" s="34">
        <v>9000</v>
      </c>
      <c r="L101" s="34">
        <v>9000</v>
      </c>
      <c r="M101" s="34">
        <f t="shared" si="51"/>
        <v>0</v>
      </c>
      <c r="N101" s="34"/>
      <c r="O101" s="34"/>
      <c r="P101" s="34">
        <f t="shared" si="52"/>
        <v>0</v>
      </c>
      <c r="Q101" s="34"/>
      <c r="R101" s="34"/>
      <c r="S101" s="34">
        <f t="shared" si="53"/>
        <v>0</v>
      </c>
      <c r="T101" s="34"/>
      <c r="U101" s="34"/>
      <c r="V101" s="34">
        <f t="shared" si="54"/>
        <v>0</v>
      </c>
      <c r="W101" s="34"/>
      <c r="X101" s="34"/>
      <c r="Y101" s="34">
        <f t="shared" si="55"/>
        <v>0</v>
      </c>
      <c r="Z101" s="34"/>
      <c r="AA101" s="34"/>
      <c r="AB101" s="34">
        <f t="shared" si="56"/>
        <v>0</v>
      </c>
    </row>
    <row r="102" spans="1:28" s="28" customFormat="1" ht="31.5" x14ac:dyDescent="0.25">
      <c r="A102" s="41" t="s">
        <v>110</v>
      </c>
      <c r="B102" s="34">
        <f t="shared" si="66"/>
        <v>12270</v>
      </c>
      <c r="C102" s="34">
        <f t="shared" si="66"/>
        <v>12270</v>
      </c>
      <c r="D102" s="34">
        <f t="shared" si="66"/>
        <v>0</v>
      </c>
      <c r="E102" s="34"/>
      <c r="F102" s="34"/>
      <c r="G102" s="34">
        <f t="shared" si="67"/>
        <v>0</v>
      </c>
      <c r="H102" s="34"/>
      <c r="I102" s="34"/>
      <c r="J102" s="34">
        <f t="shared" si="50"/>
        <v>0</v>
      </c>
      <c r="K102" s="34">
        <f>3270+9000</f>
        <v>12270</v>
      </c>
      <c r="L102" s="34">
        <f>3270+9000</f>
        <v>12270</v>
      </c>
      <c r="M102" s="34">
        <f t="shared" si="51"/>
        <v>0</v>
      </c>
      <c r="N102" s="34"/>
      <c r="O102" s="34"/>
      <c r="P102" s="34">
        <f t="shared" si="52"/>
        <v>0</v>
      </c>
      <c r="Q102" s="34"/>
      <c r="R102" s="34"/>
      <c r="S102" s="34">
        <f t="shared" si="53"/>
        <v>0</v>
      </c>
      <c r="T102" s="34"/>
      <c r="U102" s="34"/>
      <c r="V102" s="34">
        <f t="shared" si="54"/>
        <v>0</v>
      </c>
      <c r="W102" s="34"/>
      <c r="X102" s="34"/>
      <c r="Y102" s="34">
        <f t="shared" si="55"/>
        <v>0</v>
      </c>
      <c r="Z102" s="34"/>
      <c r="AA102" s="34"/>
      <c r="AB102" s="34">
        <f t="shared" si="56"/>
        <v>0</v>
      </c>
    </row>
    <row r="103" spans="1:28" s="28" customFormat="1" ht="31.5" x14ac:dyDescent="0.25">
      <c r="A103" s="41" t="s">
        <v>111</v>
      </c>
      <c r="B103" s="34">
        <f t="shared" si="66"/>
        <v>12034</v>
      </c>
      <c r="C103" s="34">
        <f t="shared" si="66"/>
        <v>12034</v>
      </c>
      <c r="D103" s="34">
        <f t="shared" si="66"/>
        <v>0</v>
      </c>
      <c r="E103" s="34"/>
      <c r="F103" s="34"/>
      <c r="G103" s="34">
        <f t="shared" si="67"/>
        <v>0</v>
      </c>
      <c r="H103" s="34"/>
      <c r="I103" s="34"/>
      <c r="J103" s="34">
        <f t="shared" si="50"/>
        <v>0</v>
      </c>
      <c r="K103" s="34">
        <f>3034+9000</f>
        <v>12034</v>
      </c>
      <c r="L103" s="34">
        <f>3034+9000</f>
        <v>12034</v>
      </c>
      <c r="M103" s="34">
        <f t="shared" si="51"/>
        <v>0</v>
      </c>
      <c r="N103" s="34"/>
      <c r="O103" s="34"/>
      <c r="P103" s="34">
        <f t="shared" si="52"/>
        <v>0</v>
      </c>
      <c r="Q103" s="34"/>
      <c r="R103" s="34"/>
      <c r="S103" s="34">
        <f t="shared" si="53"/>
        <v>0</v>
      </c>
      <c r="T103" s="34"/>
      <c r="U103" s="34"/>
      <c r="V103" s="34">
        <f t="shared" si="54"/>
        <v>0</v>
      </c>
      <c r="W103" s="34"/>
      <c r="X103" s="34"/>
      <c r="Y103" s="34">
        <f t="shared" si="55"/>
        <v>0</v>
      </c>
      <c r="Z103" s="34"/>
      <c r="AA103" s="34"/>
      <c r="AB103" s="34">
        <f t="shared" si="56"/>
        <v>0</v>
      </c>
    </row>
    <row r="104" spans="1:28" s="28" customFormat="1" x14ac:dyDescent="0.25">
      <c r="A104" s="41" t="s">
        <v>112</v>
      </c>
      <c r="B104" s="34">
        <f t="shared" si="66"/>
        <v>9000</v>
      </c>
      <c r="C104" s="34">
        <f t="shared" si="66"/>
        <v>9000</v>
      </c>
      <c r="D104" s="34">
        <f t="shared" si="66"/>
        <v>0</v>
      </c>
      <c r="E104" s="34"/>
      <c r="F104" s="34"/>
      <c r="G104" s="34">
        <f t="shared" si="67"/>
        <v>0</v>
      </c>
      <c r="H104" s="34"/>
      <c r="I104" s="34"/>
      <c r="J104" s="34">
        <f t="shared" si="50"/>
        <v>0</v>
      </c>
      <c r="K104" s="34">
        <v>9000</v>
      </c>
      <c r="L104" s="34">
        <v>9000</v>
      </c>
      <c r="M104" s="34">
        <f t="shared" si="51"/>
        <v>0</v>
      </c>
      <c r="N104" s="34"/>
      <c r="O104" s="34"/>
      <c r="P104" s="34">
        <f t="shared" si="52"/>
        <v>0</v>
      </c>
      <c r="Q104" s="34"/>
      <c r="R104" s="34"/>
      <c r="S104" s="34">
        <f t="shared" si="53"/>
        <v>0</v>
      </c>
      <c r="T104" s="34"/>
      <c r="U104" s="34"/>
      <c r="V104" s="34">
        <f t="shared" si="54"/>
        <v>0</v>
      </c>
      <c r="W104" s="34"/>
      <c r="X104" s="34"/>
      <c r="Y104" s="34">
        <f t="shared" si="55"/>
        <v>0</v>
      </c>
      <c r="Z104" s="34"/>
      <c r="AA104" s="34"/>
      <c r="AB104" s="34">
        <f t="shared" si="56"/>
        <v>0</v>
      </c>
    </row>
    <row r="105" spans="1:28" s="28" customFormat="1" x14ac:dyDescent="0.25">
      <c r="A105" s="41" t="s">
        <v>113</v>
      </c>
      <c r="B105" s="34">
        <f t="shared" si="66"/>
        <v>10000</v>
      </c>
      <c r="C105" s="34">
        <f t="shared" si="66"/>
        <v>10000</v>
      </c>
      <c r="D105" s="34">
        <f t="shared" si="66"/>
        <v>0</v>
      </c>
      <c r="E105" s="34"/>
      <c r="F105" s="34"/>
      <c r="G105" s="34">
        <f t="shared" si="67"/>
        <v>0</v>
      </c>
      <c r="H105" s="34"/>
      <c r="I105" s="34"/>
      <c r="J105" s="34">
        <f t="shared" si="50"/>
        <v>0</v>
      </c>
      <c r="K105" s="34">
        <v>10000</v>
      </c>
      <c r="L105" s="34">
        <v>10000</v>
      </c>
      <c r="M105" s="34">
        <f t="shared" si="51"/>
        <v>0</v>
      </c>
      <c r="N105" s="34"/>
      <c r="O105" s="34"/>
      <c r="P105" s="34">
        <f t="shared" si="52"/>
        <v>0</v>
      </c>
      <c r="Q105" s="34"/>
      <c r="R105" s="34"/>
      <c r="S105" s="34">
        <f t="shared" si="53"/>
        <v>0</v>
      </c>
      <c r="T105" s="34"/>
      <c r="U105" s="34"/>
      <c r="V105" s="34">
        <f t="shared" si="54"/>
        <v>0</v>
      </c>
      <c r="W105" s="34"/>
      <c r="X105" s="34"/>
      <c r="Y105" s="34">
        <f t="shared" si="55"/>
        <v>0</v>
      </c>
      <c r="Z105" s="34"/>
      <c r="AA105" s="34"/>
      <c r="AB105" s="34">
        <f t="shared" si="56"/>
        <v>0</v>
      </c>
    </row>
    <row r="106" spans="1:28" s="28" customFormat="1" ht="31.5" x14ac:dyDescent="0.25">
      <c r="A106" s="41" t="s">
        <v>114</v>
      </c>
      <c r="B106" s="34">
        <f t="shared" si="66"/>
        <v>6898</v>
      </c>
      <c r="C106" s="34">
        <f t="shared" si="66"/>
        <v>6898</v>
      </c>
      <c r="D106" s="34">
        <f t="shared" si="66"/>
        <v>0</v>
      </c>
      <c r="E106" s="34"/>
      <c r="F106" s="34"/>
      <c r="G106" s="34">
        <f t="shared" si="67"/>
        <v>0</v>
      </c>
      <c r="H106" s="34"/>
      <c r="I106" s="34"/>
      <c r="J106" s="34">
        <f t="shared" si="50"/>
        <v>0</v>
      </c>
      <c r="K106" s="34">
        <f>5500+1398</f>
        <v>6898</v>
      </c>
      <c r="L106" s="34">
        <f>5500+1398</f>
        <v>6898</v>
      </c>
      <c r="M106" s="34">
        <f t="shared" si="51"/>
        <v>0</v>
      </c>
      <c r="N106" s="34"/>
      <c r="O106" s="34"/>
      <c r="P106" s="34">
        <f t="shared" si="52"/>
        <v>0</v>
      </c>
      <c r="Q106" s="34"/>
      <c r="R106" s="34"/>
      <c r="S106" s="34">
        <f t="shared" si="53"/>
        <v>0</v>
      </c>
      <c r="T106" s="34"/>
      <c r="U106" s="34"/>
      <c r="V106" s="34">
        <f t="shared" si="54"/>
        <v>0</v>
      </c>
      <c r="W106" s="34"/>
      <c r="X106" s="34"/>
      <c r="Y106" s="34">
        <f t="shared" si="55"/>
        <v>0</v>
      </c>
      <c r="Z106" s="34"/>
      <c r="AA106" s="34"/>
      <c r="AB106" s="34">
        <f t="shared" si="56"/>
        <v>0</v>
      </c>
    </row>
    <row r="107" spans="1:28" s="28" customFormat="1" x14ac:dyDescent="0.25">
      <c r="A107" s="41" t="s">
        <v>115</v>
      </c>
      <c r="B107" s="34">
        <f t="shared" si="66"/>
        <v>9000</v>
      </c>
      <c r="C107" s="34">
        <f t="shared" si="66"/>
        <v>9000</v>
      </c>
      <c r="D107" s="34">
        <f t="shared" si="66"/>
        <v>0</v>
      </c>
      <c r="E107" s="34"/>
      <c r="F107" s="34"/>
      <c r="G107" s="34">
        <f t="shared" si="67"/>
        <v>0</v>
      </c>
      <c r="H107" s="34"/>
      <c r="I107" s="34"/>
      <c r="J107" s="34">
        <f t="shared" si="50"/>
        <v>0</v>
      </c>
      <c r="K107" s="34">
        <v>9000</v>
      </c>
      <c r="L107" s="34">
        <v>9000</v>
      </c>
      <c r="M107" s="34">
        <f t="shared" si="51"/>
        <v>0</v>
      </c>
      <c r="N107" s="34"/>
      <c r="O107" s="34"/>
      <c r="P107" s="34">
        <f t="shared" si="52"/>
        <v>0</v>
      </c>
      <c r="Q107" s="34"/>
      <c r="R107" s="34"/>
      <c r="S107" s="34">
        <f t="shared" si="53"/>
        <v>0</v>
      </c>
      <c r="T107" s="34"/>
      <c r="U107" s="34"/>
      <c r="V107" s="34">
        <f t="shared" si="54"/>
        <v>0</v>
      </c>
      <c r="W107" s="34"/>
      <c r="X107" s="34"/>
      <c r="Y107" s="34">
        <f t="shared" si="55"/>
        <v>0</v>
      </c>
      <c r="Z107" s="34"/>
      <c r="AA107" s="34"/>
      <c r="AB107" s="34">
        <f t="shared" si="56"/>
        <v>0</v>
      </c>
    </row>
    <row r="108" spans="1:28" s="28" customFormat="1" x14ac:dyDescent="0.25">
      <c r="A108" s="41" t="s">
        <v>116</v>
      </c>
      <c r="B108" s="34">
        <f t="shared" si="66"/>
        <v>5500</v>
      </c>
      <c r="C108" s="34">
        <f t="shared" si="66"/>
        <v>5500</v>
      </c>
      <c r="D108" s="34">
        <f t="shared" si="66"/>
        <v>0</v>
      </c>
      <c r="E108" s="34"/>
      <c r="F108" s="34"/>
      <c r="G108" s="34">
        <f t="shared" si="67"/>
        <v>0</v>
      </c>
      <c r="H108" s="34"/>
      <c r="I108" s="34"/>
      <c r="J108" s="34">
        <f t="shared" si="50"/>
        <v>0</v>
      </c>
      <c r="K108" s="34">
        <v>5500</v>
      </c>
      <c r="L108" s="34">
        <v>5500</v>
      </c>
      <c r="M108" s="34">
        <f t="shared" si="51"/>
        <v>0</v>
      </c>
      <c r="N108" s="34"/>
      <c r="O108" s="34"/>
      <c r="P108" s="34">
        <f t="shared" si="52"/>
        <v>0</v>
      </c>
      <c r="Q108" s="34"/>
      <c r="R108" s="34"/>
      <c r="S108" s="34">
        <f t="shared" si="53"/>
        <v>0</v>
      </c>
      <c r="T108" s="34"/>
      <c r="U108" s="34"/>
      <c r="V108" s="34">
        <f t="shared" si="54"/>
        <v>0</v>
      </c>
      <c r="W108" s="34"/>
      <c r="X108" s="34"/>
      <c r="Y108" s="34">
        <f t="shared" si="55"/>
        <v>0</v>
      </c>
      <c r="Z108" s="34"/>
      <c r="AA108" s="34"/>
      <c r="AB108" s="34">
        <f t="shared" si="56"/>
        <v>0</v>
      </c>
    </row>
    <row r="109" spans="1:28" s="28" customFormat="1" ht="31.5" x14ac:dyDescent="0.25">
      <c r="A109" s="41" t="s">
        <v>117</v>
      </c>
      <c r="B109" s="34">
        <f t="shared" si="66"/>
        <v>8727</v>
      </c>
      <c r="C109" s="34">
        <f t="shared" si="66"/>
        <v>8727</v>
      </c>
      <c r="D109" s="34">
        <f t="shared" si="66"/>
        <v>0</v>
      </c>
      <c r="E109" s="34"/>
      <c r="F109" s="34"/>
      <c r="G109" s="34">
        <f t="shared" si="67"/>
        <v>0</v>
      </c>
      <c r="H109" s="34"/>
      <c r="I109" s="34"/>
      <c r="J109" s="34">
        <f t="shared" si="50"/>
        <v>0</v>
      </c>
      <c r="K109" s="34">
        <f>2000+1227+5500</f>
        <v>8727</v>
      </c>
      <c r="L109" s="34">
        <f>2000+1227+5500</f>
        <v>8727</v>
      </c>
      <c r="M109" s="34">
        <f t="shared" si="51"/>
        <v>0</v>
      </c>
      <c r="N109" s="34"/>
      <c r="O109" s="34"/>
      <c r="P109" s="34">
        <f t="shared" si="52"/>
        <v>0</v>
      </c>
      <c r="Q109" s="34"/>
      <c r="R109" s="34"/>
      <c r="S109" s="34">
        <f t="shared" si="53"/>
        <v>0</v>
      </c>
      <c r="T109" s="34"/>
      <c r="U109" s="34"/>
      <c r="V109" s="34">
        <f t="shared" si="54"/>
        <v>0</v>
      </c>
      <c r="W109" s="34"/>
      <c r="X109" s="34"/>
      <c r="Y109" s="34">
        <f t="shared" si="55"/>
        <v>0</v>
      </c>
      <c r="Z109" s="34"/>
      <c r="AA109" s="34"/>
      <c r="AB109" s="34">
        <f t="shared" si="56"/>
        <v>0</v>
      </c>
    </row>
    <row r="110" spans="1:28" s="28" customFormat="1" x14ac:dyDescent="0.25">
      <c r="A110" s="41" t="s">
        <v>118</v>
      </c>
      <c r="B110" s="34">
        <f t="shared" si="66"/>
        <v>5500</v>
      </c>
      <c r="C110" s="34">
        <f t="shared" si="66"/>
        <v>5500</v>
      </c>
      <c r="D110" s="34">
        <f t="shared" si="66"/>
        <v>0</v>
      </c>
      <c r="E110" s="34"/>
      <c r="F110" s="34"/>
      <c r="G110" s="34">
        <f t="shared" si="67"/>
        <v>0</v>
      </c>
      <c r="H110" s="34"/>
      <c r="I110" s="34"/>
      <c r="J110" s="34">
        <f t="shared" si="50"/>
        <v>0</v>
      </c>
      <c r="K110" s="34">
        <v>5500</v>
      </c>
      <c r="L110" s="34">
        <v>5500</v>
      </c>
      <c r="M110" s="34">
        <f t="shared" si="51"/>
        <v>0</v>
      </c>
      <c r="N110" s="34"/>
      <c r="O110" s="34"/>
      <c r="P110" s="34">
        <f t="shared" si="52"/>
        <v>0</v>
      </c>
      <c r="Q110" s="34"/>
      <c r="R110" s="34"/>
      <c r="S110" s="34">
        <f t="shared" si="53"/>
        <v>0</v>
      </c>
      <c r="T110" s="34"/>
      <c r="U110" s="34"/>
      <c r="V110" s="34">
        <f t="shared" si="54"/>
        <v>0</v>
      </c>
      <c r="W110" s="34"/>
      <c r="X110" s="34"/>
      <c r="Y110" s="34">
        <f t="shared" si="55"/>
        <v>0</v>
      </c>
      <c r="Z110" s="34"/>
      <c r="AA110" s="34"/>
      <c r="AB110" s="34">
        <f t="shared" si="56"/>
        <v>0</v>
      </c>
    </row>
    <row r="111" spans="1:28" s="28" customFormat="1" x14ac:dyDescent="0.25">
      <c r="A111" s="41" t="s">
        <v>119</v>
      </c>
      <c r="B111" s="34">
        <f t="shared" si="66"/>
        <v>4500</v>
      </c>
      <c r="C111" s="34">
        <f t="shared" si="66"/>
        <v>4500</v>
      </c>
      <c r="D111" s="34">
        <f t="shared" si="66"/>
        <v>0</v>
      </c>
      <c r="E111" s="34"/>
      <c r="F111" s="34"/>
      <c r="G111" s="34">
        <f t="shared" si="67"/>
        <v>0</v>
      </c>
      <c r="H111" s="34"/>
      <c r="I111" s="34"/>
      <c r="J111" s="34">
        <f t="shared" si="50"/>
        <v>0</v>
      </c>
      <c r="K111" s="34">
        <v>4500</v>
      </c>
      <c r="L111" s="34">
        <v>4500</v>
      </c>
      <c r="M111" s="34">
        <f t="shared" si="51"/>
        <v>0</v>
      </c>
      <c r="N111" s="34"/>
      <c r="O111" s="34"/>
      <c r="P111" s="34">
        <f t="shared" si="52"/>
        <v>0</v>
      </c>
      <c r="Q111" s="34"/>
      <c r="R111" s="34"/>
      <c r="S111" s="34">
        <f t="shared" si="53"/>
        <v>0</v>
      </c>
      <c r="T111" s="34"/>
      <c r="U111" s="34"/>
      <c r="V111" s="34">
        <f t="shared" si="54"/>
        <v>0</v>
      </c>
      <c r="W111" s="34"/>
      <c r="X111" s="34"/>
      <c r="Y111" s="34">
        <f t="shared" si="55"/>
        <v>0</v>
      </c>
      <c r="Z111" s="34"/>
      <c r="AA111" s="34"/>
      <c r="AB111" s="34">
        <f t="shared" si="56"/>
        <v>0</v>
      </c>
    </row>
    <row r="112" spans="1:28" s="28" customFormat="1" x14ac:dyDescent="0.25">
      <c r="A112" s="41" t="s">
        <v>120</v>
      </c>
      <c r="B112" s="34">
        <f t="shared" si="66"/>
        <v>4500</v>
      </c>
      <c r="C112" s="34">
        <f t="shared" si="66"/>
        <v>4500</v>
      </c>
      <c r="D112" s="34">
        <f t="shared" si="66"/>
        <v>0</v>
      </c>
      <c r="E112" s="34"/>
      <c r="F112" s="34"/>
      <c r="G112" s="34">
        <f t="shared" si="67"/>
        <v>0</v>
      </c>
      <c r="H112" s="34"/>
      <c r="I112" s="34"/>
      <c r="J112" s="34">
        <f t="shared" si="50"/>
        <v>0</v>
      </c>
      <c r="K112" s="34">
        <v>4500</v>
      </c>
      <c r="L112" s="34">
        <v>4500</v>
      </c>
      <c r="M112" s="34">
        <f t="shared" si="51"/>
        <v>0</v>
      </c>
      <c r="N112" s="34"/>
      <c r="O112" s="34"/>
      <c r="P112" s="34">
        <f t="shared" si="52"/>
        <v>0</v>
      </c>
      <c r="Q112" s="34"/>
      <c r="R112" s="34"/>
      <c r="S112" s="34">
        <f t="shared" si="53"/>
        <v>0</v>
      </c>
      <c r="T112" s="34"/>
      <c r="U112" s="34"/>
      <c r="V112" s="34">
        <f t="shared" si="54"/>
        <v>0</v>
      </c>
      <c r="W112" s="34"/>
      <c r="X112" s="34"/>
      <c r="Y112" s="34">
        <f t="shared" si="55"/>
        <v>0</v>
      </c>
      <c r="Z112" s="34"/>
      <c r="AA112" s="34"/>
      <c r="AB112" s="34">
        <f t="shared" si="56"/>
        <v>0</v>
      </c>
    </row>
    <row r="113" spans="1:28" s="28" customFormat="1" x14ac:dyDescent="0.25">
      <c r="A113" s="41" t="s">
        <v>121</v>
      </c>
      <c r="B113" s="34">
        <f t="shared" si="66"/>
        <v>14000</v>
      </c>
      <c r="C113" s="34">
        <f t="shared" si="66"/>
        <v>14000</v>
      </c>
      <c r="D113" s="34">
        <f t="shared" si="66"/>
        <v>0</v>
      </c>
      <c r="E113" s="34"/>
      <c r="F113" s="34"/>
      <c r="G113" s="34">
        <f t="shared" si="67"/>
        <v>0</v>
      </c>
      <c r="H113" s="34"/>
      <c r="I113" s="34"/>
      <c r="J113" s="34">
        <f t="shared" si="50"/>
        <v>0</v>
      </c>
      <c r="K113" s="34">
        <v>14000</v>
      </c>
      <c r="L113" s="34">
        <v>14000</v>
      </c>
      <c r="M113" s="34">
        <f t="shared" si="51"/>
        <v>0</v>
      </c>
      <c r="N113" s="34"/>
      <c r="O113" s="34"/>
      <c r="P113" s="34">
        <f t="shared" si="52"/>
        <v>0</v>
      </c>
      <c r="Q113" s="34"/>
      <c r="R113" s="34"/>
      <c r="S113" s="34">
        <f t="shared" si="53"/>
        <v>0</v>
      </c>
      <c r="T113" s="34"/>
      <c r="U113" s="34"/>
      <c r="V113" s="34">
        <f t="shared" si="54"/>
        <v>0</v>
      </c>
      <c r="W113" s="34"/>
      <c r="X113" s="34"/>
      <c r="Y113" s="34">
        <f t="shared" si="55"/>
        <v>0</v>
      </c>
      <c r="Z113" s="34"/>
      <c r="AA113" s="34"/>
      <c r="AB113" s="34">
        <f t="shared" si="56"/>
        <v>0</v>
      </c>
    </row>
    <row r="114" spans="1:28" s="28" customFormat="1" x14ac:dyDescent="0.25">
      <c r="A114" s="41" t="s">
        <v>122</v>
      </c>
      <c r="B114" s="34">
        <f t="shared" si="66"/>
        <v>16600</v>
      </c>
      <c r="C114" s="34">
        <f t="shared" si="66"/>
        <v>16600</v>
      </c>
      <c r="D114" s="34">
        <f t="shared" si="66"/>
        <v>0</v>
      </c>
      <c r="E114" s="34"/>
      <c r="F114" s="34"/>
      <c r="G114" s="34">
        <f t="shared" si="67"/>
        <v>0</v>
      </c>
      <c r="H114" s="34">
        <v>3600</v>
      </c>
      <c r="I114" s="34">
        <v>3600</v>
      </c>
      <c r="J114" s="34">
        <f t="shared" si="50"/>
        <v>0</v>
      </c>
      <c r="K114" s="34">
        <v>13000</v>
      </c>
      <c r="L114" s="34">
        <v>13000</v>
      </c>
      <c r="M114" s="34">
        <f t="shared" si="51"/>
        <v>0</v>
      </c>
      <c r="N114" s="34"/>
      <c r="O114" s="34"/>
      <c r="P114" s="34">
        <f t="shared" si="52"/>
        <v>0</v>
      </c>
      <c r="Q114" s="34"/>
      <c r="R114" s="34"/>
      <c r="S114" s="34">
        <f t="shared" si="53"/>
        <v>0</v>
      </c>
      <c r="T114" s="34"/>
      <c r="U114" s="34"/>
      <c r="V114" s="34">
        <f t="shared" si="54"/>
        <v>0</v>
      </c>
      <c r="W114" s="34"/>
      <c r="X114" s="34"/>
      <c r="Y114" s="34">
        <f t="shared" si="55"/>
        <v>0</v>
      </c>
      <c r="Z114" s="34"/>
      <c r="AA114" s="34"/>
      <c r="AB114" s="34">
        <f t="shared" si="56"/>
        <v>0</v>
      </c>
    </row>
    <row r="115" spans="1:28" s="28" customFormat="1" ht="31.5" x14ac:dyDescent="0.25">
      <c r="A115" s="41" t="s">
        <v>123</v>
      </c>
      <c r="B115" s="34">
        <f t="shared" si="66"/>
        <v>106436</v>
      </c>
      <c r="C115" s="34">
        <f t="shared" si="66"/>
        <v>106436</v>
      </c>
      <c r="D115" s="34">
        <f t="shared" si="66"/>
        <v>0</v>
      </c>
      <c r="E115" s="34"/>
      <c r="F115" s="34"/>
      <c r="G115" s="34">
        <f t="shared" si="67"/>
        <v>0</v>
      </c>
      <c r="H115" s="34">
        <f>9690+60490</f>
        <v>70180</v>
      </c>
      <c r="I115" s="34">
        <f>9690+60490</f>
        <v>70180</v>
      </c>
      <c r="J115" s="34">
        <f t="shared" si="50"/>
        <v>0</v>
      </c>
      <c r="K115" s="34">
        <f>13000+23256</f>
        <v>36256</v>
      </c>
      <c r="L115" s="34">
        <f>13000+23256</f>
        <v>36256</v>
      </c>
      <c r="M115" s="34">
        <f t="shared" si="51"/>
        <v>0</v>
      </c>
      <c r="N115" s="34"/>
      <c r="O115" s="34"/>
      <c r="P115" s="34">
        <f t="shared" si="52"/>
        <v>0</v>
      </c>
      <c r="Q115" s="34"/>
      <c r="R115" s="34"/>
      <c r="S115" s="34">
        <f t="shared" si="53"/>
        <v>0</v>
      </c>
      <c r="T115" s="34"/>
      <c r="U115" s="34"/>
      <c r="V115" s="34">
        <f t="shared" si="54"/>
        <v>0</v>
      </c>
      <c r="W115" s="34"/>
      <c r="X115" s="34"/>
      <c r="Y115" s="34">
        <f t="shared" si="55"/>
        <v>0</v>
      </c>
      <c r="Z115" s="34"/>
      <c r="AA115" s="34"/>
      <c r="AB115" s="34">
        <f t="shared" si="56"/>
        <v>0</v>
      </c>
    </row>
    <row r="116" spans="1:28" s="28" customFormat="1" x14ac:dyDescent="0.25">
      <c r="A116" s="41" t="s">
        <v>124</v>
      </c>
      <c r="B116" s="34">
        <f t="shared" si="66"/>
        <v>14355</v>
      </c>
      <c r="C116" s="34">
        <f t="shared" si="66"/>
        <v>14355</v>
      </c>
      <c r="D116" s="34">
        <f t="shared" si="66"/>
        <v>0</v>
      </c>
      <c r="E116" s="34"/>
      <c r="F116" s="34"/>
      <c r="G116" s="34">
        <f t="shared" si="67"/>
        <v>0</v>
      </c>
      <c r="H116" s="34">
        <v>1355</v>
      </c>
      <c r="I116" s="34">
        <v>1355</v>
      </c>
      <c r="J116" s="34">
        <f t="shared" si="50"/>
        <v>0</v>
      </c>
      <c r="K116" s="34">
        <v>13000</v>
      </c>
      <c r="L116" s="34">
        <v>13000</v>
      </c>
      <c r="M116" s="34">
        <f t="shared" si="51"/>
        <v>0</v>
      </c>
      <c r="N116" s="34"/>
      <c r="O116" s="34"/>
      <c r="P116" s="34">
        <f t="shared" si="52"/>
        <v>0</v>
      </c>
      <c r="Q116" s="34"/>
      <c r="R116" s="34"/>
      <c r="S116" s="34">
        <f t="shared" si="53"/>
        <v>0</v>
      </c>
      <c r="T116" s="34"/>
      <c r="U116" s="34"/>
      <c r="V116" s="34">
        <f t="shared" si="54"/>
        <v>0</v>
      </c>
      <c r="W116" s="34"/>
      <c r="X116" s="34"/>
      <c r="Y116" s="34">
        <f t="shared" si="55"/>
        <v>0</v>
      </c>
      <c r="Z116" s="34"/>
      <c r="AA116" s="34"/>
      <c r="AB116" s="34">
        <f t="shared" si="56"/>
        <v>0</v>
      </c>
    </row>
    <row r="117" spans="1:28" s="25" customFormat="1" ht="63" x14ac:dyDescent="0.25">
      <c r="A117" s="40" t="s">
        <v>125</v>
      </c>
      <c r="B117" s="27">
        <f t="shared" si="66"/>
        <v>405959</v>
      </c>
      <c r="C117" s="27">
        <f t="shared" si="66"/>
        <v>405957</v>
      </c>
      <c r="D117" s="27">
        <f t="shared" si="66"/>
        <v>-2</v>
      </c>
      <c r="E117" s="27">
        <f>SUM(E118:E147)</f>
        <v>0</v>
      </c>
      <c r="F117" s="27">
        <f>SUM(F118:F147)</f>
        <v>0</v>
      </c>
      <c r="G117" s="27">
        <f t="shared" si="67"/>
        <v>0</v>
      </c>
      <c r="H117" s="27">
        <f t="shared" ref="H117:I117" si="68">SUM(H118:H147)</f>
        <v>0</v>
      </c>
      <c r="I117" s="27">
        <f t="shared" si="68"/>
        <v>31465</v>
      </c>
      <c r="J117" s="27">
        <f t="shared" si="50"/>
        <v>31465</v>
      </c>
      <c r="K117" s="27">
        <f t="shared" ref="K117:L117" si="69">SUM(K118:K147)</f>
        <v>405959</v>
      </c>
      <c r="L117" s="27">
        <f t="shared" si="69"/>
        <v>374492</v>
      </c>
      <c r="M117" s="27">
        <f t="shared" si="51"/>
        <v>-31467</v>
      </c>
      <c r="N117" s="27">
        <f t="shared" ref="N117:O117" si="70">SUM(N118:N147)</f>
        <v>0</v>
      </c>
      <c r="O117" s="27">
        <f t="shared" si="70"/>
        <v>0</v>
      </c>
      <c r="P117" s="27">
        <f t="shared" si="52"/>
        <v>0</v>
      </c>
      <c r="Q117" s="27">
        <f t="shared" ref="Q117:R117" si="71">SUM(Q118:Q147)</f>
        <v>0</v>
      </c>
      <c r="R117" s="27">
        <f t="shared" si="71"/>
        <v>0</v>
      </c>
      <c r="S117" s="27">
        <f t="shared" si="53"/>
        <v>0</v>
      </c>
      <c r="T117" s="27">
        <f t="shared" ref="T117:U117" si="72">SUM(T118:T147)</f>
        <v>0</v>
      </c>
      <c r="U117" s="27">
        <f t="shared" si="72"/>
        <v>0</v>
      </c>
      <c r="V117" s="27">
        <f t="shared" si="54"/>
        <v>0</v>
      </c>
      <c r="W117" s="27">
        <f t="shared" ref="W117:X117" si="73">SUM(W118:W147)</f>
        <v>0</v>
      </c>
      <c r="X117" s="27">
        <f t="shared" si="73"/>
        <v>0</v>
      </c>
      <c r="Y117" s="27">
        <f t="shared" si="55"/>
        <v>0</v>
      </c>
      <c r="Z117" s="27">
        <f t="shared" ref="Z117:AA117" si="74">SUM(Z118:Z147)</f>
        <v>0</v>
      </c>
      <c r="AA117" s="27">
        <f t="shared" si="74"/>
        <v>0</v>
      </c>
      <c r="AB117" s="27">
        <f t="shared" si="56"/>
        <v>0</v>
      </c>
    </row>
    <row r="118" spans="1:28" s="28" customFormat="1" x14ac:dyDescent="0.25">
      <c r="A118" s="41" t="s">
        <v>126</v>
      </c>
      <c r="B118" s="34">
        <f t="shared" si="66"/>
        <v>15999</v>
      </c>
      <c r="C118" s="34">
        <f t="shared" si="66"/>
        <v>15999</v>
      </c>
      <c r="D118" s="34">
        <f t="shared" si="66"/>
        <v>0</v>
      </c>
      <c r="E118" s="34"/>
      <c r="F118" s="34"/>
      <c r="G118" s="34">
        <f t="shared" si="67"/>
        <v>0</v>
      </c>
      <c r="H118" s="34"/>
      <c r="I118" s="34"/>
      <c r="J118" s="34">
        <f t="shared" si="50"/>
        <v>0</v>
      </c>
      <c r="K118" s="34">
        <v>15999</v>
      </c>
      <c r="L118" s="34">
        <v>15999</v>
      </c>
      <c r="M118" s="34">
        <f t="shared" si="51"/>
        <v>0</v>
      </c>
      <c r="N118" s="34"/>
      <c r="O118" s="34"/>
      <c r="P118" s="34">
        <f t="shared" si="52"/>
        <v>0</v>
      </c>
      <c r="Q118" s="34"/>
      <c r="R118" s="34"/>
      <c r="S118" s="34">
        <f t="shared" si="53"/>
        <v>0</v>
      </c>
      <c r="T118" s="34"/>
      <c r="U118" s="34"/>
      <c r="V118" s="34">
        <f t="shared" si="54"/>
        <v>0</v>
      </c>
      <c r="W118" s="34"/>
      <c r="X118" s="34"/>
      <c r="Y118" s="34">
        <f t="shared" si="55"/>
        <v>0</v>
      </c>
      <c r="Z118" s="34"/>
      <c r="AA118" s="34"/>
      <c r="AB118" s="34">
        <f t="shared" si="56"/>
        <v>0</v>
      </c>
    </row>
    <row r="119" spans="1:28" s="28" customFormat="1" x14ac:dyDescent="0.25">
      <c r="A119" s="41" t="s">
        <v>90</v>
      </c>
      <c r="B119" s="34">
        <f t="shared" si="66"/>
        <v>15999</v>
      </c>
      <c r="C119" s="34">
        <f t="shared" si="66"/>
        <v>15999</v>
      </c>
      <c r="D119" s="34">
        <f t="shared" si="66"/>
        <v>0</v>
      </c>
      <c r="E119" s="34"/>
      <c r="F119" s="34"/>
      <c r="G119" s="34">
        <f t="shared" si="67"/>
        <v>0</v>
      </c>
      <c r="H119" s="34"/>
      <c r="I119" s="34"/>
      <c r="J119" s="34">
        <f t="shared" si="50"/>
        <v>0</v>
      </c>
      <c r="K119" s="34">
        <v>15999</v>
      </c>
      <c r="L119" s="34">
        <v>15999</v>
      </c>
      <c r="M119" s="34">
        <f t="shared" si="51"/>
        <v>0</v>
      </c>
      <c r="N119" s="34"/>
      <c r="O119" s="34"/>
      <c r="P119" s="34">
        <f t="shared" si="52"/>
        <v>0</v>
      </c>
      <c r="Q119" s="34"/>
      <c r="R119" s="34"/>
      <c r="S119" s="34">
        <f t="shared" si="53"/>
        <v>0</v>
      </c>
      <c r="T119" s="34"/>
      <c r="U119" s="34"/>
      <c r="V119" s="34">
        <f t="shared" si="54"/>
        <v>0</v>
      </c>
      <c r="W119" s="34"/>
      <c r="X119" s="34"/>
      <c r="Y119" s="34">
        <f t="shared" si="55"/>
        <v>0</v>
      </c>
      <c r="Z119" s="34"/>
      <c r="AA119" s="34"/>
      <c r="AB119" s="34">
        <f t="shared" si="56"/>
        <v>0</v>
      </c>
    </row>
    <row r="120" spans="1:28" s="28" customFormat="1" x14ac:dyDescent="0.25">
      <c r="A120" s="41" t="s">
        <v>92</v>
      </c>
      <c r="B120" s="34">
        <f t="shared" si="66"/>
        <v>11000</v>
      </c>
      <c r="C120" s="34">
        <f t="shared" si="66"/>
        <v>11000</v>
      </c>
      <c r="D120" s="34">
        <f t="shared" si="66"/>
        <v>0</v>
      </c>
      <c r="E120" s="34"/>
      <c r="F120" s="34"/>
      <c r="G120" s="34">
        <f t="shared" si="67"/>
        <v>0</v>
      </c>
      <c r="H120" s="34"/>
      <c r="I120" s="34"/>
      <c r="J120" s="34">
        <f t="shared" si="50"/>
        <v>0</v>
      </c>
      <c r="K120" s="34">
        <v>11000</v>
      </c>
      <c r="L120" s="34">
        <v>11000</v>
      </c>
      <c r="M120" s="34">
        <f t="shared" si="51"/>
        <v>0</v>
      </c>
      <c r="N120" s="34"/>
      <c r="O120" s="34"/>
      <c r="P120" s="34">
        <f t="shared" si="52"/>
        <v>0</v>
      </c>
      <c r="Q120" s="34"/>
      <c r="R120" s="34"/>
      <c r="S120" s="34">
        <f t="shared" si="53"/>
        <v>0</v>
      </c>
      <c r="T120" s="34"/>
      <c r="U120" s="34"/>
      <c r="V120" s="34">
        <f t="shared" si="54"/>
        <v>0</v>
      </c>
      <c r="W120" s="34"/>
      <c r="X120" s="34"/>
      <c r="Y120" s="34">
        <f t="shared" si="55"/>
        <v>0</v>
      </c>
      <c r="Z120" s="34"/>
      <c r="AA120" s="34"/>
      <c r="AB120" s="34">
        <f t="shared" si="56"/>
        <v>0</v>
      </c>
    </row>
    <row r="121" spans="1:28" s="28" customFormat="1" x14ac:dyDescent="0.25">
      <c r="A121" s="41" t="s">
        <v>93</v>
      </c>
      <c r="B121" s="34">
        <f t="shared" si="66"/>
        <v>10998</v>
      </c>
      <c r="C121" s="34">
        <f t="shared" si="66"/>
        <v>10998</v>
      </c>
      <c r="D121" s="34">
        <f t="shared" si="66"/>
        <v>0</v>
      </c>
      <c r="E121" s="34"/>
      <c r="F121" s="34"/>
      <c r="G121" s="34">
        <f t="shared" si="67"/>
        <v>0</v>
      </c>
      <c r="H121" s="34"/>
      <c r="I121" s="34"/>
      <c r="J121" s="34">
        <f t="shared" si="50"/>
        <v>0</v>
      </c>
      <c r="K121" s="34">
        <v>10998</v>
      </c>
      <c r="L121" s="34">
        <v>10998</v>
      </c>
      <c r="M121" s="34">
        <f t="shared" si="51"/>
        <v>0</v>
      </c>
      <c r="N121" s="34"/>
      <c r="O121" s="34"/>
      <c r="P121" s="34">
        <f t="shared" si="52"/>
        <v>0</v>
      </c>
      <c r="Q121" s="34"/>
      <c r="R121" s="34"/>
      <c r="S121" s="34">
        <f t="shared" si="53"/>
        <v>0</v>
      </c>
      <c r="T121" s="34"/>
      <c r="U121" s="34"/>
      <c r="V121" s="34">
        <f t="shared" si="54"/>
        <v>0</v>
      </c>
      <c r="W121" s="34"/>
      <c r="X121" s="34"/>
      <c r="Y121" s="34">
        <f t="shared" si="55"/>
        <v>0</v>
      </c>
      <c r="Z121" s="34"/>
      <c r="AA121" s="34"/>
      <c r="AB121" s="34">
        <f t="shared" si="56"/>
        <v>0</v>
      </c>
    </row>
    <row r="122" spans="1:28" s="28" customFormat="1" x14ac:dyDescent="0.25">
      <c r="A122" s="41" t="s">
        <v>95</v>
      </c>
      <c r="B122" s="34">
        <f t="shared" si="66"/>
        <v>14999</v>
      </c>
      <c r="C122" s="34">
        <f t="shared" si="66"/>
        <v>14999</v>
      </c>
      <c r="D122" s="34">
        <f t="shared" si="66"/>
        <v>0</v>
      </c>
      <c r="E122" s="34"/>
      <c r="F122" s="34"/>
      <c r="G122" s="34">
        <f t="shared" si="67"/>
        <v>0</v>
      </c>
      <c r="H122" s="34"/>
      <c r="I122" s="34"/>
      <c r="J122" s="34">
        <f t="shared" si="50"/>
        <v>0</v>
      </c>
      <c r="K122" s="34">
        <v>14999</v>
      </c>
      <c r="L122" s="34">
        <v>14999</v>
      </c>
      <c r="M122" s="34">
        <f t="shared" si="51"/>
        <v>0</v>
      </c>
      <c r="N122" s="34"/>
      <c r="O122" s="34"/>
      <c r="P122" s="34">
        <f t="shared" si="52"/>
        <v>0</v>
      </c>
      <c r="Q122" s="34"/>
      <c r="R122" s="34"/>
      <c r="S122" s="34">
        <f t="shared" si="53"/>
        <v>0</v>
      </c>
      <c r="T122" s="34"/>
      <c r="U122" s="34"/>
      <c r="V122" s="34">
        <f t="shared" si="54"/>
        <v>0</v>
      </c>
      <c r="W122" s="34"/>
      <c r="X122" s="34"/>
      <c r="Y122" s="34">
        <f t="shared" si="55"/>
        <v>0</v>
      </c>
      <c r="Z122" s="34"/>
      <c r="AA122" s="34"/>
      <c r="AB122" s="34">
        <f t="shared" si="56"/>
        <v>0</v>
      </c>
    </row>
    <row r="123" spans="1:28" s="28" customFormat="1" x14ac:dyDescent="0.25">
      <c r="A123" s="41" t="s">
        <v>127</v>
      </c>
      <c r="B123" s="34">
        <f t="shared" si="66"/>
        <v>13998</v>
      </c>
      <c r="C123" s="34">
        <f t="shared" si="66"/>
        <v>13998</v>
      </c>
      <c r="D123" s="34">
        <f t="shared" si="66"/>
        <v>0</v>
      </c>
      <c r="E123" s="34"/>
      <c r="F123" s="34"/>
      <c r="G123" s="34">
        <f t="shared" si="67"/>
        <v>0</v>
      </c>
      <c r="H123" s="34"/>
      <c r="I123" s="34"/>
      <c r="J123" s="34">
        <f t="shared" si="50"/>
        <v>0</v>
      </c>
      <c r="K123" s="34">
        <v>13998</v>
      </c>
      <c r="L123" s="34">
        <v>13998</v>
      </c>
      <c r="M123" s="34">
        <f t="shared" si="51"/>
        <v>0</v>
      </c>
      <c r="N123" s="34"/>
      <c r="O123" s="34"/>
      <c r="P123" s="34">
        <f t="shared" si="52"/>
        <v>0</v>
      </c>
      <c r="Q123" s="34"/>
      <c r="R123" s="34"/>
      <c r="S123" s="34">
        <f t="shared" si="53"/>
        <v>0</v>
      </c>
      <c r="T123" s="34"/>
      <c r="U123" s="34"/>
      <c r="V123" s="34">
        <f t="shared" si="54"/>
        <v>0</v>
      </c>
      <c r="W123" s="34"/>
      <c r="X123" s="34"/>
      <c r="Y123" s="34">
        <f t="shared" si="55"/>
        <v>0</v>
      </c>
      <c r="Z123" s="34"/>
      <c r="AA123" s="34"/>
      <c r="AB123" s="34">
        <f t="shared" si="56"/>
        <v>0</v>
      </c>
    </row>
    <row r="124" spans="1:28" s="28" customFormat="1" x14ac:dyDescent="0.25">
      <c r="A124" s="41" t="s">
        <v>97</v>
      </c>
      <c r="B124" s="34">
        <f t="shared" si="66"/>
        <v>10998</v>
      </c>
      <c r="C124" s="34">
        <f t="shared" si="66"/>
        <v>10998</v>
      </c>
      <c r="D124" s="34">
        <f t="shared" si="66"/>
        <v>0</v>
      </c>
      <c r="E124" s="34"/>
      <c r="F124" s="34"/>
      <c r="G124" s="34">
        <f t="shared" si="67"/>
        <v>0</v>
      </c>
      <c r="H124" s="34"/>
      <c r="I124" s="34"/>
      <c r="J124" s="34">
        <f t="shared" si="50"/>
        <v>0</v>
      </c>
      <c r="K124" s="34">
        <v>10998</v>
      </c>
      <c r="L124" s="34">
        <v>10998</v>
      </c>
      <c r="M124" s="34">
        <f t="shared" si="51"/>
        <v>0</v>
      </c>
      <c r="N124" s="34"/>
      <c r="O124" s="34"/>
      <c r="P124" s="34">
        <f t="shared" si="52"/>
        <v>0</v>
      </c>
      <c r="Q124" s="34"/>
      <c r="R124" s="34"/>
      <c r="S124" s="34">
        <f t="shared" si="53"/>
        <v>0</v>
      </c>
      <c r="T124" s="34"/>
      <c r="U124" s="34"/>
      <c r="V124" s="34">
        <f t="shared" si="54"/>
        <v>0</v>
      </c>
      <c r="W124" s="34"/>
      <c r="X124" s="34"/>
      <c r="Y124" s="34">
        <f t="shared" si="55"/>
        <v>0</v>
      </c>
      <c r="Z124" s="34"/>
      <c r="AA124" s="34"/>
      <c r="AB124" s="34">
        <f t="shared" si="56"/>
        <v>0</v>
      </c>
    </row>
    <row r="125" spans="1:28" s="28" customFormat="1" x14ac:dyDescent="0.25">
      <c r="A125" s="41" t="s">
        <v>128</v>
      </c>
      <c r="B125" s="34">
        <f t="shared" si="66"/>
        <v>13998</v>
      </c>
      <c r="C125" s="34">
        <f t="shared" si="66"/>
        <v>13998</v>
      </c>
      <c r="D125" s="34">
        <f t="shared" si="66"/>
        <v>0</v>
      </c>
      <c r="E125" s="34"/>
      <c r="F125" s="34"/>
      <c r="G125" s="34">
        <f t="shared" si="67"/>
        <v>0</v>
      </c>
      <c r="H125" s="34"/>
      <c r="I125" s="34"/>
      <c r="J125" s="34">
        <f t="shared" si="50"/>
        <v>0</v>
      </c>
      <c r="K125" s="34">
        <v>13998</v>
      </c>
      <c r="L125" s="34">
        <v>13998</v>
      </c>
      <c r="M125" s="34">
        <f t="shared" si="51"/>
        <v>0</v>
      </c>
      <c r="N125" s="34"/>
      <c r="O125" s="34"/>
      <c r="P125" s="34">
        <f t="shared" si="52"/>
        <v>0</v>
      </c>
      <c r="Q125" s="34"/>
      <c r="R125" s="34"/>
      <c r="S125" s="34">
        <f t="shared" si="53"/>
        <v>0</v>
      </c>
      <c r="T125" s="34"/>
      <c r="U125" s="34"/>
      <c r="V125" s="34">
        <f t="shared" si="54"/>
        <v>0</v>
      </c>
      <c r="W125" s="34"/>
      <c r="X125" s="34"/>
      <c r="Y125" s="34">
        <f t="shared" si="55"/>
        <v>0</v>
      </c>
      <c r="Z125" s="34"/>
      <c r="AA125" s="34"/>
      <c r="AB125" s="34">
        <f t="shared" si="56"/>
        <v>0</v>
      </c>
    </row>
    <row r="126" spans="1:28" s="28" customFormat="1" x14ac:dyDescent="0.25">
      <c r="A126" s="41" t="s">
        <v>99</v>
      </c>
      <c r="B126" s="34">
        <f t="shared" si="66"/>
        <v>15999</v>
      </c>
      <c r="C126" s="34">
        <f t="shared" si="66"/>
        <v>15999</v>
      </c>
      <c r="D126" s="34">
        <f t="shared" si="66"/>
        <v>0</v>
      </c>
      <c r="E126" s="34"/>
      <c r="F126" s="34"/>
      <c r="G126" s="34">
        <f t="shared" si="67"/>
        <v>0</v>
      </c>
      <c r="H126" s="34"/>
      <c r="I126" s="34"/>
      <c r="J126" s="34">
        <f t="shared" si="50"/>
        <v>0</v>
      </c>
      <c r="K126" s="34">
        <v>15999</v>
      </c>
      <c r="L126" s="34">
        <v>15999</v>
      </c>
      <c r="M126" s="34">
        <f t="shared" si="51"/>
        <v>0</v>
      </c>
      <c r="N126" s="34"/>
      <c r="O126" s="34"/>
      <c r="P126" s="34">
        <f t="shared" si="52"/>
        <v>0</v>
      </c>
      <c r="Q126" s="34"/>
      <c r="R126" s="34"/>
      <c r="S126" s="34">
        <f t="shared" si="53"/>
        <v>0</v>
      </c>
      <c r="T126" s="34"/>
      <c r="U126" s="34"/>
      <c r="V126" s="34">
        <f t="shared" si="54"/>
        <v>0</v>
      </c>
      <c r="W126" s="34"/>
      <c r="X126" s="34"/>
      <c r="Y126" s="34">
        <f t="shared" si="55"/>
        <v>0</v>
      </c>
      <c r="Z126" s="34"/>
      <c r="AA126" s="34"/>
      <c r="AB126" s="34">
        <f t="shared" si="56"/>
        <v>0</v>
      </c>
    </row>
    <row r="127" spans="1:28" s="28" customFormat="1" x14ac:dyDescent="0.25">
      <c r="A127" s="41" t="s">
        <v>129</v>
      </c>
      <c r="B127" s="34">
        <f t="shared" si="66"/>
        <v>13998</v>
      </c>
      <c r="C127" s="34">
        <f t="shared" si="66"/>
        <v>13998</v>
      </c>
      <c r="D127" s="34">
        <f t="shared" si="66"/>
        <v>0</v>
      </c>
      <c r="E127" s="34"/>
      <c r="F127" s="34"/>
      <c r="G127" s="34">
        <f t="shared" si="67"/>
        <v>0</v>
      </c>
      <c r="H127" s="34"/>
      <c r="I127" s="34"/>
      <c r="J127" s="34">
        <f t="shared" si="50"/>
        <v>0</v>
      </c>
      <c r="K127" s="34">
        <v>13998</v>
      </c>
      <c r="L127" s="34">
        <v>13998</v>
      </c>
      <c r="M127" s="34">
        <f t="shared" si="51"/>
        <v>0</v>
      </c>
      <c r="N127" s="34"/>
      <c r="O127" s="34"/>
      <c r="P127" s="34">
        <f t="shared" si="52"/>
        <v>0</v>
      </c>
      <c r="Q127" s="34"/>
      <c r="R127" s="34"/>
      <c r="S127" s="34">
        <f t="shared" si="53"/>
        <v>0</v>
      </c>
      <c r="T127" s="34"/>
      <c r="U127" s="34"/>
      <c r="V127" s="34">
        <f t="shared" si="54"/>
        <v>0</v>
      </c>
      <c r="W127" s="34"/>
      <c r="X127" s="34"/>
      <c r="Y127" s="34">
        <f t="shared" si="55"/>
        <v>0</v>
      </c>
      <c r="Z127" s="34"/>
      <c r="AA127" s="34"/>
      <c r="AB127" s="34">
        <f t="shared" si="56"/>
        <v>0</v>
      </c>
    </row>
    <row r="128" spans="1:28" s="28" customFormat="1" x14ac:dyDescent="0.25">
      <c r="A128" s="41" t="s">
        <v>130</v>
      </c>
      <c r="B128" s="34">
        <f t="shared" si="66"/>
        <v>13998</v>
      </c>
      <c r="C128" s="34">
        <f t="shared" si="66"/>
        <v>13998</v>
      </c>
      <c r="D128" s="34">
        <f t="shared" si="66"/>
        <v>0</v>
      </c>
      <c r="E128" s="34"/>
      <c r="F128" s="34"/>
      <c r="G128" s="34">
        <f t="shared" si="67"/>
        <v>0</v>
      </c>
      <c r="H128" s="34"/>
      <c r="I128" s="34"/>
      <c r="J128" s="34">
        <f t="shared" si="50"/>
        <v>0</v>
      </c>
      <c r="K128" s="34">
        <v>13998</v>
      </c>
      <c r="L128" s="34">
        <v>13998</v>
      </c>
      <c r="M128" s="34">
        <f t="shared" si="51"/>
        <v>0</v>
      </c>
      <c r="N128" s="34"/>
      <c r="O128" s="34"/>
      <c r="P128" s="34">
        <f t="shared" si="52"/>
        <v>0</v>
      </c>
      <c r="Q128" s="34"/>
      <c r="R128" s="34"/>
      <c r="S128" s="34">
        <f t="shared" si="53"/>
        <v>0</v>
      </c>
      <c r="T128" s="34"/>
      <c r="U128" s="34"/>
      <c r="V128" s="34">
        <f t="shared" si="54"/>
        <v>0</v>
      </c>
      <c r="W128" s="34"/>
      <c r="X128" s="34"/>
      <c r="Y128" s="34">
        <f t="shared" si="55"/>
        <v>0</v>
      </c>
      <c r="Z128" s="34"/>
      <c r="AA128" s="34"/>
      <c r="AB128" s="34">
        <f t="shared" si="56"/>
        <v>0</v>
      </c>
    </row>
    <row r="129" spans="1:28" s="28" customFormat="1" x14ac:dyDescent="0.25">
      <c r="A129" s="41" t="s">
        <v>103</v>
      </c>
      <c r="B129" s="34">
        <f t="shared" si="66"/>
        <v>13998</v>
      </c>
      <c r="C129" s="34">
        <f t="shared" si="66"/>
        <v>13998</v>
      </c>
      <c r="D129" s="34">
        <f t="shared" si="66"/>
        <v>0</v>
      </c>
      <c r="E129" s="34"/>
      <c r="F129" s="34"/>
      <c r="G129" s="34">
        <f t="shared" si="67"/>
        <v>0</v>
      </c>
      <c r="H129" s="34"/>
      <c r="I129" s="34"/>
      <c r="J129" s="34">
        <f t="shared" si="50"/>
        <v>0</v>
      </c>
      <c r="K129" s="34">
        <v>13998</v>
      </c>
      <c r="L129" s="34">
        <v>13998</v>
      </c>
      <c r="M129" s="34">
        <f t="shared" si="51"/>
        <v>0</v>
      </c>
      <c r="N129" s="34"/>
      <c r="O129" s="34"/>
      <c r="P129" s="34">
        <f t="shared" si="52"/>
        <v>0</v>
      </c>
      <c r="Q129" s="34"/>
      <c r="R129" s="34"/>
      <c r="S129" s="34">
        <f t="shared" si="53"/>
        <v>0</v>
      </c>
      <c r="T129" s="34"/>
      <c r="U129" s="34"/>
      <c r="V129" s="34">
        <f t="shared" si="54"/>
        <v>0</v>
      </c>
      <c r="W129" s="34"/>
      <c r="X129" s="34"/>
      <c r="Y129" s="34">
        <f t="shared" si="55"/>
        <v>0</v>
      </c>
      <c r="Z129" s="34"/>
      <c r="AA129" s="34"/>
      <c r="AB129" s="34">
        <f t="shared" si="56"/>
        <v>0</v>
      </c>
    </row>
    <row r="130" spans="1:28" s="28" customFormat="1" x14ac:dyDescent="0.25">
      <c r="A130" s="41" t="s">
        <v>105</v>
      </c>
      <c r="B130" s="34">
        <f t="shared" si="66"/>
        <v>13998</v>
      </c>
      <c r="C130" s="34">
        <f t="shared" si="66"/>
        <v>13998</v>
      </c>
      <c r="D130" s="34">
        <f t="shared" si="66"/>
        <v>0</v>
      </c>
      <c r="E130" s="34"/>
      <c r="F130" s="34"/>
      <c r="G130" s="34">
        <f t="shared" si="67"/>
        <v>0</v>
      </c>
      <c r="H130" s="34"/>
      <c r="I130" s="34"/>
      <c r="J130" s="34">
        <f t="shared" si="50"/>
        <v>0</v>
      </c>
      <c r="K130" s="34">
        <v>13998</v>
      </c>
      <c r="L130" s="34">
        <v>13998</v>
      </c>
      <c r="M130" s="34">
        <f t="shared" si="51"/>
        <v>0</v>
      </c>
      <c r="N130" s="34"/>
      <c r="O130" s="34"/>
      <c r="P130" s="34">
        <f t="shared" si="52"/>
        <v>0</v>
      </c>
      <c r="Q130" s="34"/>
      <c r="R130" s="34"/>
      <c r="S130" s="34">
        <f t="shared" si="53"/>
        <v>0</v>
      </c>
      <c r="T130" s="34"/>
      <c r="U130" s="34"/>
      <c r="V130" s="34">
        <f t="shared" si="54"/>
        <v>0</v>
      </c>
      <c r="W130" s="34"/>
      <c r="X130" s="34"/>
      <c r="Y130" s="34">
        <f t="shared" si="55"/>
        <v>0</v>
      </c>
      <c r="Z130" s="34"/>
      <c r="AA130" s="34"/>
      <c r="AB130" s="34">
        <f t="shared" si="56"/>
        <v>0</v>
      </c>
    </row>
    <row r="131" spans="1:28" s="28" customFormat="1" x14ac:dyDescent="0.25">
      <c r="A131" s="41" t="s">
        <v>131</v>
      </c>
      <c r="B131" s="34">
        <f t="shared" si="66"/>
        <v>15999</v>
      </c>
      <c r="C131" s="34">
        <f t="shared" si="66"/>
        <v>15999</v>
      </c>
      <c r="D131" s="34">
        <f t="shared" si="66"/>
        <v>0</v>
      </c>
      <c r="E131" s="34"/>
      <c r="F131" s="34"/>
      <c r="G131" s="34">
        <f t="shared" si="67"/>
        <v>0</v>
      </c>
      <c r="H131" s="34"/>
      <c r="I131" s="34"/>
      <c r="J131" s="34">
        <f t="shared" si="50"/>
        <v>0</v>
      </c>
      <c r="K131" s="34">
        <v>15999</v>
      </c>
      <c r="L131" s="34">
        <v>15999</v>
      </c>
      <c r="M131" s="34">
        <f t="shared" si="51"/>
        <v>0</v>
      </c>
      <c r="N131" s="34"/>
      <c r="O131" s="34"/>
      <c r="P131" s="34">
        <f t="shared" si="52"/>
        <v>0</v>
      </c>
      <c r="Q131" s="34"/>
      <c r="R131" s="34"/>
      <c r="S131" s="34">
        <f t="shared" si="53"/>
        <v>0</v>
      </c>
      <c r="T131" s="34"/>
      <c r="U131" s="34"/>
      <c r="V131" s="34">
        <f t="shared" si="54"/>
        <v>0</v>
      </c>
      <c r="W131" s="34"/>
      <c r="X131" s="34"/>
      <c r="Y131" s="34">
        <f t="shared" si="55"/>
        <v>0</v>
      </c>
      <c r="Z131" s="34"/>
      <c r="AA131" s="34"/>
      <c r="AB131" s="34">
        <f t="shared" si="56"/>
        <v>0</v>
      </c>
    </row>
    <row r="132" spans="1:28" s="28" customFormat="1" x14ac:dyDescent="0.25">
      <c r="A132" s="41" t="s">
        <v>132</v>
      </c>
      <c r="B132" s="34">
        <f t="shared" si="66"/>
        <v>10998</v>
      </c>
      <c r="C132" s="34">
        <f t="shared" si="66"/>
        <v>10998</v>
      </c>
      <c r="D132" s="34">
        <f t="shared" si="66"/>
        <v>0</v>
      </c>
      <c r="E132" s="34"/>
      <c r="F132" s="34"/>
      <c r="G132" s="34">
        <f t="shared" si="67"/>
        <v>0</v>
      </c>
      <c r="H132" s="34"/>
      <c r="I132" s="34"/>
      <c r="J132" s="34">
        <f t="shared" si="50"/>
        <v>0</v>
      </c>
      <c r="K132" s="34">
        <v>10998</v>
      </c>
      <c r="L132" s="34">
        <v>10998</v>
      </c>
      <c r="M132" s="34">
        <f t="shared" si="51"/>
        <v>0</v>
      </c>
      <c r="N132" s="34"/>
      <c r="O132" s="34"/>
      <c r="P132" s="34">
        <f t="shared" si="52"/>
        <v>0</v>
      </c>
      <c r="Q132" s="34"/>
      <c r="R132" s="34"/>
      <c r="S132" s="34">
        <f t="shared" si="53"/>
        <v>0</v>
      </c>
      <c r="T132" s="34"/>
      <c r="U132" s="34"/>
      <c r="V132" s="34">
        <f t="shared" si="54"/>
        <v>0</v>
      </c>
      <c r="W132" s="34"/>
      <c r="X132" s="34"/>
      <c r="Y132" s="34">
        <f t="shared" si="55"/>
        <v>0</v>
      </c>
      <c r="Z132" s="34"/>
      <c r="AA132" s="34"/>
      <c r="AB132" s="34">
        <f t="shared" si="56"/>
        <v>0</v>
      </c>
    </row>
    <row r="133" spans="1:28" s="28" customFormat="1" x14ac:dyDescent="0.25">
      <c r="A133" s="41" t="s">
        <v>108</v>
      </c>
      <c r="B133" s="34">
        <f t="shared" si="66"/>
        <v>15999</v>
      </c>
      <c r="C133" s="34">
        <f t="shared" si="66"/>
        <v>15999</v>
      </c>
      <c r="D133" s="34">
        <f t="shared" si="66"/>
        <v>0</v>
      </c>
      <c r="E133" s="34"/>
      <c r="F133" s="34"/>
      <c r="G133" s="34">
        <f t="shared" si="67"/>
        <v>0</v>
      </c>
      <c r="H133" s="34"/>
      <c r="I133" s="34"/>
      <c r="J133" s="34">
        <f t="shared" si="50"/>
        <v>0</v>
      </c>
      <c r="K133" s="34">
        <v>15999</v>
      </c>
      <c r="L133" s="34">
        <v>15999</v>
      </c>
      <c r="M133" s="34">
        <f t="shared" si="51"/>
        <v>0</v>
      </c>
      <c r="N133" s="34"/>
      <c r="O133" s="34"/>
      <c r="P133" s="34">
        <f t="shared" si="52"/>
        <v>0</v>
      </c>
      <c r="Q133" s="34"/>
      <c r="R133" s="34"/>
      <c r="S133" s="34">
        <f t="shared" si="53"/>
        <v>0</v>
      </c>
      <c r="T133" s="34"/>
      <c r="U133" s="34"/>
      <c r="V133" s="34">
        <f t="shared" si="54"/>
        <v>0</v>
      </c>
      <c r="W133" s="34"/>
      <c r="X133" s="34"/>
      <c r="Y133" s="34">
        <f t="shared" si="55"/>
        <v>0</v>
      </c>
      <c r="Z133" s="34"/>
      <c r="AA133" s="34"/>
      <c r="AB133" s="34">
        <f t="shared" si="56"/>
        <v>0</v>
      </c>
    </row>
    <row r="134" spans="1:28" s="28" customFormat="1" x14ac:dyDescent="0.25">
      <c r="A134" s="41" t="s">
        <v>133</v>
      </c>
      <c r="B134" s="34">
        <f t="shared" si="66"/>
        <v>13998</v>
      </c>
      <c r="C134" s="34">
        <f t="shared" si="66"/>
        <v>13998</v>
      </c>
      <c r="D134" s="34">
        <f t="shared" si="66"/>
        <v>0</v>
      </c>
      <c r="E134" s="34"/>
      <c r="F134" s="34"/>
      <c r="G134" s="34">
        <f t="shared" si="67"/>
        <v>0</v>
      </c>
      <c r="H134" s="34"/>
      <c r="I134" s="34"/>
      <c r="J134" s="34">
        <f t="shared" si="50"/>
        <v>0</v>
      </c>
      <c r="K134" s="34">
        <v>13998</v>
      </c>
      <c r="L134" s="34">
        <v>13998</v>
      </c>
      <c r="M134" s="34">
        <f t="shared" si="51"/>
        <v>0</v>
      </c>
      <c r="N134" s="34"/>
      <c r="O134" s="34"/>
      <c r="P134" s="34">
        <f t="shared" si="52"/>
        <v>0</v>
      </c>
      <c r="Q134" s="34"/>
      <c r="R134" s="34"/>
      <c r="S134" s="34">
        <f t="shared" si="53"/>
        <v>0</v>
      </c>
      <c r="T134" s="34"/>
      <c r="U134" s="34"/>
      <c r="V134" s="34">
        <f t="shared" si="54"/>
        <v>0</v>
      </c>
      <c r="W134" s="34"/>
      <c r="X134" s="34"/>
      <c r="Y134" s="34">
        <f t="shared" si="55"/>
        <v>0</v>
      </c>
      <c r="Z134" s="34"/>
      <c r="AA134" s="34"/>
      <c r="AB134" s="34">
        <f t="shared" si="56"/>
        <v>0</v>
      </c>
    </row>
    <row r="135" spans="1:28" s="28" customFormat="1" x14ac:dyDescent="0.25">
      <c r="A135" s="41" t="s">
        <v>134</v>
      </c>
      <c r="B135" s="34">
        <f t="shared" si="66"/>
        <v>13998</v>
      </c>
      <c r="C135" s="34">
        <f t="shared" si="66"/>
        <v>13998</v>
      </c>
      <c r="D135" s="34">
        <f t="shared" si="66"/>
        <v>0</v>
      </c>
      <c r="E135" s="34"/>
      <c r="F135" s="34"/>
      <c r="G135" s="34">
        <f t="shared" si="67"/>
        <v>0</v>
      </c>
      <c r="H135" s="34"/>
      <c r="I135" s="34"/>
      <c r="J135" s="34">
        <f t="shared" si="50"/>
        <v>0</v>
      </c>
      <c r="K135" s="34">
        <v>13998</v>
      </c>
      <c r="L135" s="34">
        <v>13998</v>
      </c>
      <c r="M135" s="34">
        <f t="shared" si="51"/>
        <v>0</v>
      </c>
      <c r="N135" s="34"/>
      <c r="O135" s="34"/>
      <c r="P135" s="34">
        <f t="shared" si="52"/>
        <v>0</v>
      </c>
      <c r="Q135" s="34"/>
      <c r="R135" s="34"/>
      <c r="S135" s="34">
        <f t="shared" si="53"/>
        <v>0</v>
      </c>
      <c r="T135" s="34"/>
      <c r="U135" s="34"/>
      <c r="V135" s="34">
        <f t="shared" si="54"/>
        <v>0</v>
      </c>
      <c r="W135" s="34"/>
      <c r="X135" s="34"/>
      <c r="Y135" s="34">
        <f t="shared" si="55"/>
        <v>0</v>
      </c>
      <c r="Z135" s="34"/>
      <c r="AA135" s="34"/>
      <c r="AB135" s="34">
        <f t="shared" si="56"/>
        <v>0</v>
      </c>
    </row>
    <row r="136" spans="1:28" s="28" customFormat="1" x14ac:dyDescent="0.25">
      <c r="A136" s="41" t="s">
        <v>113</v>
      </c>
      <c r="B136" s="34">
        <f t="shared" si="66"/>
        <v>15999</v>
      </c>
      <c r="C136" s="34">
        <f t="shared" si="66"/>
        <v>15999</v>
      </c>
      <c r="D136" s="34">
        <f t="shared" si="66"/>
        <v>0</v>
      </c>
      <c r="E136" s="34"/>
      <c r="F136" s="34"/>
      <c r="G136" s="34">
        <f t="shared" si="67"/>
        <v>0</v>
      </c>
      <c r="H136" s="34"/>
      <c r="I136" s="34"/>
      <c r="J136" s="34">
        <f t="shared" si="50"/>
        <v>0</v>
      </c>
      <c r="K136" s="34">
        <v>15999</v>
      </c>
      <c r="L136" s="34">
        <v>15999</v>
      </c>
      <c r="M136" s="34">
        <f t="shared" si="51"/>
        <v>0</v>
      </c>
      <c r="N136" s="34"/>
      <c r="O136" s="34"/>
      <c r="P136" s="34">
        <f t="shared" si="52"/>
        <v>0</v>
      </c>
      <c r="Q136" s="34"/>
      <c r="R136" s="34"/>
      <c r="S136" s="34">
        <f t="shared" si="53"/>
        <v>0</v>
      </c>
      <c r="T136" s="34"/>
      <c r="U136" s="34"/>
      <c r="V136" s="34">
        <f t="shared" si="54"/>
        <v>0</v>
      </c>
      <c r="W136" s="34"/>
      <c r="X136" s="34"/>
      <c r="Y136" s="34">
        <f t="shared" si="55"/>
        <v>0</v>
      </c>
      <c r="Z136" s="34"/>
      <c r="AA136" s="34"/>
      <c r="AB136" s="34">
        <f t="shared" si="56"/>
        <v>0</v>
      </c>
    </row>
    <row r="137" spans="1:28" s="28" customFormat="1" x14ac:dyDescent="0.25">
      <c r="A137" s="41" t="s">
        <v>135</v>
      </c>
      <c r="B137" s="34">
        <f t="shared" si="66"/>
        <v>10998</v>
      </c>
      <c r="C137" s="34">
        <f t="shared" si="66"/>
        <v>10998</v>
      </c>
      <c r="D137" s="34">
        <f t="shared" si="66"/>
        <v>0</v>
      </c>
      <c r="E137" s="34"/>
      <c r="F137" s="34"/>
      <c r="G137" s="34">
        <f t="shared" si="67"/>
        <v>0</v>
      </c>
      <c r="H137" s="34"/>
      <c r="I137" s="34">
        <v>10998</v>
      </c>
      <c r="J137" s="34">
        <f t="shared" si="50"/>
        <v>10998</v>
      </c>
      <c r="K137" s="34">
        <v>10998</v>
      </c>
      <c r="L137" s="34">
        <v>0</v>
      </c>
      <c r="M137" s="34">
        <f t="shared" si="51"/>
        <v>-10998</v>
      </c>
      <c r="N137" s="34"/>
      <c r="O137" s="34"/>
      <c r="P137" s="34">
        <f t="shared" si="52"/>
        <v>0</v>
      </c>
      <c r="Q137" s="34"/>
      <c r="R137" s="34"/>
      <c r="S137" s="34">
        <f t="shared" si="53"/>
        <v>0</v>
      </c>
      <c r="T137" s="34"/>
      <c r="U137" s="34"/>
      <c r="V137" s="34">
        <f t="shared" si="54"/>
        <v>0</v>
      </c>
      <c r="W137" s="34"/>
      <c r="X137" s="34"/>
      <c r="Y137" s="34">
        <f t="shared" si="55"/>
        <v>0</v>
      </c>
      <c r="Z137" s="34"/>
      <c r="AA137" s="34"/>
      <c r="AB137" s="34">
        <f t="shared" si="56"/>
        <v>0</v>
      </c>
    </row>
    <row r="138" spans="1:28" s="28" customFormat="1" x14ac:dyDescent="0.25">
      <c r="A138" s="41" t="s">
        <v>115</v>
      </c>
      <c r="B138" s="34">
        <f t="shared" si="66"/>
        <v>13998</v>
      </c>
      <c r="C138" s="34">
        <f t="shared" si="66"/>
        <v>13998</v>
      </c>
      <c r="D138" s="34">
        <f t="shared" si="66"/>
        <v>0</v>
      </c>
      <c r="E138" s="34"/>
      <c r="F138" s="34"/>
      <c r="G138" s="34">
        <f t="shared" si="67"/>
        <v>0</v>
      </c>
      <c r="H138" s="34"/>
      <c r="I138" s="34"/>
      <c r="J138" s="34">
        <f t="shared" si="50"/>
        <v>0</v>
      </c>
      <c r="K138" s="34">
        <v>13998</v>
      </c>
      <c r="L138" s="34">
        <v>13998</v>
      </c>
      <c r="M138" s="34">
        <f t="shared" si="51"/>
        <v>0</v>
      </c>
      <c r="N138" s="34"/>
      <c r="O138" s="34"/>
      <c r="P138" s="34">
        <f t="shared" si="52"/>
        <v>0</v>
      </c>
      <c r="Q138" s="34"/>
      <c r="R138" s="34"/>
      <c r="S138" s="34">
        <f t="shared" si="53"/>
        <v>0</v>
      </c>
      <c r="T138" s="34"/>
      <c r="U138" s="34"/>
      <c r="V138" s="34">
        <f t="shared" si="54"/>
        <v>0</v>
      </c>
      <c r="W138" s="34"/>
      <c r="X138" s="34"/>
      <c r="Y138" s="34">
        <f t="shared" si="55"/>
        <v>0</v>
      </c>
      <c r="Z138" s="34"/>
      <c r="AA138" s="34"/>
      <c r="AB138" s="34">
        <f t="shared" si="56"/>
        <v>0</v>
      </c>
    </row>
    <row r="139" spans="1:28" s="28" customFormat="1" x14ac:dyDescent="0.25">
      <c r="A139" s="41" t="s">
        <v>116</v>
      </c>
      <c r="B139" s="34">
        <f t="shared" si="66"/>
        <v>10998</v>
      </c>
      <c r="C139" s="34">
        <f t="shared" si="66"/>
        <v>10998</v>
      </c>
      <c r="D139" s="34">
        <f t="shared" si="66"/>
        <v>0</v>
      </c>
      <c r="E139" s="34"/>
      <c r="F139" s="34"/>
      <c r="G139" s="34">
        <f t="shared" si="67"/>
        <v>0</v>
      </c>
      <c r="H139" s="34"/>
      <c r="I139" s="34"/>
      <c r="J139" s="34">
        <f t="shared" si="50"/>
        <v>0</v>
      </c>
      <c r="K139" s="34">
        <v>10998</v>
      </c>
      <c r="L139" s="34">
        <v>10998</v>
      </c>
      <c r="M139" s="34">
        <f t="shared" si="51"/>
        <v>0</v>
      </c>
      <c r="N139" s="34"/>
      <c r="O139" s="34"/>
      <c r="P139" s="34">
        <f t="shared" si="52"/>
        <v>0</v>
      </c>
      <c r="Q139" s="34"/>
      <c r="R139" s="34"/>
      <c r="S139" s="34">
        <f t="shared" si="53"/>
        <v>0</v>
      </c>
      <c r="T139" s="34"/>
      <c r="U139" s="34"/>
      <c r="V139" s="34">
        <f t="shared" si="54"/>
        <v>0</v>
      </c>
      <c r="W139" s="34"/>
      <c r="X139" s="34"/>
      <c r="Y139" s="34">
        <f t="shared" si="55"/>
        <v>0</v>
      </c>
      <c r="Z139" s="34"/>
      <c r="AA139" s="34"/>
      <c r="AB139" s="34">
        <f t="shared" si="56"/>
        <v>0</v>
      </c>
    </row>
    <row r="140" spans="1:28" s="28" customFormat="1" x14ac:dyDescent="0.25">
      <c r="A140" s="41" t="s">
        <v>136</v>
      </c>
      <c r="B140" s="34">
        <f t="shared" si="66"/>
        <v>10998</v>
      </c>
      <c r="C140" s="34">
        <f t="shared" si="66"/>
        <v>10998</v>
      </c>
      <c r="D140" s="34">
        <f t="shared" si="66"/>
        <v>0</v>
      </c>
      <c r="E140" s="34"/>
      <c r="F140" s="34"/>
      <c r="G140" s="34">
        <f t="shared" si="67"/>
        <v>0</v>
      </c>
      <c r="H140" s="34"/>
      <c r="I140" s="34"/>
      <c r="J140" s="34">
        <f t="shared" si="50"/>
        <v>0</v>
      </c>
      <c r="K140" s="34">
        <v>10998</v>
      </c>
      <c r="L140" s="34">
        <v>10998</v>
      </c>
      <c r="M140" s="34">
        <f t="shared" si="51"/>
        <v>0</v>
      </c>
      <c r="N140" s="34"/>
      <c r="O140" s="34"/>
      <c r="P140" s="34">
        <f t="shared" si="52"/>
        <v>0</v>
      </c>
      <c r="Q140" s="34"/>
      <c r="R140" s="34"/>
      <c r="S140" s="34">
        <f t="shared" si="53"/>
        <v>0</v>
      </c>
      <c r="T140" s="34"/>
      <c r="U140" s="34"/>
      <c r="V140" s="34">
        <f t="shared" si="54"/>
        <v>0</v>
      </c>
      <c r="W140" s="34"/>
      <c r="X140" s="34"/>
      <c r="Y140" s="34">
        <f t="shared" si="55"/>
        <v>0</v>
      </c>
      <c r="Z140" s="34"/>
      <c r="AA140" s="34"/>
      <c r="AB140" s="34">
        <f t="shared" si="56"/>
        <v>0</v>
      </c>
    </row>
    <row r="141" spans="1:28" s="28" customFormat="1" x14ac:dyDescent="0.25">
      <c r="A141" s="41" t="s">
        <v>118</v>
      </c>
      <c r="B141" s="34">
        <f t="shared" si="66"/>
        <v>4000</v>
      </c>
      <c r="C141" s="34">
        <f t="shared" si="66"/>
        <v>4000</v>
      </c>
      <c r="D141" s="34">
        <f t="shared" si="66"/>
        <v>0</v>
      </c>
      <c r="E141" s="34"/>
      <c r="F141" s="34"/>
      <c r="G141" s="34">
        <f t="shared" si="67"/>
        <v>0</v>
      </c>
      <c r="H141" s="34"/>
      <c r="I141" s="34"/>
      <c r="J141" s="34">
        <f t="shared" si="50"/>
        <v>0</v>
      </c>
      <c r="K141" s="34">
        <v>4000</v>
      </c>
      <c r="L141" s="34">
        <v>4000</v>
      </c>
      <c r="M141" s="34">
        <f t="shared" si="51"/>
        <v>0</v>
      </c>
      <c r="N141" s="34"/>
      <c r="O141" s="34"/>
      <c r="P141" s="34">
        <f t="shared" si="52"/>
        <v>0</v>
      </c>
      <c r="Q141" s="34"/>
      <c r="R141" s="34"/>
      <c r="S141" s="34">
        <f t="shared" si="53"/>
        <v>0</v>
      </c>
      <c r="T141" s="34"/>
      <c r="U141" s="34"/>
      <c r="V141" s="34">
        <f t="shared" si="54"/>
        <v>0</v>
      </c>
      <c r="W141" s="34"/>
      <c r="X141" s="34"/>
      <c r="Y141" s="34">
        <f t="shared" si="55"/>
        <v>0</v>
      </c>
      <c r="Z141" s="34"/>
      <c r="AA141" s="34"/>
      <c r="AB141" s="34">
        <f t="shared" si="56"/>
        <v>0</v>
      </c>
    </row>
    <row r="142" spans="1:28" s="28" customFormat="1" x14ac:dyDescent="0.25">
      <c r="A142" s="41" t="s">
        <v>119</v>
      </c>
      <c r="B142" s="34">
        <f t="shared" si="66"/>
        <v>9000</v>
      </c>
      <c r="C142" s="34">
        <f t="shared" si="66"/>
        <v>9000</v>
      </c>
      <c r="D142" s="34">
        <f t="shared" si="66"/>
        <v>0</v>
      </c>
      <c r="E142" s="34"/>
      <c r="F142" s="34"/>
      <c r="G142" s="34">
        <f t="shared" si="67"/>
        <v>0</v>
      </c>
      <c r="H142" s="34"/>
      <c r="I142" s="34"/>
      <c r="J142" s="34">
        <f t="shared" si="50"/>
        <v>0</v>
      </c>
      <c r="K142" s="34">
        <v>9000</v>
      </c>
      <c r="L142" s="34">
        <v>9000</v>
      </c>
      <c r="M142" s="34">
        <f t="shared" si="51"/>
        <v>0</v>
      </c>
      <c r="N142" s="34"/>
      <c r="O142" s="34"/>
      <c r="P142" s="34">
        <f t="shared" si="52"/>
        <v>0</v>
      </c>
      <c r="Q142" s="34"/>
      <c r="R142" s="34"/>
      <c r="S142" s="34">
        <f t="shared" si="53"/>
        <v>0</v>
      </c>
      <c r="T142" s="34"/>
      <c r="U142" s="34"/>
      <c r="V142" s="34">
        <f t="shared" si="54"/>
        <v>0</v>
      </c>
      <c r="W142" s="34"/>
      <c r="X142" s="34"/>
      <c r="Y142" s="34">
        <f t="shared" si="55"/>
        <v>0</v>
      </c>
      <c r="Z142" s="34"/>
      <c r="AA142" s="34"/>
      <c r="AB142" s="34">
        <f t="shared" si="56"/>
        <v>0</v>
      </c>
    </row>
    <row r="143" spans="1:28" s="28" customFormat="1" x14ac:dyDescent="0.25">
      <c r="A143" s="41" t="s">
        <v>120</v>
      </c>
      <c r="B143" s="34">
        <f t="shared" si="66"/>
        <v>10998</v>
      </c>
      <c r="C143" s="34">
        <f t="shared" si="66"/>
        <v>10996</v>
      </c>
      <c r="D143" s="34">
        <f t="shared" si="66"/>
        <v>-2</v>
      </c>
      <c r="E143" s="34"/>
      <c r="F143" s="34"/>
      <c r="G143" s="34">
        <f t="shared" si="67"/>
        <v>0</v>
      </c>
      <c r="H143" s="34"/>
      <c r="I143" s="34">
        <v>10996</v>
      </c>
      <c r="J143" s="34">
        <f t="shared" si="50"/>
        <v>10996</v>
      </c>
      <c r="K143" s="34">
        <v>10998</v>
      </c>
      <c r="L143" s="34">
        <v>0</v>
      </c>
      <c r="M143" s="34">
        <f t="shared" si="51"/>
        <v>-10998</v>
      </c>
      <c r="N143" s="34"/>
      <c r="O143" s="34"/>
      <c r="P143" s="34">
        <f t="shared" si="52"/>
        <v>0</v>
      </c>
      <c r="Q143" s="34"/>
      <c r="R143" s="34"/>
      <c r="S143" s="34">
        <f t="shared" si="53"/>
        <v>0</v>
      </c>
      <c r="T143" s="34"/>
      <c r="U143" s="34"/>
      <c r="V143" s="34">
        <f t="shared" si="54"/>
        <v>0</v>
      </c>
      <c r="W143" s="34"/>
      <c r="X143" s="34"/>
      <c r="Y143" s="34">
        <f t="shared" si="55"/>
        <v>0</v>
      </c>
      <c r="Z143" s="34"/>
      <c r="AA143" s="34"/>
      <c r="AB143" s="34">
        <f t="shared" si="56"/>
        <v>0</v>
      </c>
    </row>
    <row r="144" spans="1:28" s="28" customFormat="1" x14ac:dyDescent="0.25">
      <c r="A144" s="41" t="s">
        <v>121</v>
      </c>
      <c r="B144" s="34">
        <f t="shared" si="66"/>
        <v>17000</v>
      </c>
      <c r="C144" s="34">
        <f t="shared" si="66"/>
        <v>17000</v>
      </c>
      <c r="D144" s="34">
        <f t="shared" si="66"/>
        <v>0</v>
      </c>
      <c r="E144" s="34"/>
      <c r="F144" s="34"/>
      <c r="G144" s="34">
        <f t="shared" si="67"/>
        <v>0</v>
      </c>
      <c r="H144" s="34"/>
      <c r="I144" s="34"/>
      <c r="J144" s="34">
        <f t="shared" si="50"/>
        <v>0</v>
      </c>
      <c r="K144" s="34">
        <v>17000</v>
      </c>
      <c r="L144" s="34">
        <v>17000</v>
      </c>
      <c r="M144" s="34">
        <f t="shared" si="51"/>
        <v>0</v>
      </c>
      <c r="N144" s="34"/>
      <c r="O144" s="34"/>
      <c r="P144" s="34">
        <f t="shared" si="52"/>
        <v>0</v>
      </c>
      <c r="Q144" s="34"/>
      <c r="R144" s="34"/>
      <c r="S144" s="34">
        <f t="shared" si="53"/>
        <v>0</v>
      </c>
      <c r="T144" s="34"/>
      <c r="U144" s="34"/>
      <c r="V144" s="34">
        <f t="shared" si="54"/>
        <v>0</v>
      </c>
      <c r="W144" s="34"/>
      <c r="X144" s="34"/>
      <c r="Y144" s="34">
        <f t="shared" si="55"/>
        <v>0</v>
      </c>
      <c r="Z144" s="34"/>
      <c r="AA144" s="34"/>
      <c r="AB144" s="34">
        <f t="shared" si="56"/>
        <v>0</v>
      </c>
    </row>
    <row r="145" spans="1:189" s="28" customFormat="1" x14ac:dyDescent="0.25">
      <c r="A145" s="41" t="s">
        <v>137</v>
      </c>
      <c r="B145" s="34">
        <f t="shared" ref="B145:D230" si="75">E145+H145+K145+N145+Q145+T145+Z145+W145</f>
        <v>16999</v>
      </c>
      <c r="C145" s="34">
        <f t="shared" si="75"/>
        <v>16999</v>
      </c>
      <c r="D145" s="34">
        <f t="shared" si="75"/>
        <v>0</v>
      </c>
      <c r="E145" s="34"/>
      <c r="F145" s="34"/>
      <c r="G145" s="34">
        <f t="shared" si="67"/>
        <v>0</v>
      </c>
      <c r="H145" s="34"/>
      <c r="I145" s="34"/>
      <c r="J145" s="34">
        <f t="shared" si="50"/>
        <v>0</v>
      </c>
      <c r="K145" s="34">
        <v>16999</v>
      </c>
      <c r="L145" s="34">
        <v>16999</v>
      </c>
      <c r="M145" s="34">
        <f t="shared" si="51"/>
        <v>0</v>
      </c>
      <c r="N145" s="34"/>
      <c r="O145" s="34"/>
      <c r="P145" s="34">
        <f t="shared" si="52"/>
        <v>0</v>
      </c>
      <c r="Q145" s="34"/>
      <c r="R145" s="34"/>
      <c r="S145" s="34">
        <f t="shared" si="53"/>
        <v>0</v>
      </c>
      <c r="T145" s="34"/>
      <c r="U145" s="34"/>
      <c r="V145" s="34">
        <f t="shared" si="54"/>
        <v>0</v>
      </c>
      <c r="W145" s="34"/>
      <c r="X145" s="34"/>
      <c r="Y145" s="34">
        <f t="shared" si="55"/>
        <v>0</v>
      </c>
      <c r="Z145" s="34"/>
      <c r="AA145" s="34"/>
      <c r="AB145" s="34">
        <f t="shared" si="56"/>
        <v>0</v>
      </c>
    </row>
    <row r="146" spans="1:189" s="28" customFormat="1" x14ac:dyDescent="0.25">
      <c r="A146" s="41" t="s">
        <v>138</v>
      </c>
      <c r="B146" s="34">
        <f t="shared" si="75"/>
        <v>17000</v>
      </c>
      <c r="C146" s="34">
        <f t="shared" si="75"/>
        <v>17000</v>
      </c>
      <c r="D146" s="34">
        <f t="shared" si="75"/>
        <v>0</v>
      </c>
      <c r="E146" s="34"/>
      <c r="F146" s="34"/>
      <c r="G146" s="34">
        <f t="shared" si="67"/>
        <v>0</v>
      </c>
      <c r="H146" s="34"/>
      <c r="I146" s="34">
        <v>9471</v>
      </c>
      <c r="J146" s="34">
        <f t="shared" si="50"/>
        <v>9471</v>
      </c>
      <c r="K146" s="34">
        <v>17000</v>
      </c>
      <c r="L146" s="34">
        <f>17000-9471</f>
        <v>7529</v>
      </c>
      <c r="M146" s="34">
        <f t="shared" si="51"/>
        <v>-9471</v>
      </c>
      <c r="N146" s="34"/>
      <c r="O146" s="34"/>
      <c r="P146" s="34">
        <f t="shared" si="52"/>
        <v>0</v>
      </c>
      <c r="Q146" s="34"/>
      <c r="R146" s="34"/>
      <c r="S146" s="34">
        <f t="shared" si="53"/>
        <v>0</v>
      </c>
      <c r="T146" s="34"/>
      <c r="U146" s="34"/>
      <c r="V146" s="34">
        <f t="shared" si="54"/>
        <v>0</v>
      </c>
      <c r="W146" s="34"/>
      <c r="X146" s="34"/>
      <c r="Y146" s="34">
        <f t="shared" si="55"/>
        <v>0</v>
      </c>
      <c r="Z146" s="34"/>
      <c r="AA146" s="34"/>
      <c r="AB146" s="34">
        <f t="shared" si="56"/>
        <v>0</v>
      </c>
    </row>
    <row r="147" spans="1:189" s="28" customFormat="1" x14ac:dyDescent="0.25">
      <c r="A147" s="41" t="s">
        <v>139</v>
      </c>
      <c r="B147" s="34">
        <f t="shared" si="75"/>
        <v>16999</v>
      </c>
      <c r="C147" s="34">
        <f t="shared" si="75"/>
        <v>16999</v>
      </c>
      <c r="D147" s="34">
        <f t="shared" si="75"/>
        <v>0</v>
      </c>
      <c r="E147" s="34"/>
      <c r="F147" s="34"/>
      <c r="G147" s="34">
        <f t="shared" si="67"/>
        <v>0</v>
      </c>
      <c r="H147" s="34"/>
      <c r="I147" s="34"/>
      <c r="J147" s="34">
        <f t="shared" si="50"/>
        <v>0</v>
      </c>
      <c r="K147" s="34">
        <v>16999</v>
      </c>
      <c r="L147" s="34">
        <v>16999</v>
      </c>
      <c r="M147" s="34">
        <f t="shared" si="51"/>
        <v>0</v>
      </c>
      <c r="N147" s="34"/>
      <c r="O147" s="34"/>
      <c r="P147" s="34">
        <f t="shared" si="52"/>
        <v>0</v>
      </c>
      <c r="Q147" s="34"/>
      <c r="R147" s="34"/>
      <c r="S147" s="34">
        <f t="shared" si="53"/>
        <v>0</v>
      </c>
      <c r="T147" s="34"/>
      <c r="U147" s="34"/>
      <c r="V147" s="34">
        <f t="shared" si="54"/>
        <v>0</v>
      </c>
      <c r="W147" s="34"/>
      <c r="X147" s="34"/>
      <c r="Y147" s="34">
        <f t="shared" si="55"/>
        <v>0</v>
      </c>
      <c r="Z147" s="34"/>
      <c r="AA147" s="34"/>
      <c r="AB147" s="34">
        <f t="shared" si="56"/>
        <v>0</v>
      </c>
    </row>
    <row r="148" spans="1:189" s="28" customFormat="1" ht="63" x14ac:dyDescent="0.25">
      <c r="A148" s="41" t="s">
        <v>140</v>
      </c>
      <c r="B148" s="34">
        <f t="shared" si="75"/>
        <v>29264</v>
      </c>
      <c r="C148" s="34">
        <f t="shared" si="75"/>
        <v>29264</v>
      </c>
      <c r="D148" s="34">
        <f t="shared" si="75"/>
        <v>0</v>
      </c>
      <c r="E148" s="34"/>
      <c r="F148" s="34"/>
      <c r="G148" s="34">
        <f>F148-E148</f>
        <v>0</v>
      </c>
      <c r="H148" s="34"/>
      <c r="I148" s="34"/>
      <c r="J148" s="34">
        <f>I148-H148</f>
        <v>0</v>
      </c>
      <c r="K148" s="34">
        <v>29264</v>
      </c>
      <c r="L148" s="34">
        <v>29264</v>
      </c>
      <c r="M148" s="34">
        <f>L148-K148</f>
        <v>0</v>
      </c>
      <c r="N148" s="34"/>
      <c r="O148" s="34"/>
      <c r="P148" s="34">
        <f>O148-N148</f>
        <v>0</v>
      </c>
      <c r="Q148" s="34"/>
      <c r="R148" s="34"/>
      <c r="S148" s="34">
        <f>R148-Q148</f>
        <v>0</v>
      </c>
      <c r="T148" s="34"/>
      <c r="U148" s="34"/>
      <c r="V148" s="34">
        <f>U148-T148</f>
        <v>0</v>
      </c>
      <c r="W148" s="34"/>
      <c r="X148" s="34"/>
      <c r="Y148" s="34">
        <f>X148-W148</f>
        <v>0</v>
      </c>
      <c r="Z148" s="34"/>
      <c r="AA148" s="34"/>
      <c r="AB148" s="34">
        <f>AA148-Z148</f>
        <v>0</v>
      </c>
    </row>
    <row r="149" spans="1:189" s="25" customFormat="1" ht="31.5" x14ac:dyDescent="0.25">
      <c r="A149" s="26" t="s">
        <v>141</v>
      </c>
      <c r="B149" s="27">
        <f t="shared" si="75"/>
        <v>1836770</v>
      </c>
      <c r="C149" s="27">
        <f t="shared" si="75"/>
        <v>1995455</v>
      </c>
      <c r="D149" s="27">
        <f t="shared" si="75"/>
        <v>158685</v>
      </c>
      <c r="E149" s="27">
        <f t="shared" ref="E149:AA149" si="76">SUM(E150)</f>
        <v>207520</v>
      </c>
      <c r="F149" s="27">
        <f t="shared" si="76"/>
        <v>207047</v>
      </c>
      <c r="G149" s="27">
        <f t="shared" si="67"/>
        <v>-473</v>
      </c>
      <c r="H149" s="27">
        <f t="shared" si="76"/>
        <v>155362</v>
      </c>
      <c r="I149" s="27">
        <f t="shared" si="76"/>
        <v>155362</v>
      </c>
      <c r="J149" s="27">
        <f t="shared" ref="J149:J150" si="77">I149-H149</f>
        <v>0</v>
      </c>
      <c r="K149" s="27">
        <f t="shared" si="76"/>
        <v>164250</v>
      </c>
      <c r="L149" s="27">
        <f t="shared" si="76"/>
        <v>164250</v>
      </c>
      <c r="M149" s="27">
        <f t="shared" ref="M149:M150" si="78">L149-K149</f>
        <v>0</v>
      </c>
      <c r="N149" s="27">
        <f t="shared" si="76"/>
        <v>1306002</v>
      </c>
      <c r="O149" s="27">
        <f t="shared" si="76"/>
        <v>1465160</v>
      </c>
      <c r="P149" s="27">
        <f t="shared" ref="P149:P150" si="79">O149-N149</f>
        <v>159158</v>
      </c>
      <c r="Q149" s="27">
        <f t="shared" si="76"/>
        <v>0</v>
      </c>
      <c r="R149" s="27">
        <f t="shared" si="76"/>
        <v>0</v>
      </c>
      <c r="S149" s="27">
        <f t="shared" ref="S149:S150" si="80">R149-Q149</f>
        <v>0</v>
      </c>
      <c r="T149" s="27">
        <f t="shared" si="76"/>
        <v>3636</v>
      </c>
      <c r="U149" s="27">
        <f t="shared" si="76"/>
        <v>3636</v>
      </c>
      <c r="V149" s="27">
        <f t="shared" ref="V149:V150" si="81">U149-T149</f>
        <v>0</v>
      </c>
      <c r="W149" s="27">
        <f t="shared" si="76"/>
        <v>0</v>
      </c>
      <c r="X149" s="27">
        <f t="shared" si="76"/>
        <v>0</v>
      </c>
      <c r="Y149" s="27">
        <f t="shared" ref="Y149:Y150" si="82">X149-W149</f>
        <v>0</v>
      </c>
      <c r="Z149" s="27">
        <f t="shared" si="76"/>
        <v>0</v>
      </c>
      <c r="AA149" s="27">
        <f t="shared" si="76"/>
        <v>0</v>
      </c>
      <c r="AB149" s="27">
        <f t="shared" ref="AB149:AB150" si="83">AA149-Z149</f>
        <v>0</v>
      </c>
    </row>
    <row r="150" spans="1:189" s="28" customFormat="1" x14ac:dyDescent="0.25">
      <c r="A150" s="26" t="s">
        <v>24</v>
      </c>
      <c r="B150" s="27">
        <f t="shared" si="75"/>
        <v>1836770</v>
      </c>
      <c r="C150" s="27">
        <f t="shared" si="75"/>
        <v>1995455</v>
      </c>
      <c r="D150" s="27">
        <f t="shared" si="75"/>
        <v>158685</v>
      </c>
      <c r="E150" s="27">
        <f>SUM(E151:E170)</f>
        <v>207520</v>
      </c>
      <c r="F150" s="27">
        <f>SUM(F151:F170)</f>
        <v>207047</v>
      </c>
      <c r="G150" s="27">
        <f t="shared" si="67"/>
        <v>-473</v>
      </c>
      <c r="H150" s="27">
        <f t="shared" ref="H150:I150" si="84">SUM(H151:H170)</f>
        <v>155362</v>
      </c>
      <c r="I150" s="27">
        <f t="shared" si="84"/>
        <v>155362</v>
      </c>
      <c r="J150" s="27">
        <f t="shared" si="77"/>
        <v>0</v>
      </c>
      <c r="K150" s="27">
        <f t="shared" ref="K150:L150" si="85">SUM(K151:K170)</f>
        <v>164250</v>
      </c>
      <c r="L150" s="27">
        <f t="shared" si="85"/>
        <v>164250</v>
      </c>
      <c r="M150" s="27">
        <f t="shared" si="78"/>
        <v>0</v>
      </c>
      <c r="N150" s="27">
        <f t="shared" ref="N150:O150" si="86">SUM(N151:N170)</f>
        <v>1306002</v>
      </c>
      <c r="O150" s="27">
        <f t="shared" si="86"/>
        <v>1465160</v>
      </c>
      <c r="P150" s="27">
        <f t="shared" si="79"/>
        <v>159158</v>
      </c>
      <c r="Q150" s="27">
        <f t="shared" ref="Q150:R150" si="87">SUM(Q151:Q170)</f>
        <v>0</v>
      </c>
      <c r="R150" s="27">
        <f t="shared" si="87"/>
        <v>0</v>
      </c>
      <c r="S150" s="27">
        <f t="shared" si="80"/>
        <v>0</v>
      </c>
      <c r="T150" s="27">
        <f t="shared" ref="T150:U150" si="88">SUM(T151:T170)</f>
        <v>3636</v>
      </c>
      <c r="U150" s="27">
        <f t="shared" si="88"/>
        <v>3636</v>
      </c>
      <c r="V150" s="27">
        <f t="shared" si="81"/>
        <v>0</v>
      </c>
      <c r="W150" s="27">
        <f t="shared" ref="W150:X150" si="89">SUM(W151:W170)</f>
        <v>0</v>
      </c>
      <c r="X150" s="27">
        <f t="shared" si="89"/>
        <v>0</v>
      </c>
      <c r="Y150" s="27">
        <f t="shared" si="82"/>
        <v>0</v>
      </c>
      <c r="Z150" s="27">
        <f t="shared" ref="Z150:AA150" si="90">SUM(Z151:Z170)</f>
        <v>0</v>
      </c>
      <c r="AA150" s="27">
        <f t="shared" si="90"/>
        <v>0</v>
      </c>
      <c r="AB150" s="27">
        <f t="shared" si="83"/>
        <v>0</v>
      </c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  <c r="EM150" s="25"/>
      <c r="EN150" s="25"/>
      <c r="EO150" s="25"/>
      <c r="EP150" s="25"/>
      <c r="EQ150" s="25"/>
      <c r="ER150" s="25"/>
      <c r="ES150" s="25"/>
      <c r="ET150" s="25"/>
      <c r="EU150" s="25"/>
      <c r="EV150" s="25"/>
      <c r="EW150" s="25"/>
      <c r="EX150" s="25"/>
      <c r="EY150" s="25"/>
      <c r="EZ150" s="25"/>
      <c r="FA150" s="25"/>
      <c r="FB150" s="25"/>
      <c r="FC150" s="25"/>
      <c r="FD150" s="25"/>
      <c r="FE150" s="25"/>
      <c r="FF150" s="25"/>
      <c r="FG150" s="25"/>
      <c r="FH150" s="25"/>
      <c r="FI150" s="25"/>
      <c r="FJ150" s="25"/>
      <c r="FK150" s="25"/>
      <c r="FL150" s="25"/>
      <c r="FM150" s="25"/>
      <c r="FN150" s="25"/>
      <c r="FO150" s="25"/>
      <c r="FP150" s="25"/>
      <c r="FQ150" s="25"/>
      <c r="FR150" s="25"/>
      <c r="FS150" s="25"/>
      <c r="FT150" s="25"/>
      <c r="FU150" s="25"/>
      <c r="FV150" s="25"/>
      <c r="FW150" s="25"/>
      <c r="FX150" s="25"/>
      <c r="FY150" s="25"/>
      <c r="FZ150" s="25"/>
      <c r="GA150" s="25"/>
      <c r="GB150" s="25"/>
      <c r="GC150" s="25"/>
      <c r="GD150" s="25"/>
      <c r="GE150" s="25"/>
      <c r="GF150" s="25"/>
      <c r="GG150" s="25"/>
    </row>
    <row r="151" spans="1:189" s="28" customFormat="1" x14ac:dyDescent="0.25">
      <c r="A151" s="38" t="s">
        <v>142</v>
      </c>
      <c r="B151" s="34">
        <f t="shared" si="75"/>
        <v>57000</v>
      </c>
      <c r="C151" s="34">
        <f t="shared" si="75"/>
        <v>56545</v>
      </c>
      <c r="D151" s="34">
        <f t="shared" si="75"/>
        <v>-455</v>
      </c>
      <c r="E151" s="34">
        <f>57000-33000</f>
        <v>24000</v>
      </c>
      <c r="F151" s="34">
        <f>57000-33000-455</f>
        <v>23545</v>
      </c>
      <c r="G151" s="34">
        <f t="shared" si="67"/>
        <v>-455</v>
      </c>
      <c r="H151" s="34">
        <v>33000</v>
      </c>
      <c r="I151" s="34">
        <v>33000</v>
      </c>
      <c r="J151" s="34">
        <f t="shared" si="50"/>
        <v>0</v>
      </c>
      <c r="K151" s="34"/>
      <c r="L151" s="34"/>
      <c r="M151" s="34">
        <f t="shared" si="51"/>
        <v>0</v>
      </c>
      <c r="N151" s="34"/>
      <c r="O151" s="34"/>
      <c r="P151" s="34">
        <f t="shared" si="52"/>
        <v>0</v>
      </c>
      <c r="Q151" s="34"/>
      <c r="R151" s="34"/>
      <c r="S151" s="34">
        <f t="shared" si="53"/>
        <v>0</v>
      </c>
      <c r="T151" s="34"/>
      <c r="U151" s="34"/>
      <c r="V151" s="34">
        <f t="shared" si="54"/>
        <v>0</v>
      </c>
      <c r="W151" s="34"/>
      <c r="X151" s="34"/>
      <c r="Y151" s="34">
        <f t="shared" si="55"/>
        <v>0</v>
      </c>
      <c r="Z151" s="34"/>
      <c r="AA151" s="34"/>
      <c r="AB151" s="34">
        <f t="shared" si="56"/>
        <v>0</v>
      </c>
    </row>
    <row r="152" spans="1:189" s="28" customFormat="1" ht="31.5" x14ac:dyDescent="0.25">
      <c r="A152" s="38" t="s">
        <v>143</v>
      </c>
      <c r="B152" s="34">
        <f t="shared" si="75"/>
        <v>18285</v>
      </c>
      <c r="C152" s="34">
        <f t="shared" si="75"/>
        <v>18285</v>
      </c>
      <c r="D152" s="34">
        <f t="shared" si="75"/>
        <v>0</v>
      </c>
      <c r="E152" s="34"/>
      <c r="F152" s="34"/>
      <c r="G152" s="34">
        <f t="shared" si="67"/>
        <v>0</v>
      </c>
      <c r="H152" s="34"/>
      <c r="I152" s="34"/>
      <c r="J152" s="34">
        <f t="shared" si="50"/>
        <v>0</v>
      </c>
      <c r="K152" s="34">
        <v>18285</v>
      </c>
      <c r="L152" s="34">
        <v>18285</v>
      </c>
      <c r="M152" s="34">
        <f t="shared" si="51"/>
        <v>0</v>
      </c>
      <c r="N152" s="34"/>
      <c r="O152" s="34"/>
      <c r="P152" s="34">
        <f t="shared" si="52"/>
        <v>0</v>
      </c>
      <c r="Q152" s="34"/>
      <c r="R152" s="34"/>
      <c r="S152" s="34">
        <f t="shared" si="53"/>
        <v>0</v>
      </c>
      <c r="T152" s="34"/>
      <c r="U152" s="34"/>
      <c r="V152" s="34">
        <f t="shared" si="54"/>
        <v>0</v>
      </c>
      <c r="W152" s="34"/>
      <c r="X152" s="34"/>
      <c r="Y152" s="34">
        <f t="shared" si="55"/>
        <v>0</v>
      </c>
      <c r="Z152" s="34"/>
      <c r="AA152" s="34"/>
      <c r="AB152" s="34">
        <f t="shared" si="56"/>
        <v>0</v>
      </c>
    </row>
    <row r="153" spans="1:189" s="28" customFormat="1" ht="31.5" x14ac:dyDescent="0.25">
      <c r="A153" s="30" t="s">
        <v>144</v>
      </c>
      <c r="B153" s="31">
        <f t="shared" si="75"/>
        <v>183520</v>
      </c>
      <c r="C153" s="31">
        <f t="shared" si="75"/>
        <v>183502</v>
      </c>
      <c r="D153" s="31">
        <f t="shared" si="75"/>
        <v>-18</v>
      </c>
      <c r="E153" s="31">
        <f>190000+70000-12278-64202</f>
        <v>183520</v>
      </c>
      <c r="F153" s="31">
        <f>190000+70000-12278-64202-18</f>
        <v>183502</v>
      </c>
      <c r="G153" s="31">
        <f t="shared" si="67"/>
        <v>-18</v>
      </c>
      <c r="H153" s="31"/>
      <c r="I153" s="31"/>
      <c r="J153" s="31">
        <f t="shared" si="50"/>
        <v>0</v>
      </c>
      <c r="K153" s="31"/>
      <c r="L153" s="31"/>
      <c r="M153" s="31">
        <f t="shared" si="51"/>
        <v>0</v>
      </c>
      <c r="N153" s="31"/>
      <c r="O153" s="31"/>
      <c r="P153" s="31">
        <f t="shared" si="52"/>
        <v>0</v>
      </c>
      <c r="Q153" s="31"/>
      <c r="R153" s="31"/>
      <c r="S153" s="31">
        <f t="shared" si="53"/>
        <v>0</v>
      </c>
      <c r="T153" s="31"/>
      <c r="U153" s="31"/>
      <c r="V153" s="31">
        <f t="shared" si="54"/>
        <v>0</v>
      </c>
      <c r="W153" s="31"/>
      <c r="X153" s="31"/>
      <c r="Y153" s="31">
        <f t="shared" si="55"/>
        <v>0</v>
      </c>
      <c r="Z153" s="31"/>
      <c r="AA153" s="31"/>
      <c r="AB153" s="31">
        <f t="shared" si="56"/>
        <v>0</v>
      </c>
    </row>
    <row r="154" spans="1:189" s="28" customFormat="1" ht="31.5" x14ac:dyDescent="0.25">
      <c r="A154" s="30" t="s">
        <v>145</v>
      </c>
      <c r="B154" s="31">
        <f t="shared" si="75"/>
        <v>5362</v>
      </c>
      <c r="C154" s="31">
        <f t="shared" si="75"/>
        <v>5362</v>
      </c>
      <c r="D154" s="31">
        <f t="shared" si="75"/>
        <v>0</v>
      </c>
      <c r="E154" s="31"/>
      <c r="F154" s="31"/>
      <c r="G154" s="31">
        <f t="shared" si="67"/>
        <v>0</v>
      </c>
      <c r="H154" s="31">
        <f>5730-368</f>
        <v>5362</v>
      </c>
      <c r="I154" s="31">
        <f>5730-368</f>
        <v>5362</v>
      </c>
      <c r="J154" s="31">
        <f t="shared" si="50"/>
        <v>0</v>
      </c>
      <c r="K154" s="31"/>
      <c r="L154" s="31"/>
      <c r="M154" s="31">
        <f t="shared" si="51"/>
        <v>0</v>
      </c>
      <c r="N154" s="31"/>
      <c r="O154" s="31"/>
      <c r="P154" s="31">
        <f t="shared" si="52"/>
        <v>0</v>
      </c>
      <c r="Q154" s="31"/>
      <c r="R154" s="31"/>
      <c r="S154" s="31">
        <f t="shared" si="53"/>
        <v>0</v>
      </c>
      <c r="T154" s="31"/>
      <c r="U154" s="31"/>
      <c r="V154" s="31">
        <f t="shared" si="54"/>
        <v>0</v>
      </c>
      <c r="W154" s="31"/>
      <c r="X154" s="31"/>
      <c r="Y154" s="31">
        <f t="shared" si="55"/>
        <v>0</v>
      </c>
      <c r="Z154" s="31"/>
      <c r="AA154" s="31"/>
      <c r="AB154" s="31">
        <f t="shared" si="56"/>
        <v>0</v>
      </c>
    </row>
    <row r="155" spans="1:189" s="28" customFormat="1" ht="31.5" x14ac:dyDescent="0.25">
      <c r="A155" s="30" t="s">
        <v>146</v>
      </c>
      <c r="B155" s="31">
        <f t="shared" si="75"/>
        <v>2498</v>
      </c>
      <c r="C155" s="31">
        <f t="shared" si="75"/>
        <v>2498</v>
      </c>
      <c r="D155" s="31">
        <f t="shared" si="75"/>
        <v>0</v>
      </c>
      <c r="E155" s="31"/>
      <c r="F155" s="31"/>
      <c r="G155" s="31">
        <f t="shared" si="67"/>
        <v>0</v>
      </c>
      <c r="H155" s="31"/>
      <c r="I155" s="31"/>
      <c r="J155" s="31">
        <f t="shared" si="50"/>
        <v>0</v>
      </c>
      <c r="K155" s="31">
        <v>2498</v>
      </c>
      <c r="L155" s="31">
        <v>2498</v>
      </c>
      <c r="M155" s="31">
        <f t="shared" si="51"/>
        <v>0</v>
      </c>
      <c r="N155" s="31"/>
      <c r="O155" s="31"/>
      <c r="P155" s="31">
        <f t="shared" si="52"/>
        <v>0</v>
      </c>
      <c r="Q155" s="31"/>
      <c r="R155" s="31"/>
      <c r="S155" s="31">
        <f t="shared" si="53"/>
        <v>0</v>
      </c>
      <c r="T155" s="31"/>
      <c r="U155" s="31"/>
      <c r="V155" s="31">
        <f t="shared" si="54"/>
        <v>0</v>
      </c>
      <c r="W155" s="31"/>
      <c r="X155" s="31"/>
      <c r="Y155" s="31">
        <f t="shared" si="55"/>
        <v>0</v>
      </c>
      <c r="Z155" s="31"/>
      <c r="AA155" s="31"/>
      <c r="AB155" s="31">
        <f t="shared" si="56"/>
        <v>0</v>
      </c>
    </row>
    <row r="156" spans="1:189" s="28" customFormat="1" ht="31.5" x14ac:dyDescent="0.25">
      <c r="A156" s="41" t="s">
        <v>147</v>
      </c>
      <c r="B156" s="34">
        <f t="shared" si="75"/>
        <v>15571</v>
      </c>
      <c r="C156" s="34">
        <f t="shared" si="75"/>
        <v>15571</v>
      </c>
      <c r="D156" s="34">
        <f t="shared" si="75"/>
        <v>0</v>
      </c>
      <c r="E156" s="34"/>
      <c r="F156" s="34"/>
      <c r="G156" s="34">
        <f t="shared" si="67"/>
        <v>0</v>
      </c>
      <c r="H156" s="34"/>
      <c r="I156" s="34"/>
      <c r="J156" s="34">
        <f t="shared" si="50"/>
        <v>0</v>
      </c>
      <c r="K156" s="34">
        <v>15571</v>
      </c>
      <c r="L156" s="34">
        <v>15571</v>
      </c>
      <c r="M156" s="34">
        <f t="shared" si="51"/>
        <v>0</v>
      </c>
      <c r="N156" s="34"/>
      <c r="O156" s="34"/>
      <c r="P156" s="34">
        <f t="shared" si="52"/>
        <v>0</v>
      </c>
      <c r="Q156" s="34"/>
      <c r="R156" s="34"/>
      <c r="S156" s="34">
        <f t="shared" si="53"/>
        <v>0</v>
      </c>
      <c r="T156" s="34"/>
      <c r="U156" s="34"/>
      <c r="V156" s="34">
        <f t="shared" si="54"/>
        <v>0</v>
      </c>
      <c r="W156" s="34"/>
      <c r="X156" s="34"/>
      <c r="Y156" s="34">
        <f t="shared" si="55"/>
        <v>0</v>
      </c>
      <c r="Z156" s="34"/>
      <c r="AA156" s="34"/>
      <c r="AB156" s="34">
        <f t="shared" si="56"/>
        <v>0</v>
      </c>
    </row>
    <row r="157" spans="1:189" s="28" customFormat="1" ht="31.5" x14ac:dyDescent="0.25">
      <c r="A157" s="41" t="s">
        <v>148</v>
      </c>
      <c r="B157" s="34">
        <f t="shared" si="75"/>
        <v>15993</v>
      </c>
      <c r="C157" s="34">
        <f t="shared" si="75"/>
        <v>15993</v>
      </c>
      <c r="D157" s="34">
        <f t="shared" si="75"/>
        <v>0</v>
      </c>
      <c r="E157" s="34"/>
      <c r="F157" s="34"/>
      <c r="G157" s="34">
        <f t="shared" si="67"/>
        <v>0</v>
      </c>
      <c r="H157" s="34"/>
      <c r="I157" s="34"/>
      <c r="J157" s="34">
        <f t="shared" si="50"/>
        <v>0</v>
      </c>
      <c r="K157" s="34">
        <v>15993</v>
      </c>
      <c r="L157" s="34">
        <v>15993</v>
      </c>
      <c r="M157" s="34">
        <f t="shared" si="51"/>
        <v>0</v>
      </c>
      <c r="N157" s="34"/>
      <c r="O157" s="34"/>
      <c r="P157" s="34">
        <f t="shared" si="52"/>
        <v>0</v>
      </c>
      <c r="Q157" s="34"/>
      <c r="R157" s="34"/>
      <c r="S157" s="34">
        <f t="shared" si="53"/>
        <v>0</v>
      </c>
      <c r="T157" s="34"/>
      <c r="U157" s="34"/>
      <c r="V157" s="34">
        <f t="shared" si="54"/>
        <v>0</v>
      </c>
      <c r="W157" s="34"/>
      <c r="X157" s="34"/>
      <c r="Y157" s="34">
        <f t="shared" si="55"/>
        <v>0</v>
      </c>
      <c r="Z157" s="34"/>
      <c r="AA157" s="34"/>
      <c r="AB157" s="34">
        <f t="shared" si="56"/>
        <v>0</v>
      </c>
    </row>
    <row r="158" spans="1:189" s="28" customFormat="1" ht="31.5" x14ac:dyDescent="0.25">
      <c r="A158" s="41" t="s">
        <v>149</v>
      </c>
      <c r="B158" s="34">
        <f t="shared" si="75"/>
        <v>12998</v>
      </c>
      <c r="C158" s="34">
        <f t="shared" si="75"/>
        <v>12998</v>
      </c>
      <c r="D158" s="34">
        <f t="shared" si="75"/>
        <v>0</v>
      </c>
      <c r="E158" s="34"/>
      <c r="F158" s="34"/>
      <c r="G158" s="34">
        <f t="shared" si="67"/>
        <v>0</v>
      </c>
      <c r="H158" s="34"/>
      <c r="I158" s="34"/>
      <c r="J158" s="34">
        <f t="shared" ref="J158:J313" si="91">I158-H158</f>
        <v>0</v>
      </c>
      <c r="K158" s="34">
        <v>12998</v>
      </c>
      <c r="L158" s="34">
        <v>12998</v>
      </c>
      <c r="M158" s="34">
        <f t="shared" ref="M158:M313" si="92">L158-K158</f>
        <v>0</v>
      </c>
      <c r="N158" s="34"/>
      <c r="O158" s="34"/>
      <c r="P158" s="34">
        <f t="shared" ref="P158:P313" si="93">O158-N158</f>
        <v>0</v>
      </c>
      <c r="Q158" s="34"/>
      <c r="R158" s="34"/>
      <c r="S158" s="34">
        <f t="shared" ref="S158:S313" si="94">R158-Q158</f>
        <v>0</v>
      </c>
      <c r="T158" s="34"/>
      <c r="U158" s="34"/>
      <c r="V158" s="34">
        <f t="shared" ref="V158:V313" si="95">U158-T158</f>
        <v>0</v>
      </c>
      <c r="W158" s="34"/>
      <c r="X158" s="34"/>
      <c r="Y158" s="34">
        <f t="shared" ref="Y158:Y313" si="96">X158-W158</f>
        <v>0</v>
      </c>
      <c r="Z158" s="34"/>
      <c r="AA158" s="34"/>
      <c r="AB158" s="34">
        <f t="shared" ref="AB158:AB313" si="97">AA158-Z158</f>
        <v>0</v>
      </c>
    </row>
    <row r="159" spans="1:189" s="28" customFormat="1" ht="31.5" x14ac:dyDescent="0.25">
      <c r="A159" s="41" t="s">
        <v>150</v>
      </c>
      <c r="B159" s="34">
        <f t="shared" si="75"/>
        <v>12999</v>
      </c>
      <c r="C159" s="34">
        <f t="shared" si="75"/>
        <v>12999</v>
      </c>
      <c r="D159" s="34">
        <f t="shared" si="75"/>
        <v>0</v>
      </c>
      <c r="E159" s="34"/>
      <c r="F159" s="34"/>
      <c r="G159" s="34">
        <f t="shared" si="67"/>
        <v>0</v>
      </c>
      <c r="H159" s="34"/>
      <c r="I159" s="34"/>
      <c r="J159" s="34">
        <f t="shared" si="91"/>
        <v>0</v>
      </c>
      <c r="K159" s="34">
        <v>12999</v>
      </c>
      <c r="L159" s="34">
        <v>12999</v>
      </c>
      <c r="M159" s="34">
        <f t="shared" si="92"/>
        <v>0</v>
      </c>
      <c r="N159" s="34"/>
      <c r="O159" s="34"/>
      <c r="P159" s="34">
        <f t="shared" si="93"/>
        <v>0</v>
      </c>
      <c r="Q159" s="34"/>
      <c r="R159" s="34"/>
      <c r="S159" s="34">
        <f t="shared" si="94"/>
        <v>0</v>
      </c>
      <c r="T159" s="34"/>
      <c r="U159" s="34"/>
      <c r="V159" s="34">
        <f t="shared" si="95"/>
        <v>0</v>
      </c>
      <c r="W159" s="34"/>
      <c r="X159" s="34"/>
      <c r="Y159" s="34">
        <f t="shared" si="96"/>
        <v>0</v>
      </c>
      <c r="Z159" s="34"/>
      <c r="AA159" s="34"/>
      <c r="AB159" s="34">
        <f t="shared" si="97"/>
        <v>0</v>
      </c>
    </row>
    <row r="160" spans="1:189" s="28" customFormat="1" ht="31.5" x14ac:dyDescent="0.25">
      <c r="A160" s="41" t="s">
        <v>151</v>
      </c>
      <c r="B160" s="34">
        <f t="shared" si="75"/>
        <v>7000</v>
      </c>
      <c r="C160" s="34">
        <f t="shared" si="75"/>
        <v>7000</v>
      </c>
      <c r="D160" s="34">
        <f t="shared" si="75"/>
        <v>0</v>
      </c>
      <c r="E160" s="34"/>
      <c r="F160" s="34"/>
      <c r="G160" s="34">
        <f t="shared" si="67"/>
        <v>0</v>
      </c>
      <c r="H160" s="34"/>
      <c r="I160" s="34"/>
      <c r="J160" s="34">
        <f t="shared" si="91"/>
        <v>0</v>
      </c>
      <c r="K160" s="34">
        <v>7000</v>
      </c>
      <c r="L160" s="34">
        <v>7000</v>
      </c>
      <c r="M160" s="34">
        <f t="shared" si="92"/>
        <v>0</v>
      </c>
      <c r="N160" s="34"/>
      <c r="O160" s="34"/>
      <c r="P160" s="34">
        <f t="shared" si="93"/>
        <v>0</v>
      </c>
      <c r="Q160" s="34"/>
      <c r="R160" s="34"/>
      <c r="S160" s="34">
        <f t="shared" si="94"/>
        <v>0</v>
      </c>
      <c r="T160" s="34"/>
      <c r="U160" s="34"/>
      <c r="V160" s="34">
        <f t="shared" si="95"/>
        <v>0</v>
      </c>
      <c r="W160" s="34"/>
      <c r="X160" s="34"/>
      <c r="Y160" s="34">
        <f t="shared" si="96"/>
        <v>0</v>
      </c>
      <c r="Z160" s="34"/>
      <c r="AA160" s="34"/>
      <c r="AB160" s="34">
        <f t="shared" si="97"/>
        <v>0</v>
      </c>
    </row>
    <row r="161" spans="1:189" s="28" customFormat="1" ht="31.5" x14ac:dyDescent="0.25">
      <c r="A161" s="41" t="s">
        <v>152</v>
      </c>
      <c r="B161" s="34">
        <f t="shared" si="75"/>
        <v>24950</v>
      </c>
      <c r="C161" s="34">
        <f t="shared" si="75"/>
        <v>24950</v>
      </c>
      <c r="D161" s="34">
        <f t="shared" si="75"/>
        <v>0</v>
      </c>
      <c r="E161" s="34"/>
      <c r="F161" s="34"/>
      <c r="G161" s="34">
        <f t="shared" si="67"/>
        <v>0</v>
      </c>
      <c r="H161" s="34"/>
      <c r="I161" s="34"/>
      <c r="J161" s="34">
        <f t="shared" si="91"/>
        <v>0</v>
      </c>
      <c r="K161" s="34">
        <f>22450+2500</f>
        <v>24950</v>
      </c>
      <c r="L161" s="34">
        <f>22450+2500</f>
        <v>24950</v>
      </c>
      <c r="M161" s="34">
        <f t="shared" si="92"/>
        <v>0</v>
      </c>
      <c r="N161" s="34"/>
      <c r="O161" s="34"/>
      <c r="P161" s="34">
        <f t="shared" si="93"/>
        <v>0</v>
      </c>
      <c r="Q161" s="34"/>
      <c r="R161" s="34"/>
      <c r="S161" s="34">
        <f t="shared" si="94"/>
        <v>0</v>
      </c>
      <c r="T161" s="34"/>
      <c r="U161" s="34"/>
      <c r="V161" s="34">
        <f t="shared" si="95"/>
        <v>0</v>
      </c>
      <c r="W161" s="34"/>
      <c r="X161" s="34"/>
      <c r="Y161" s="34">
        <f t="shared" si="96"/>
        <v>0</v>
      </c>
      <c r="Z161" s="34"/>
      <c r="AA161" s="34"/>
      <c r="AB161" s="34">
        <f t="shared" si="97"/>
        <v>0</v>
      </c>
    </row>
    <row r="162" spans="1:189" s="28" customFormat="1" ht="47.25" x14ac:dyDescent="0.25">
      <c r="A162" s="38" t="s">
        <v>153</v>
      </c>
      <c r="B162" s="34">
        <f t="shared" si="75"/>
        <v>117000</v>
      </c>
      <c r="C162" s="34">
        <f t="shared" si="75"/>
        <v>117000</v>
      </c>
      <c r="D162" s="34">
        <f t="shared" si="75"/>
        <v>0</v>
      </c>
      <c r="E162" s="34">
        <f>117000-117000</f>
        <v>0</v>
      </c>
      <c r="F162" s="34">
        <f>117000-117000</f>
        <v>0</v>
      </c>
      <c r="G162" s="34">
        <f t="shared" si="67"/>
        <v>0</v>
      </c>
      <c r="H162" s="34">
        <v>117000</v>
      </c>
      <c r="I162" s="34">
        <v>117000</v>
      </c>
      <c r="J162" s="34">
        <f t="shared" si="91"/>
        <v>0</v>
      </c>
      <c r="K162" s="34"/>
      <c r="L162" s="34"/>
      <c r="M162" s="34">
        <f t="shared" si="92"/>
        <v>0</v>
      </c>
      <c r="N162" s="34"/>
      <c r="O162" s="34"/>
      <c r="P162" s="34">
        <f t="shared" si="93"/>
        <v>0</v>
      </c>
      <c r="Q162" s="34"/>
      <c r="R162" s="34"/>
      <c r="S162" s="34">
        <f t="shared" si="94"/>
        <v>0</v>
      </c>
      <c r="T162" s="34"/>
      <c r="U162" s="34"/>
      <c r="V162" s="34">
        <f t="shared" si="95"/>
        <v>0</v>
      </c>
      <c r="W162" s="34"/>
      <c r="X162" s="34"/>
      <c r="Y162" s="34">
        <f t="shared" si="96"/>
        <v>0</v>
      </c>
      <c r="Z162" s="34"/>
      <c r="AA162" s="34"/>
      <c r="AB162" s="34">
        <f t="shared" si="97"/>
        <v>0</v>
      </c>
    </row>
    <row r="163" spans="1:189" s="28" customFormat="1" ht="31.5" x14ac:dyDescent="0.25">
      <c r="A163" s="38" t="s">
        <v>154</v>
      </c>
      <c r="B163" s="34">
        <f t="shared" si="75"/>
        <v>16062</v>
      </c>
      <c r="C163" s="34">
        <f t="shared" si="75"/>
        <v>16062</v>
      </c>
      <c r="D163" s="34">
        <f t="shared" si="75"/>
        <v>0</v>
      </c>
      <c r="E163" s="34"/>
      <c r="F163" s="34"/>
      <c r="G163" s="34">
        <f t="shared" si="67"/>
        <v>0</v>
      </c>
      <c r="H163" s="34"/>
      <c r="I163" s="34"/>
      <c r="J163" s="34">
        <f t="shared" si="91"/>
        <v>0</v>
      </c>
      <c r="K163" s="34">
        <v>12426</v>
      </c>
      <c r="L163" s="34">
        <v>12426</v>
      </c>
      <c r="M163" s="34">
        <f t="shared" si="92"/>
        <v>0</v>
      </c>
      <c r="N163" s="34"/>
      <c r="O163" s="34"/>
      <c r="P163" s="34">
        <f t="shared" si="93"/>
        <v>0</v>
      </c>
      <c r="Q163" s="34"/>
      <c r="R163" s="34"/>
      <c r="S163" s="34">
        <f t="shared" si="94"/>
        <v>0</v>
      </c>
      <c r="T163" s="34">
        <v>3636</v>
      </c>
      <c r="U163" s="34">
        <v>3636</v>
      </c>
      <c r="V163" s="34">
        <f t="shared" si="95"/>
        <v>0</v>
      </c>
      <c r="W163" s="34"/>
      <c r="X163" s="34"/>
      <c r="Y163" s="34">
        <f t="shared" si="96"/>
        <v>0</v>
      </c>
      <c r="Z163" s="34"/>
      <c r="AA163" s="34"/>
      <c r="AB163" s="34">
        <f t="shared" si="97"/>
        <v>0</v>
      </c>
    </row>
    <row r="164" spans="1:189" s="28" customFormat="1" ht="47.25" x14ac:dyDescent="0.25">
      <c r="A164" s="38" t="s">
        <v>155</v>
      </c>
      <c r="B164" s="34">
        <f t="shared" si="75"/>
        <v>13200</v>
      </c>
      <c r="C164" s="34">
        <f t="shared" si="75"/>
        <v>13200</v>
      </c>
      <c r="D164" s="34">
        <f t="shared" si="75"/>
        <v>0</v>
      </c>
      <c r="E164" s="34"/>
      <c r="F164" s="34"/>
      <c r="G164" s="34">
        <f t="shared" si="67"/>
        <v>0</v>
      </c>
      <c r="H164" s="34"/>
      <c r="I164" s="34"/>
      <c r="J164" s="34">
        <f t="shared" si="91"/>
        <v>0</v>
      </c>
      <c r="K164" s="34">
        <v>13200</v>
      </c>
      <c r="L164" s="34">
        <v>13200</v>
      </c>
      <c r="M164" s="34">
        <f t="shared" si="92"/>
        <v>0</v>
      </c>
      <c r="N164" s="34"/>
      <c r="O164" s="34"/>
      <c r="P164" s="34">
        <f t="shared" si="93"/>
        <v>0</v>
      </c>
      <c r="Q164" s="34"/>
      <c r="R164" s="34"/>
      <c r="S164" s="34">
        <f t="shared" si="94"/>
        <v>0</v>
      </c>
      <c r="T164" s="34"/>
      <c r="U164" s="34"/>
      <c r="V164" s="34">
        <f t="shared" si="95"/>
        <v>0</v>
      </c>
      <c r="W164" s="34"/>
      <c r="X164" s="34"/>
      <c r="Y164" s="34">
        <f t="shared" si="96"/>
        <v>0</v>
      </c>
      <c r="Z164" s="34"/>
      <c r="AA164" s="34"/>
      <c r="AB164" s="34">
        <f t="shared" si="97"/>
        <v>0</v>
      </c>
    </row>
    <row r="165" spans="1:189" s="28" customFormat="1" ht="47.25" x14ac:dyDescent="0.25">
      <c r="A165" s="42" t="s">
        <v>156</v>
      </c>
      <c r="B165" s="34">
        <f t="shared" si="75"/>
        <v>3630</v>
      </c>
      <c r="C165" s="34">
        <f t="shared" si="75"/>
        <v>3630</v>
      </c>
      <c r="D165" s="34">
        <f t="shared" si="75"/>
        <v>0</v>
      </c>
      <c r="E165" s="34"/>
      <c r="F165" s="34"/>
      <c r="G165" s="34">
        <f t="shared" si="67"/>
        <v>0</v>
      </c>
      <c r="H165" s="34"/>
      <c r="I165" s="34"/>
      <c r="J165" s="34">
        <f t="shared" si="91"/>
        <v>0</v>
      </c>
      <c r="K165" s="34">
        <v>3630</v>
      </c>
      <c r="L165" s="34">
        <v>3630</v>
      </c>
      <c r="M165" s="34">
        <f t="shared" si="92"/>
        <v>0</v>
      </c>
      <c r="N165" s="34"/>
      <c r="O165" s="34"/>
      <c r="P165" s="34">
        <f t="shared" si="93"/>
        <v>0</v>
      </c>
      <c r="Q165" s="34"/>
      <c r="R165" s="34"/>
      <c r="S165" s="34">
        <f t="shared" si="94"/>
        <v>0</v>
      </c>
      <c r="T165" s="34"/>
      <c r="U165" s="34"/>
      <c r="V165" s="34">
        <f t="shared" si="95"/>
        <v>0</v>
      </c>
      <c r="W165" s="34"/>
      <c r="X165" s="34"/>
      <c r="Y165" s="34">
        <f t="shared" si="96"/>
        <v>0</v>
      </c>
      <c r="Z165" s="34"/>
      <c r="AA165" s="34"/>
      <c r="AB165" s="34">
        <f t="shared" si="97"/>
        <v>0</v>
      </c>
    </row>
    <row r="166" spans="1:189" s="28" customFormat="1" ht="78.75" x14ac:dyDescent="0.25">
      <c r="A166" s="42" t="s">
        <v>157</v>
      </c>
      <c r="B166" s="34">
        <f t="shared" si="75"/>
        <v>864178</v>
      </c>
      <c r="C166" s="34">
        <f t="shared" si="75"/>
        <v>864178</v>
      </c>
      <c r="D166" s="34">
        <f t="shared" si="75"/>
        <v>0</v>
      </c>
      <c r="E166" s="34"/>
      <c r="F166" s="34"/>
      <c r="G166" s="34">
        <f t="shared" si="67"/>
        <v>0</v>
      </c>
      <c r="H166" s="34"/>
      <c r="I166" s="34"/>
      <c r="J166" s="34">
        <f t="shared" si="91"/>
        <v>0</v>
      </c>
      <c r="K166" s="34"/>
      <c r="L166" s="34"/>
      <c r="M166" s="34">
        <f t="shared" si="92"/>
        <v>0</v>
      </c>
      <c r="N166" s="34">
        <v>864178</v>
      </c>
      <c r="O166" s="34">
        <v>864178</v>
      </c>
      <c r="P166" s="34">
        <f t="shared" si="93"/>
        <v>0</v>
      </c>
      <c r="Q166" s="34"/>
      <c r="R166" s="34"/>
      <c r="S166" s="34">
        <f t="shared" si="94"/>
        <v>0</v>
      </c>
      <c r="T166" s="34"/>
      <c r="U166" s="34"/>
      <c r="V166" s="34">
        <f t="shared" si="95"/>
        <v>0</v>
      </c>
      <c r="W166" s="34"/>
      <c r="X166" s="34"/>
      <c r="Y166" s="34">
        <f t="shared" si="96"/>
        <v>0</v>
      </c>
      <c r="Z166" s="34"/>
      <c r="AA166" s="34"/>
      <c r="AB166" s="34">
        <f t="shared" si="97"/>
        <v>0</v>
      </c>
    </row>
    <row r="167" spans="1:189" s="28" customFormat="1" ht="63" x14ac:dyDescent="0.25">
      <c r="A167" s="42" t="s">
        <v>158</v>
      </c>
      <c r="B167" s="34">
        <f t="shared" si="75"/>
        <v>11158</v>
      </c>
      <c r="C167" s="34">
        <f t="shared" si="75"/>
        <v>170316</v>
      </c>
      <c r="D167" s="34">
        <f t="shared" si="75"/>
        <v>159158</v>
      </c>
      <c r="E167" s="34"/>
      <c r="F167" s="34"/>
      <c r="G167" s="34">
        <f t="shared" si="67"/>
        <v>0</v>
      </c>
      <c r="H167" s="34"/>
      <c r="I167" s="34"/>
      <c r="J167" s="34">
        <f t="shared" si="91"/>
        <v>0</v>
      </c>
      <c r="K167" s="34"/>
      <c r="L167" s="34"/>
      <c r="M167" s="34">
        <f t="shared" si="92"/>
        <v>0</v>
      </c>
      <c r="N167" s="34">
        <f>138928-126330-1440</f>
        <v>11158</v>
      </c>
      <c r="O167" s="34">
        <f>138928-126330-1440+1440+157718</f>
        <v>170316</v>
      </c>
      <c r="P167" s="34">
        <f t="shared" si="93"/>
        <v>159158</v>
      </c>
      <c r="Q167" s="34"/>
      <c r="R167" s="34"/>
      <c r="S167" s="34">
        <f t="shared" si="94"/>
        <v>0</v>
      </c>
      <c r="T167" s="34"/>
      <c r="U167" s="34"/>
      <c r="V167" s="34">
        <f t="shared" si="95"/>
        <v>0</v>
      </c>
      <c r="W167" s="34"/>
      <c r="X167" s="34"/>
      <c r="Y167" s="34">
        <f t="shared" si="96"/>
        <v>0</v>
      </c>
      <c r="Z167" s="34"/>
      <c r="AA167" s="34"/>
      <c r="AB167" s="34">
        <f t="shared" si="97"/>
        <v>0</v>
      </c>
    </row>
    <row r="168" spans="1:189" s="28" customFormat="1" ht="47.25" x14ac:dyDescent="0.25">
      <c r="A168" s="42" t="s">
        <v>159</v>
      </c>
      <c r="B168" s="34">
        <f t="shared" si="75"/>
        <v>430666</v>
      </c>
      <c r="C168" s="34">
        <f t="shared" si="75"/>
        <v>430666</v>
      </c>
      <c r="D168" s="34">
        <f t="shared" si="75"/>
        <v>0</v>
      </c>
      <c r="E168" s="34"/>
      <c r="F168" s="34"/>
      <c r="G168" s="34">
        <f t="shared" si="67"/>
        <v>0</v>
      </c>
      <c r="H168" s="34"/>
      <c r="I168" s="34"/>
      <c r="J168" s="34">
        <f t="shared" si="91"/>
        <v>0</v>
      </c>
      <c r="K168" s="34"/>
      <c r="L168" s="34"/>
      <c r="M168" s="34">
        <f t="shared" si="92"/>
        <v>0</v>
      </c>
      <c r="N168" s="34">
        <f>838158-31614-375878</f>
        <v>430666</v>
      </c>
      <c r="O168" s="34">
        <f>838158-31614-375878</f>
        <v>430666</v>
      </c>
      <c r="P168" s="34">
        <f t="shared" si="93"/>
        <v>0</v>
      </c>
      <c r="Q168" s="34"/>
      <c r="R168" s="34"/>
      <c r="S168" s="34">
        <f t="shared" si="94"/>
        <v>0</v>
      </c>
      <c r="T168" s="34"/>
      <c r="U168" s="34"/>
      <c r="V168" s="34">
        <f t="shared" si="95"/>
        <v>0</v>
      </c>
      <c r="W168" s="34"/>
      <c r="X168" s="34"/>
      <c r="Y168" s="34">
        <f t="shared" si="96"/>
        <v>0</v>
      </c>
      <c r="Z168" s="34"/>
      <c r="AA168" s="34"/>
      <c r="AB168" s="34">
        <f t="shared" si="97"/>
        <v>0</v>
      </c>
    </row>
    <row r="169" spans="1:189" s="28" customFormat="1" x14ac:dyDescent="0.25">
      <c r="A169" s="42" t="s">
        <v>160</v>
      </c>
      <c r="B169" s="34">
        <f t="shared" si="75"/>
        <v>7000</v>
      </c>
      <c r="C169" s="34">
        <f t="shared" si="75"/>
        <v>7000</v>
      </c>
      <c r="D169" s="34">
        <f t="shared" si="75"/>
        <v>0</v>
      </c>
      <c r="E169" s="34"/>
      <c r="F169" s="34"/>
      <c r="G169" s="34">
        <f t="shared" si="67"/>
        <v>0</v>
      </c>
      <c r="H169" s="34"/>
      <c r="I169" s="34"/>
      <c r="J169" s="34">
        <f t="shared" si="91"/>
        <v>0</v>
      </c>
      <c r="K169" s="34">
        <v>7000</v>
      </c>
      <c r="L169" s="34">
        <v>7000</v>
      </c>
      <c r="M169" s="34">
        <f t="shared" si="92"/>
        <v>0</v>
      </c>
      <c r="N169" s="34"/>
      <c r="O169" s="34"/>
      <c r="P169" s="34">
        <f t="shared" si="93"/>
        <v>0</v>
      </c>
      <c r="Q169" s="34"/>
      <c r="R169" s="34"/>
      <c r="S169" s="34">
        <f t="shared" si="94"/>
        <v>0</v>
      </c>
      <c r="T169" s="34"/>
      <c r="U169" s="34"/>
      <c r="V169" s="34">
        <f t="shared" si="95"/>
        <v>0</v>
      </c>
      <c r="W169" s="34"/>
      <c r="X169" s="34"/>
      <c r="Y169" s="34">
        <f t="shared" si="96"/>
        <v>0</v>
      </c>
      <c r="Z169" s="34"/>
      <c r="AA169" s="34"/>
      <c r="AB169" s="34">
        <f t="shared" si="97"/>
        <v>0</v>
      </c>
    </row>
    <row r="170" spans="1:189" s="28" customFormat="1" ht="63" x14ac:dyDescent="0.25">
      <c r="A170" s="42" t="s">
        <v>161</v>
      </c>
      <c r="B170" s="34">
        <f t="shared" si="75"/>
        <v>17700</v>
      </c>
      <c r="C170" s="34">
        <f t="shared" si="75"/>
        <v>17700</v>
      </c>
      <c r="D170" s="34">
        <f t="shared" si="75"/>
        <v>0</v>
      </c>
      <c r="E170" s="34"/>
      <c r="F170" s="34"/>
      <c r="G170" s="34">
        <f t="shared" si="67"/>
        <v>0</v>
      </c>
      <c r="H170" s="34"/>
      <c r="I170" s="34"/>
      <c r="J170" s="34">
        <f t="shared" si="91"/>
        <v>0</v>
      </c>
      <c r="K170" s="34">
        <v>17700</v>
      </c>
      <c r="L170" s="34">
        <v>17700</v>
      </c>
      <c r="M170" s="34">
        <f t="shared" si="92"/>
        <v>0</v>
      </c>
      <c r="N170" s="34"/>
      <c r="O170" s="34"/>
      <c r="P170" s="34">
        <f t="shared" si="93"/>
        <v>0</v>
      </c>
      <c r="Q170" s="34"/>
      <c r="R170" s="34"/>
      <c r="S170" s="34">
        <f t="shared" si="94"/>
        <v>0</v>
      </c>
      <c r="T170" s="34"/>
      <c r="U170" s="34"/>
      <c r="V170" s="34">
        <f t="shared" si="95"/>
        <v>0</v>
      </c>
      <c r="W170" s="34"/>
      <c r="X170" s="34"/>
      <c r="Y170" s="34">
        <f t="shared" si="96"/>
        <v>0</v>
      </c>
      <c r="Z170" s="34"/>
      <c r="AA170" s="34"/>
      <c r="AB170" s="34">
        <f t="shared" si="97"/>
        <v>0</v>
      </c>
    </row>
    <row r="171" spans="1:189" s="28" customFormat="1" x14ac:dyDescent="0.25">
      <c r="A171" s="26" t="s">
        <v>162</v>
      </c>
      <c r="B171" s="27">
        <f t="shared" si="75"/>
        <v>1397019</v>
      </c>
      <c r="C171" s="27">
        <f t="shared" si="75"/>
        <v>1397019</v>
      </c>
      <c r="D171" s="27">
        <f t="shared" si="75"/>
        <v>0</v>
      </c>
      <c r="E171" s="27">
        <f t="shared" ref="E171:AA171" si="98">SUM(E172)</f>
        <v>46418</v>
      </c>
      <c r="F171" s="27">
        <f t="shared" si="98"/>
        <v>46418</v>
      </c>
      <c r="G171" s="27">
        <f t="shared" si="67"/>
        <v>0</v>
      </c>
      <c r="H171" s="27">
        <f t="shared" si="98"/>
        <v>30000</v>
      </c>
      <c r="I171" s="27">
        <f t="shared" si="98"/>
        <v>30000</v>
      </c>
      <c r="J171" s="27">
        <f t="shared" si="91"/>
        <v>0</v>
      </c>
      <c r="K171" s="27">
        <f t="shared" si="98"/>
        <v>20000</v>
      </c>
      <c r="L171" s="27">
        <f t="shared" si="98"/>
        <v>20000</v>
      </c>
      <c r="M171" s="27">
        <f t="shared" si="92"/>
        <v>0</v>
      </c>
      <c r="N171" s="27">
        <f t="shared" si="98"/>
        <v>942146</v>
      </c>
      <c r="O171" s="27">
        <f t="shared" si="98"/>
        <v>942146</v>
      </c>
      <c r="P171" s="27">
        <f t="shared" si="93"/>
        <v>0</v>
      </c>
      <c r="Q171" s="27">
        <f t="shared" si="98"/>
        <v>0</v>
      </c>
      <c r="R171" s="27">
        <f t="shared" si="98"/>
        <v>0</v>
      </c>
      <c r="S171" s="27">
        <f t="shared" si="94"/>
        <v>0</v>
      </c>
      <c r="T171" s="27">
        <f t="shared" si="98"/>
        <v>358455</v>
      </c>
      <c r="U171" s="27">
        <f t="shared" si="98"/>
        <v>358455</v>
      </c>
      <c r="V171" s="27">
        <f t="shared" si="95"/>
        <v>0</v>
      </c>
      <c r="W171" s="27">
        <f t="shared" si="98"/>
        <v>0</v>
      </c>
      <c r="X171" s="27">
        <f t="shared" si="98"/>
        <v>0</v>
      </c>
      <c r="Y171" s="27">
        <f t="shared" si="96"/>
        <v>0</v>
      </c>
      <c r="Z171" s="27">
        <f t="shared" si="98"/>
        <v>0</v>
      </c>
      <c r="AA171" s="27">
        <f t="shared" si="98"/>
        <v>0</v>
      </c>
      <c r="AB171" s="27">
        <f t="shared" si="97"/>
        <v>0</v>
      </c>
    </row>
    <row r="172" spans="1:189" s="28" customFormat="1" x14ac:dyDescent="0.25">
      <c r="A172" s="26" t="s">
        <v>24</v>
      </c>
      <c r="B172" s="27">
        <f t="shared" si="75"/>
        <v>1397019</v>
      </c>
      <c r="C172" s="27">
        <f t="shared" si="75"/>
        <v>1397019</v>
      </c>
      <c r="D172" s="27">
        <f t="shared" si="75"/>
        <v>0</v>
      </c>
      <c r="E172" s="27">
        <f t="shared" ref="E172:F172" si="99">SUM(E173:E177)</f>
        <v>46418</v>
      </c>
      <c r="F172" s="27">
        <f t="shared" si="99"/>
        <v>46418</v>
      </c>
      <c r="G172" s="27">
        <f t="shared" si="67"/>
        <v>0</v>
      </c>
      <c r="H172" s="27">
        <f t="shared" ref="H172:AA172" si="100">SUM(H173:H177)</f>
        <v>30000</v>
      </c>
      <c r="I172" s="27">
        <f t="shared" si="100"/>
        <v>30000</v>
      </c>
      <c r="J172" s="27">
        <f t="shared" si="91"/>
        <v>0</v>
      </c>
      <c r="K172" s="27">
        <f t="shared" ref="K172" si="101">SUM(K173:K177)</f>
        <v>20000</v>
      </c>
      <c r="L172" s="27">
        <f t="shared" si="100"/>
        <v>20000</v>
      </c>
      <c r="M172" s="27">
        <f t="shared" si="92"/>
        <v>0</v>
      </c>
      <c r="N172" s="27">
        <f t="shared" ref="N172" si="102">SUM(N173:N177)</f>
        <v>942146</v>
      </c>
      <c r="O172" s="27">
        <f t="shared" si="100"/>
        <v>942146</v>
      </c>
      <c r="P172" s="27">
        <f t="shared" si="93"/>
        <v>0</v>
      </c>
      <c r="Q172" s="27">
        <f t="shared" ref="Q172" si="103">SUM(Q173:Q177)</f>
        <v>0</v>
      </c>
      <c r="R172" s="27">
        <f t="shared" si="100"/>
        <v>0</v>
      </c>
      <c r="S172" s="27">
        <f t="shared" si="94"/>
        <v>0</v>
      </c>
      <c r="T172" s="27">
        <f t="shared" ref="T172" si="104">SUM(T173:T177)</f>
        <v>358455</v>
      </c>
      <c r="U172" s="27">
        <f t="shared" si="100"/>
        <v>358455</v>
      </c>
      <c r="V172" s="27">
        <f t="shared" si="95"/>
        <v>0</v>
      </c>
      <c r="W172" s="27">
        <f t="shared" ref="W172" si="105">SUM(W173:W177)</f>
        <v>0</v>
      </c>
      <c r="X172" s="27">
        <f t="shared" si="100"/>
        <v>0</v>
      </c>
      <c r="Y172" s="27">
        <f t="shared" si="96"/>
        <v>0</v>
      </c>
      <c r="Z172" s="27">
        <f t="shared" ref="Z172" si="106">SUM(Z173:Z177)</f>
        <v>0</v>
      </c>
      <c r="AA172" s="27">
        <f t="shared" si="100"/>
        <v>0</v>
      </c>
      <c r="AB172" s="27">
        <f t="shared" si="97"/>
        <v>0</v>
      </c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  <c r="EM172" s="25"/>
      <c r="EN172" s="25"/>
      <c r="EO172" s="25"/>
      <c r="EP172" s="25"/>
      <c r="EQ172" s="25"/>
      <c r="ER172" s="25"/>
      <c r="ES172" s="25"/>
      <c r="ET172" s="25"/>
      <c r="EU172" s="25"/>
      <c r="EV172" s="25"/>
      <c r="EW172" s="25"/>
      <c r="EX172" s="25"/>
      <c r="EY172" s="25"/>
      <c r="EZ172" s="25"/>
      <c r="FA172" s="25"/>
      <c r="FB172" s="25"/>
      <c r="FC172" s="25"/>
      <c r="FD172" s="25"/>
      <c r="FE172" s="25"/>
      <c r="FF172" s="25"/>
      <c r="FG172" s="25"/>
      <c r="FH172" s="25"/>
      <c r="FI172" s="25"/>
      <c r="FJ172" s="25"/>
      <c r="FK172" s="25"/>
      <c r="FL172" s="25"/>
      <c r="FM172" s="25"/>
      <c r="FN172" s="25"/>
      <c r="FO172" s="25"/>
      <c r="FP172" s="25"/>
      <c r="FQ172" s="25"/>
      <c r="FR172" s="25"/>
      <c r="FS172" s="25"/>
      <c r="FT172" s="25"/>
      <c r="FU172" s="25"/>
      <c r="FV172" s="25"/>
      <c r="FW172" s="25"/>
      <c r="FX172" s="25"/>
      <c r="FY172" s="25"/>
      <c r="FZ172" s="25"/>
      <c r="GA172" s="25"/>
      <c r="GB172" s="25"/>
      <c r="GC172" s="25"/>
      <c r="GD172" s="25"/>
      <c r="GE172" s="25"/>
      <c r="GF172" s="25"/>
      <c r="GG172" s="25"/>
    </row>
    <row r="173" spans="1:189" s="28" customFormat="1" ht="94.5" x14ac:dyDescent="0.25">
      <c r="A173" s="33" t="s">
        <v>163</v>
      </c>
      <c r="B173" s="34">
        <f t="shared" si="75"/>
        <v>942146</v>
      </c>
      <c r="C173" s="34">
        <f t="shared" si="75"/>
        <v>942146</v>
      </c>
      <c r="D173" s="34">
        <f t="shared" si="75"/>
        <v>0</v>
      </c>
      <c r="E173" s="34"/>
      <c r="F173" s="34"/>
      <c r="G173" s="34">
        <f t="shared" si="67"/>
        <v>0</v>
      </c>
      <c r="H173" s="34"/>
      <c r="I173" s="34"/>
      <c r="J173" s="34">
        <f t="shared" si="91"/>
        <v>0</v>
      </c>
      <c r="K173" s="34"/>
      <c r="L173" s="34"/>
      <c r="M173" s="34">
        <f t="shared" si="92"/>
        <v>0</v>
      </c>
      <c r="N173" s="34">
        <f>2000000-1057854</f>
        <v>942146</v>
      </c>
      <c r="O173" s="34">
        <f>2000000-1057854</f>
        <v>942146</v>
      </c>
      <c r="P173" s="34">
        <f t="shared" si="93"/>
        <v>0</v>
      </c>
      <c r="Q173" s="34"/>
      <c r="R173" s="34"/>
      <c r="S173" s="34">
        <f t="shared" si="94"/>
        <v>0</v>
      </c>
      <c r="T173" s="34"/>
      <c r="U173" s="34"/>
      <c r="V173" s="34">
        <f t="shared" si="95"/>
        <v>0</v>
      </c>
      <c r="W173" s="34"/>
      <c r="X173" s="34"/>
      <c r="Y173" s="34">
        <f t="shared" si="96"/>
        <v>0</v>
      </c>
      <c r="Z173" s="34"/>
      <c r="AA173" s="34"/>
      <c r="AB173" s="34">
        <f t="shared" si="97"/>
        <v>0</v>
      </c>
      <c r="FN173" s="25"/>
      <c r="FO173" s="25"/>
      <c r="FP173" s="25"/>
      <c r="FQ173" s="25"/>
      <c r="FR173" s="25"/>
      <c r="FS173" s="25"/>
      <c r="FT173" s="25"/>
      <c r="FU173" s="25"/>
      <c r="FV173" s="25"/>
      <c r="FW173" s="25"/>
      <c r="FX173" s="25"/>
      <c r="FY173" s="25"/>
      <c r="FZ173" s="25"/>
      <c r="GA173" s="25"/>
      <c r="GB173" s="25"/>
      <c r="GC173" s="25"/>
      <c r="GD173" s="25"/>
      <c r="GE173" s="25"/>
      <c r="GF173" s="25"/>
      <c r="GG173" s="25"/>
    </row>
    <row r="174" spans="1:189" s="28" customFormat="1" x14ac:dyDescent="0.25">
      <c r="A174" s="33" t="s">
        <v>164</v>
      </c>
      <c r="B174" s="34">
        <f t="shared" si="75"/>
        <v>20000</v>
      </c>
      <c r="C174" s="34">
        <f t="shared" si="75"/>
        <v>20000</v>
      </c>
      <c r="D174" s="34">
        <f t="shared" si="75"/>
        <v>0</v>
      </c>
      <c r="E174" s="34"/>
      <c r="F174" s="34"/>
      <c r="G174" s="34">
        <f t="shared" si="67"/>
        <v>0</v>
      </c>
      <c r="H174" s="34"/>
      <c r="I174" s="34"/>
      <c r="J174" s="34">
        <f t="shared" si="91"/>
        <v>0</v>
      </c>
      <c r="K174" s="34">
        <v>20000</v>
      </c>
      <c r="L174" s="34">
        <v>20000</v>
      </c>
      <c r="M174" s="34">
        <f t="shared" si="92"/>
        <v>0</v>
      </c>
      <c r="N174" s="34"/>
      <c r="O174" s="34"/>
      <c r="P174" s="34">
        <f t="shared" si="93"/>
        <v>0</v>
      </c>
      <c r="Q174" s="34"/>
      <c r="R174" s="34"/>
      <c r="S174" s="34">
        <f t="shared" si="94"/>
        <v>0</v>
      </c>
      <c r="T174" s="34"/>
      <c r="U174" s="34"/>
      <c r="V174" s="34">
        <f t="shared" si="95"/>
        <v>0</v>
      </c>
      <c r="W174" s="34"/>
      <c r="X174" s="34"/>
      <c r="Y174" s="34">
        <f t="shared" si="96"/>
        <v>0</v>
      </c>
      <c r="Z174" s="34"/>
      <c r="AA174" s="34"/>
      <c r="AB174" s="34">
        <f t="shared" si="97"/>
        <v>0</v>
      </c>
    </row>
    <row r="175" spans="1:189" s="28" customFormat="1" ht="31.5" x14ac:dyDescent="0.25">
      <c r="A175" s="33" t="s">
        <v>165</v>
      </c>
      <c r="B175" s="34">
        <f t="shared" si="75"/>
        <v>30000</v>
      </c>
      <c r="C175" s="34">
        <f t="shared" si="75"/>
        <v>30000</v>
      </c>
      <c r="D175" s="34">
        <f t="shared" si="75"/>
        <v>0</v>
      </c>
      <c r="E175" s="34"/>
      <c r="F175" s="34"/>
      <c r="G175" s="34">
        <f t="shared" si="67"/>
        <v>0</v>
      </c>
      <c r="H175" s="34">
        <v>30000</v>
      </c>
      <c r="I175" s="34">
        <v>30000</v>
      </c>
      <c r="J175" s="34">
        <f t="shared" si="91"/>
        <v>0</v>
      </c>
      <c r="K175" s="34"/>
      <c r="L175" s="34"/>
      <c r="M175" s="34">
        <f t="shared" si="92"/>
        <v>0</v>
      </c>
      <c r="N175" s="34"/>
      <c r="O175" s="34"/>
      <c r="P175" s="34">
        <f t="shared" si="93"/>
        <v>0</v>
      </c>
      <c r="Q175" s="34"/>
      <c r="R175" s="34"/>
      <c r="S175" s="34">
        <f t="shared" si="94"/>
        <v>0</v>
      </c>
      <c r="T175" s="34"/>
      <c r="U175" s="34"/>
      <c r="V175" s="34">
        <f t="shared" si="95"/>
        <v>0</v>
      </c>
      <c r="W175" s="34"/>
      <c r="X175" s="34"/>
      <c r="Y175" s="34">
        <f t="shared" si="96"/>
        <v>0</v>
      </c>
      <c r="Z175" s="34"/>
      <c r="AA175" s="34"/>
      <c r="AB175" s="34">
        <f t="shared" si="97"/>
        <v>0</v>
      </c>
      <c r="FN175" s="25"/>
      <c r="FO175" s="25"/>
      <c r="FP175" s="25"/>
      <c r="FQ175" s="25"/>
      <c r="FR175" s="25"/>
      <c r="FS175" s="25"/>
      <c r="FT175" s="25"/>
      <c r="FU175" s="25"/>
      <c r="FV175" s="25"/>
      <c r="FW175" s="25"/>
      <c r="FX175" s="25"/>
      <c r="FY175" s="25"/>
      <c r="FZ175" s="25"/>
      <c r="GA175" s="25"/>
      <c r="GB175" s="25"/>
      <c r="GC175" s="25"/>
      <c r="GD175" s="25"/>
      <c r="GE175" s="25"/>
      <c r="GF175" s="25"/>
      <c r="GG175" s="25"/>
    </row>
    <row r="176" spans="1:189" s="25" customFormat="1" ht="63" x14ac:dyDescent="0.25">
      <c r="A176" s="38" t="s">
        <v>166</v>
      </c>
      <c r="B176" s="34">
        <f t="shared" si="75"/>
        <v>54873</v>
      </c>
      <c r="C176" s="34">
        <f t="shared" si="75"/>
        <v>54873</v>
      </c>
      <c r="D176" s="34">
        <f t="shared" si="75"/>
        <v>0</v>
      </c>
      <c r="E176" s="34"/>
      <c r="F176" s="34"/>
      <c r="G176" s="34">
        <f t="shared" si="67"/>
        <v>0</v>
      </c>
      <c r="H176" s="34"/>
      <c r="I176" s="34"/>
      <c r="J176" s="34">
        <f t="shared" si="91"/>
        <v>0</v>
      </c>
      <c r="K176" s="34"/>
      <c r="L176" s="34"/>
      <c r="M176" s="34">
        <f t="shared" si="92"/>
        <v>0</v>
      </c>
      <c r="N176" s="34"/>
      <c r="O176" s="34"/>
      <c r="P176" s="34">
        <f t="shared" si="93"/>
        <v>0</v>
      </c>
      <c r="Q176" s="34"/>
      <c r="R176" s="34"/>
      <c r="S176" s="34">
        <f t="shared" si="94"/>
        <v>0</v>
      </c>
      <c r="T176" s="34">
        <v>54873</v>
      </c>
      <c r="U176" s="34">
        <v>54873</v>
      </c>
      <c r="V176" s="34">
        <f t="shared" si="95"/>
        <v>0</v>
      </c>
      <c r="W176" s="34"/>
      <c r="X176" s="34"/>
      <c r="Y176" s="34">
        <f t="shared" si="96"/>
        <v>0</v>
      </c>
      <c r="Z176" s="34"/>
      <c r="AA176" s="34"/>
      <c r="AB176" s="34">
        <f t="shared" si="97"/>
        <v>0</v>
      </c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28"/>
      <c r="BN176" s="28"/>
      <c r="BO176" s="28"/>
      <c r="BP176" s="28"/>
      <c r="BQ176" s="28"/>
      <c r="BR176" s="28"/>
      <c r="BS176" s="28"/>
      <c r="BT176" s="28"/>
      <c r="BU176" s="28"/>
      <c r="BV176" s="28"/>
      <c r="BW176" s="28"/>
      <c r="BX176" s="28"/>
      <c r="BY176" s="28"/>
      <c r="BZ176" s="28"/>
      <c r="CA176" s="28"/>
      <c r="CB176" s="28"/>
      <c r="CC176" s="28"/>
      <c r="CD176" s="28"/>
      <c r="CE176" s="28"/>
      <c r="CF176" s="28"/>
      <c r="CG176" s="28"/>
      <c r="CH176" s="28"/>
      <c r="CI176" s="28"/>
      <c r="CJ176" s="28"/>
      <c r="CK176" s="28"/>
      <c r="CL176" s="28"/>
      <c r="CM176" s="28"/>
      <c r="CN176" s="28"/>
      <c r="CO176" s="28"/>
      <c r="CP176" s="28"/>
      <c r="CQ176" s="28"/>
      <c r="CR176" s="28"/>
      <c r="CS176" s="28"/>
      <c r="CT176" s="28"/>
      <c r="CU176" s="28"/>
      <c r="CV176" s="28"/>
      <c r="CW176" s="28"/>
      <c r="CX176" s="28"/>
      <c r="CY176" s="28"/>
      <c r="CZ176" s="28"/>
      <c r="DA176" s="28"/>
      <c r="DB176" s="28"/>
      <c r="DC176" s="28"/>
      <c r="DD176" s="28"/>
      <c r="DE176" s="28"/>
      <c r="DF176" s="28"/>
      <c r="DG176" s="28"/>
      <c r="DH176" s="28"/>
      <c r="DI176" s="28"/>
      <c r="DJ176" s="28"/>
      <c r="DK176" s="28"/>
      <c r="DL176" s="28"/>
      <c r="DM176" s="28"/>
      <c r="DN176" s="28"/>
      <c r="DO176" s="28"/>
      <c r="DP176" s="28"/>
      <c r="DQ176" s="28"/>
      <c r="DR176" s="28"/>
      <c r="DS176" s="28"/>
      <c r="DT176" s="28"/>
      <c r="DU176" s="28"/>
      <c r="DV176" s="28"/>
      <c r="DW176" s="28"/>
      <c r="DX176" s="28"/>
      <c r="DY176" s="28"/>
      <c r="DZ176" s="28"/>
      <c r="EA176" s="28"/>
      <c r="EB176" s="28"/>
      <c r="EC176" s="28"/>
      <c r="ED176" s="28"/>
      <c r="EE176" s="28"/>
      <c r="EF176" s="28"/>
      <c r="EG176" s="28"/>
      <c r="EH176" s="28"/>
      <c r="EI176" s="28"/>
      <c r="EJ176" s="28"/>
      <c r="EK176" s="28"/>
      <c r="EL176" s="28"/>
      <c r="EM176" s="28"/>
      <c r="EN176" s="28"/>
      <c r="EO176" s="28"/>
      <c r="EP176" s="28"/>
      <c r="EQ176" s="28"/>
      <c r="ER176" s="28"/>
      <c r="ES176" s="28"/>
      <c r="ET176" s="28"/>
      <c r="EU176" s="28"/>
      <c r="EV176" s="28"/>
      <c r="EW176" s="28"/>
      <c r="EX176" s="28"/>
      <c r="EY176" s="28"/>
      <c r="EZ176" s="28"/>
      <c r="FA176" s="28"/>
      <c r="FB176" s="28"/>
      <c r="FC176" s="28"/>
      <c r="FD176" s="28"/>
      <c r="FE176" s="28"/>
      <c r="FF176" s="28"/>
      <c r="FG176" s="28"/>
      <c r="FH176" s="28"/>
      <c r="FI176" s="28"/>
      <c r="FJ176" s="28"/>
      <c r="FK176" s="28"/>
      <c r="FL176" s="28"/>
      <c r="FM176" s="28"/>
      <c r="FN176" s="28"/>
      <c r="FO176" s="28"/>
      <c r="FP176" s="28"/>
      <c r="FQ176" s="28"/>
      <c r="FR176" s="28"/>
      <c r="FS176" s="28"/>
      <c r="FT176" s="28"/>
      <c r="FU176" s="28"/>
      <c r="FV176" s="28"/>
      <c r="FW176" s="28"/>
      <c r="FX176" s="28"/>
      <c r="FY176" s="28"/>
      <c r="FZ176" s="28"/>
      <c r="GA176" s="28"/>
      <c r="GB176" s="28"/>
      <c r="GC176" s="28"/>
      <c r="GD176" s="28"/>
      <c r="GE176" s="28"/>
      <c r="GF176" s="28"/>
      <c r="GG176" s="28"/>
    </row>
    <row r="177" spans="1:189" s="25" customFormat="1" ht="31.5" x14ac:dyDescent="0.25">
      <c r="A177" s="38" t="s">
        <v>167</v>
      </c>
      <c r="B177" s="34">
        <f t="shared" si="75"/>
        <v>350000</v>
      </c>
      <c r="C177" s="34">
        <f t="shared" si="75"/>
        <v>350000</v>
      </c>
      <c r="D177" s="34">
        <f t="shared" si="75"/>
        <v>0</v>
      </c>
      <c r="E177" s="34">
        <v>46418</v>
      </c>
      <c r="F177" s="34">
        <v>46418</v>
      </c>
      <c r="G177" s="34">
        <f t="shared" si="67"/>
        <v>0</v>
      </c>
      <c r="H177" s="34"/>
      <c r="I177" s="34"/>
      <c r="J177" s="34">
        <f t="shared" si="91"/>
        <v>0</v>
      </c>
      <c r="K177" s="34"/>
      <c r="L177" s="34"/>
      <c r="M177" s="34">
        <f t="shared" si="92"/>
        <v>0</v>
      </c>
      <c r="N177" s="34"/>
      <c r="O177" s="34"/>
      <c r="P177" s="34">
        <f t="shared" si="93"/>
        <v>0</v>
      </c>
      <c r="Q177" s="34"/>
      <c r="R177" s="34"/>
      <c r="S177" s="34">
        <f t="shared" si="94"/>
        <v>0</v>
      </c>
      <c r="T177" s="34">
        <v>303582</v>
      </c>
      <c r="U177" s="34">
        <v>303582</v>
      </c>
      <c r="V177" s="34">
        <f t="shared" si="95"/>
        <v>0</v>
      </c>
      <c r="W177" s="34"/>
      <c r="X177" s="34"/>
      <c r="Y177" s="34">
        <f t="shared" si="96"/>
        <v>0</v>
      </c>
      <c r="Z177" s="34">
        <v>0</v>
      </c>
      <c r="AA177" s="34">
        <v>0</v>
      </c>
      <c r="AB177" s="34">
        <f t="shared" si="97"/>
        <v>0</v>
      </c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28"/>
      <c r="BN177" s="28"/>
      <c r="BO177" s="28"/>
      <c r="BP177" s="28"/>
      <c r="BQ177" s="28"/>
      <c r="BR177" s="28"/>
      <c r="BS177" s="28"/>
      <c r="BT177" s="28"/>
      <c r="BU177" s="28"/>
      <c r="BV177" s="28"/>
      <c r="BW177" s="28"/>
      <c r="BX177" s="28"/>
      <c r="BY177" s="28"/>
      <c r="BZ177" s="28"/>
      <c r="CA177" s="28"/>
      <c r="CB177" s="28"/>
      <c r="CC177" s="28"/>
      <c r="CD177" s="28"/>
      <c r="CE177" s="28"/>
      <c r="CF177" s="28"/>
      <c r="CG177" s="28"/>
      <c r="CH177" s="28"/>
      <c r="CI177" s="28"/>
      <c r="CJ177" s="28"/>
      <c r="CK177" s="28"/>
      <c r="CL177" s="28"/>
      <c r="CM177" s="28"/>
      <c r="CN177" s="28"/>
      <c r="CO177" s="28"/>
      <c r="CP177" s="28"/>
      <c r="CQ177" s="28"/>
      <c r="CR177" s="28"/>
      <c r="CS177" s="28"/>
      <c r="CT177" s="28"/>
      <c r="CU177" s="28"/>
      <c r="CV177" s="28"/>
      <c r="CW177" s="28"/>
      <c r="CX177" s="28"/>
      <c r="CY177" s="28"/>
      <c r="CZ177" s="28"/>
      <c r="DA177" s="28"/>
      <c r="DB177" s="28"/>
      <c r="DC177" s="28"/>
      <c r="DD177" s="28"/>
      <c r="DE177" s="28"/>
      <c r="DF177" s="28"/>
      <c r="DG177" s="28"/>
      <c r="DH177" s="28"/>
      <c r="DI177" s="28"/>
      <c r="DJ177" s="28"/>
      <c r="DK177" s="28"/>
      <c r="DL177" s="28"/>
      <c r="DM177" s="28"/>
      <c r="DN177" s="28"/>
      <c r="DO177" s="28"/>
      <c r="DP177" s="28"/>
      <c r="DQ177" s="28"/>
      <c r="DR177" s="28"/>
      <c r="DS177" s="28"/>
      <c r="DT177" s="28"/>
      <c r="DU177" s="28"/>
      <c r="DV177" s="28"/>
      <c r="DW177" s="28"/>
      <c r="DX177" s="28"/>
      <c r="DY177" s="28"/>
      <c r="DZ177" s="28"/>
      <c r="EA177" s="28"/>
      <c r="EB177" s="28"/>
      <c r="EC177" s="28"/>
      <c r="ED177" s="28"/>
      <c r="EE177" s="28"/>
      <c r="EF177" s="28"/>
      <c r="EG177" s="28"/>
      <c r="EH177" s="28"/>
      <c r="EI177" s="28"/>
      <c r="EJ177" s="28"/>
      <c r="EK177" s="28"/>
      <c r="EL177" s="28"/>
      <c r="EM177" s="28"/>
      <c r="EN177" s="28"/>
      <c r="EO177" s="28"/>
      <c r="EP177" s="28"/>
      <c r="EQ177" s="28"/>
      <c r="ER177" s="28"/>
      <c r="ES177" s="28"/>
      <c r="ET177" s="28"/>
      <c r="EU177" s="28"/>
      <c r="EV177" s="28"/>
      <c r="EW177" s="28"/>
      <c r="EX177" s="28"/>
      <c r="EY177" s="28"/>
      <c r="EZ177" s="28"/>
      <c r="FA177" s="28"/>
      <c r="FB177" s="28"/>
      <c r="FC177" s="28"/>
      <c r="FD177" s="28"/>
      <c r="FE177" s="28"/>
      <c r="FF177" s="28"/>
      <c r="FG177" s="28"/>
      <c r="FH177" s="28"/>
      <c r="FI177" s="28"/>
      <c r="FJ177" s="28"/>
      <c r="FK177" s="28"/>
      <c r="FL177" s="28"/>
      <c r="FM177" s="28"/>
      <c r="FN177" s="28"/>
      <c r="FO177" s="28"/>
      <c r="FP177" s="28"/>
      <c r="FQ177" s="28"/>
      <c r="FR177" s="28"/>
      <c r="FS177" s="28"/>
      <c r="FT177" s="28"/>
      <c r="FU177" s="28"/>
      <c r="FV177" s="28"/>
      <c r="FW177" s="28"/>
      <c r="FX177" s="28"/>
      <c r="FY177" s="28"/>
      <c r="FZ177" s="28"/>
      <c r="GA177" s="28"/>
      <c r="GB177" s="28"/>
      <c r="GC177" s="28"/>
      <c r="GD177" s="28"/>
      <c r="GE177" s="28"/>
      <c r="GF177" s="28"/>
      <c r="GG177" s="28"/>
    </row>
    <row r="178" spans="1:189" s="28" customFormat="1" x14ac:dyDescent="0.25">
      <c r="A178" s="26" t="s">
        <v>168</v>
      </c>
      <c r="B178" s="27">
        <f t="shared" si="75"/>
        <v>16741460</v>
      </c>
      <c r="C178" s="27">
        <f t="shared" si="75"/>
        <v>18545761</v>
      </c>
      <c r="D178" s="27">
        <f t="shared" si="75"/>
        <v>1804301</v>
      </c>
      <c r="E178" s="27">
        <f>SUM(E179,E198,E210,E284,E313,E354,E396,E265)</f>
        <v>708180</v>
      </c>
      <c r="F178" s="27">
        <f>SUM(F179,F198,F210,F284,F313,F354,F396,F265)</f>
        <v>708183</v>
      </c>
      <c r="G178" s="27">
        <f>F178-E178</f>
        <v>3</v>
      </c>
      <c r="H178" s="27">
        <f>SUM(H179,H198,H210,H284,H313,H354,H396,H265)</f>
        <v>376934</v>
      </c>
      <c r="I178" s="27">
        <f>SUM(I179,I198,I210,I284,I313,I354,I396,I265)</f>
        <v>376934</v>
      </c>
      <c r="J178" s="27">
        <f t="shared" si="91"/>
        <v>0</v>
      </c>
      <c r="K178" s="27">
        <f>SUM(K179,K198,K210,K284,K313,K354,K396,K265)</f>
        <v>1150240</v>
      </c>
      <c r="L178" s="27">
        <f>SUM(L179,L198,L210,L284,L313,L354,L396,L265)</f>
        <v>1100305</v>
      </c>
      <c r="M178" s="27">
        <f t="shared" si="92"/>
        <v>-49935</v>
      </c>
      <c r="N178" s="27">
        <f>SUM(N179,N198,N210,N284,N313,N354,N396,N265)</f>
        <v>5123191</v>
      </c>
      <c r="O178" s="27">
        <f>SUM(O179,O198,O210,O284,O313,O354,O396,O265)</f>
        <v>5123191</v>
      </c>
      <c r="P178" s="27">
        <f t="shared" si="93"/>
        <v>0</v>
      </c>
      <c r="Q178" s="27">
        <f>SUM(Q179,Q198,Q210,Q284,Q313,Q354,Q396,Q265)</f>
        <v>469256</v>
      </c>
      <c r="R178" s="27">
        <f>SUM(R179,R198,R210,R284,R313,R354,R396,R265)</f>
        <v>473489</v>
      </c>
      <c r="S178" s="27">
        <f t="shared" si="94"/>
        <v>4233</v>
      </c>
      <c r="T178" s="27">
        <f>SUM(T179,T198,T210,T284,T313,T354,T396,T265)</f>
        <v>4331414</v>
      </c>
      <c r="U178" s="27">
        <f>SUM(U179,U198,U210,U284,U313,U354,U396,U265)</f>
        <v>4331414</v>
      </c>
      <c r="V178" s="27">
        <f t="shared" si="95"/>
        <v>0</v>
      </c>
      <c r="W178" s="27">
        <f>SUM(W179,W198,W210,W284,W313,W354,W396,W265)</f>
        <v>851361</v>
      </c>
      <c r="X178" s="27">
        <f>SUM(X179,X198,X210,X284,X313,X354,X396,X265)</f>
        <v>2141361</v>
      </c>
      <c r="Y178" s="27">
        <f t="shared" si="96"/>
        <v>1290000</v>
      </c>
      <c r="Z178" s="27">
        <f>SUM(Z179,Z198,Z210,Z284,Z313,Z354,Z396,Z265)</f>
        <v>3730884</v>
      </c>
      <c r="AA178" s="27">
        <f>SUM(AA179,AA198,AA210,AA284,AA313,AA354,AA396,AA265)</f>
        <v>4290884</v>
      </c>
      <c r="AB178" s="27">
        <f t="shared" si="97"/>
        <v>560000</v>
      </c>
    </row>
    <row r="179" spans="1:189" s="28" customFormat="1" x14ac:dyDescent="0.25">
      <c r="A179" s="26" t="s">
        <v>23</v>
      </c>
      <c r="B179" s="27">
        <f t="shared" si="75"/>
        <v>200739</v>
      </c>
      <c r="C179" s="27">
        <f t="shared" si="75"/>
        <v>200739</v>
      </c>
      <c r="D179" s="27">
        <f>G179+J179+M179+P179+S179+V179+AB179+Y179</f>
        <v>0</v>
      </c>
      <c r="E179" s="27">
        <f>SUM(E180,E187,E189,E193,E195)</f>
        <v>0</v>
      </c>
      <c r="F179" s="27">
        <f>SUM(F180,F187,F189,F193,F195)</f>
        <v>0</v>
      </c>
      <c r="G179" s="27">
        <f>F179-E179</f>
        <v>0</v>
      </c>
      <c r="H179" s="27">
        <f t="shared" ref="H179:I179" si="107">SUM(H180,H187,H189,H193,H195)</f>
        <v>0</v>
      </c>
      <c r="I179" s="27">
        <f t="shared" si="107"/>
        <v>0</v>
      </c>
      <c r="J179" s="27">
        <f t="shared" si="91"/>
        <v>0</v>
      </c>
      <c r="K179" s="27">
        <f t="shared" ref="K179:L179" si="108">SUM(K180,K187,K189,K193,K195)</f>
        <v>130255</v>
      </c>
      <c r="L179" s="27">
        <f t="shared" si="108"/>
        <v>130255</v>
      </c>
      <c r="M179" s="27">
        <f t="shared" si="92"/>
        <v>0</v>
      </c>
      <c r="N179" s="27">
        <f t="shared" ref="N179:O179" si="109">SUM(N180,N187,N189,N193,N195)</f>
        <v>0</v>
      </c>
      <c r="O179" s="27">
        <f t="shared" si="109"/>
        <v>0</v>
      </c>
      <c r="P179" s="27">
        <f t="shared" si="93"/>
        <v>0</v>
      </c>
      <c r="Q179" s="27">
        <f t="shared" ref="Q179:R179" si="110">SUM(Q180,Q187,Q189,Q193,Q195)</f>
        <v>0</v>
      </c>
      <c r="R179" s="27">
        <f t="shared" si="110"/>
        <v>0</v>
      </c>
      <c r="S179" s="27">
        <f t="shared" si="94"/>
        <v>0</v>
      </c>
      <c r="T179" s="27">
        <f t="shared" ref="T179:U179" si="111">SUM(T180,T187,T189,T193,T195)</f>
        <v>0</v>
      </c>
      <c r="U179" s="27">
        <f t="shared" si="111"/>
        <v>0</v>
      </c>
      <c r="V179" s="27">
        <f t="shared" si="95"/>
        <v>0</v>
      </c>
      <c r="W179" s="27">
        <f t="shared" ref="W179:X179" si="112">SUM(W180,W187,W189,W193,W195)</f>
        <v>0</v>
      </c>
      <c r="X179" s="27">
        <f t="shared" si="112"/>
        <v>0</v>
      </c>
      <c r="Y179" s="27">
        <f t="shared" si="96"/>
        <v>0</v>
      </c>
      <c r="Z179" s="27">
        <f t="shared" ref="Z179:AA179" si="113">SUM(Z180,Z187,Z189,Z193,Z195)</f>
        <v>70484</v>
      </c>
      <c r="AA179" s="27">
        <f t="shared" si="113"/>
        <v>70484</v>
      </c>
      <c r="AB179" s="27">
        <f t="shared" si="97"/>
        <v>0</v>
      </c>
    </row>
    <row r="180" spans="1:189" s="28" customFormat="1" x14ac:dyDescent="0.25">
      <c r="A180" s="26" t="s">
        <v>169</v>
      </c>
      <c r="B180" s="27">
        <f t="shared" si="75"/>
        <v>73722</v>
      </c>
      <c r="C180" s="27">
        <f t="shared" si="75"/>
        <v>73722</v>
      </c>
      <c r="D180" s="27">
        <f t="shared" si="75"/>
        <v>0</v>
      </c>
      <c r="E180" s="27">
        <f t="shared" ref="E180:F180" si="114">SUM(E181:E186)</f>
        <v>0</v>
      </c>
      <c r="F180" s="27">
        <f t="shared" si="114"/>
        <v>0</v>
      </c>
      <c r="G180" s="27">
        <f t="shared" si="67"/>
        <v>0</v>
      </c>
      <c r="H180" s="27">
        <f t="shared" ref="H180:AA180" si="115">SUM(H181:H186)</f>
        <v>0</v>
      </c>
      <c r="I180" s="27">
        <f t="shared" si="115"/>
        <v>0</v>
      </c>
      <c r="J180" s="27">
        <f t="shared" si="91"/>
        <v>0</v>
      </c>
      <c r="K180" s="27">
        <f t="shared" ref="K180" si="116">SUM(K181:K186)</f>
        <v>73722</v>
      </c>
      <c r="L180" s="27">
        <f t="shared" si="115"/>
        <v>73722</v>
      </c>
      <c r="M180" s="27">
        <f t="shared" si="92"/>
        <v>0</v>
      </c>
      <c r="N180" s="27">
        <f t="shared" ref="N180" si="117">SUM(N181:N186)</f>
        <v>0</v>
      </c>
      <c r="O180" s="27">
        <f t="shared" si="115"/>
        <v>0</v>
      </c>
      <c r="P180" s="27">
        <f t="shared" si="93"/>
        <v>0</v>
      </c>
      <c r="Q180" s="27">
        <f t="shared" ref="Q180" si="118">SUM(Q181:Q186)</f>
        <v>0</v>
      </c>
      <c r="R180" s="27">
        <f t="shared" si="115"/>
        <v>0</v>
      </c>
      <c r="S180" s="27">
        <f t="shared" si="94"/>
        <v>0</v>
      </c>
      <c r="T180" s="27">
        <f t="shared" ref="T180" si="119">SUM(T181:T186)</f>
        <v>0</v>
      </c>
      <c r="U180" s="27">
        <f t="shared" si="115"/>
        <v>0</v>
      </c>
      <c r="V180" s="27">
        <f t="shared" si="95"/>
        <v>0</v>
      </c>
      <c r="W180" s="27">
        <f t="shared" ref="W180" si="120">SUM(W181:W186)</f>
        <v>0</v>
      </c>
      <c r="X180" s="27">
        <f t="shared" si="115"/>
        <v>0</v>
      </c>
      <c r="Y180" s="27">
        <f t="shared" si="96"/>
        <v>0</v>
      </c>
      <c r="Z180" s="27">
        <f t="shared" ref="Z180" si="121">SUM(Z181:Z186)</f>
        <v>0</v>
      </c>
      <c r="AA180" s="27">
        <f t="shared" si="115"/>
        <v>0</v>
      </c>
      <c r="AB180" s="27">
        <f t="shared" si="97"/>
        <v>0</v>
      </c>
    </row>
    <row r="181" spans="1:189" s="28" customFormat="1" ht="31.5" x14ac:dyDescent="0.25">
      <c r="A181" s="33" t="s">
        <v>170</v>
      </c>
      <c r="B181" s="34">
        <f t="shared" si="75"/>
        <v>60280</v>
      </c>
      <c r="C181" s="34">
        <f t="shared" si="75"/>
        <v>60280</v>
      </c>
      <c r="D181" s="34">
        <f t="shared" si="75"/>
        <v>0</v>
      </c>
      <c r="E181" s="34"/>
      <c r="F181" s="34"/>
      <c r="G181" s="34">
        <f t="shared" si="67"/>
        <v>0</v>
      </c>
      <c r="H181" s="34"/>
      <c r="I181" s="34"/>
      <c r="J181" s="34">
        <f t="shared" si="91"/>
        <v>0</v>
      </c>
      <c r="K181" s="34">
        <f>70000-9720</f>
        <v>60280</v>
      </c>
      <c r="L181" s="34">
        <f>70000-9720</f>
        <v>60280</v>
      </c>
      <c r="M181" s="34">
        <f t="shared" si="92"/>
        <v>0</v>
      </c>
      <c r="N181" s="34"/>
      <c r="O181" s="34"/>
      <c r="P181" s="34">
        <f t="shared" si="93"/>
        <v>0</v>
      </c>
      <c r="Q181" s="34"/>
      <c r="R181" s="34"/>
      <c r="S181" s="34">
        <f t="shared" si="94"/>
        <v>0</v>
      </c>
      <c r="T181" s="34"/>
      <c r="U181" s="34"/>
      <c r="V181" s="34">
        <f t="shared" si="95"/>
        <v>0</v>
      </c>
      <c r="W181" s="34"/>
      <c r="X181" s="34"/>
      <c r="Y181" s="34">
        <f t="shared" si="96"/>
        <v>0</v>
      </c>
      <c r="Z181" s="34"/>
      <c r="AA181" s="34"/>
      <c r="AB181" s="34">
        <f t="shared" si="97"/>
        <v>0</v>
      </c>
    </row>
    <row r="182" spans="1:189" s="28" customFormat="1" ht="47.25" x14ac:dyDescent="0.25">
      <c r="A182" s="33" t="s">
        <v>171</v>
      </c>
      <c r="B182" s="34">
        <f t="shared" si="75"/>
        <v>9720</v>
      </c>
      <c r="C182" s="34">
        <f t="shared" si="75"/>
        <v>9720</v>
      </c>
      <c r="D182" s="34">
        <f t="shared" si="75"/>
        <v>0</v>
      </c>
      <c r="E182" s="34"/>
      <c r="F182" s="34"/>
      <c r="G182" s="34">
        <f t="shared" si="67"/>
        <v>0</v>
      </c>
      <c r="H182" s="34"/>
      <c r="I182" s="34"/>
      <c r="J182" s="34">
        <f t="shared" si="91"/>
        <v>0</v>
      </c>
      <c r="K182" s="34">
        <v>9720</v>
      </c>
      <c r="L182" s="34">
        <v>9720</v>
      </c>
      <c r="M182" s="34">
        <f t="shared" si="92"/>
        <v>0</v>
      </c>
      <c r="N182" s="34"/>
      <c r="O182" s="34"/>
      <c r="P182" s="34">
        <f t="shared" si="93"/>
        <v>0</v>
      </c>
      <c r="Q182" s="34"/>
      <c r="R182" s="34"/>
      <c r="S182" s="34">
        <f t="shared" si="94"/>
        <v>0</v>
      </c>
      <c r="T182" s="34"/>
      <c r="U182" s="34"/>
      <c r="V182" s="34">
        <f t="shared" si="95"/>
        <v>0</v>
      </c>
      <c r="W182" s="34"/>
      <c r="X182" s="34"/>
      <c r="Y182" s="34">
        <f t="shared" si="96"/>
        <v>0</v>
      </c>
      <c r="Z182" s="34"/>
      <c r="AA182" s="34"/>
      <c r="AB182" s="34">
        <f t="shared" si="97"/>
        <v>0</v>
      </c>
    </row>
    <row r="183" spans="1:189" s="28" customFormat="1" ht="31.5" x14ac:dyDescent="0.25">
      <c r="A183" s="33" t="s">
        <v>172</v>
      </c>
      <c r="B183" s="34">
        <f t="shared" si="75"/>
        <v>918</v>
      </c>
      <c r="C183" s="34">
        <f t="shared" si="75"/>
        <v>918</v>
      </c>
      <c r="D183" s="34">
        <f t="shared" si="75"/>
        <v>0</v>
      </c>
      <c r="E183" s="34"/>
      <c r="F183" s="34"/>
      <c r="G183" s="34">
        <f t="shared" si="67"/>
        <v>0</v>
      </c>
      <c r="H183" s="34"/>
      <c r="I183" s="34"/>
      <c r="J183" s="34">
        <f t="shared" si="91"/>
        <v>0</v>
      </c>
      <c r="K183" s="34">
        <v>918</v>
      </c>
      <c r="L183" s="34">
        <v>918</v>
      </c>
      <c r="M183" s="34">
        <f t="shared" si="92"/>
        <v>0</v>
      </c>
      <c r="N183" s="34"/>
      <c r="O183" s="34"/>
      <c r="P183" s="34">
        <f t="shared" si="93"/>
        <v>0</v>
      </c>
      <c r="Q183" s="34"/>
      <c r="R183" s="34"/>
      <c r="S183" s="34">
        <f t="shared" si="94"/>
        <v>0</v>
      </c>
      <c r="T183" s="34"/>
      <c r="U183" s="34"/>
      <c r="V183" s="34">
        <f t="shared" si="95"/>
        <v>0</v>
      </c>
      <c r="W183" s="34"/>
      <c r="X183" s="34"/>
      <c r="Y183" s="34">
        <f t="shared" si="96"/>
        <v>0</v>
      </c>
      <c r="Z183" s="34"/>
      <c r="AA183" s="34"/>
      <c r="AB183" s="34">
        <f t="shared" si="97"/>
        <v>0</v>
      </c>
    </row>
    <row r="184" spans="1:189" s="28" customFormat="1" ht="31.5" x14ac:dyDescent="0.25">
      <c r="A184" s="33" t="s">
        <v>173</v>
      </c>
      <c r="B184" s="34">
        <f t="shared" si="75"/>
        <v>1198</v>
      </c>
      <c r="C184" s="34">
        <f t="shared" si="75"/>
        <v>1198</v>
      </c>
      <c r="D184" s="34">
        <f t="shared" si="75"/>
        <v>0</v>
      </c>
      <c r="E184" s="34"/>
      <c r="F184" s="34"/>
      <c r="G184" s="34">
        <f t="shared" si="67"/>
        <v>0</v>
      </c>
      <c r="H184" s="34"/>
      <c r="I184" s="34"/>
      <c r="J184" s="34">
        <f t="shared" si="91"/>
        <v>0</v>
      </c>
      <c r="K184" s="34">
        <v>1198</v>
      </c>
      <c r="L184" s="34">
        <v>1198</v>
      </c>
      <c r="M184" s="34">
        <f t="shared" si="92"/>
        <v>0</v>
      </c>
      <c r="N184" s="34"/>
      <c r="O184" s="34"/>
      <c r="P184" s="34">
        <f t="shared" si="93"/>
        <v>0</v>
      </c>
      <c r="Q184" s="34"/>
      <c r="R184" s="34"/>
      <c r="S184" s="34">
        <f t="shared" si="94"/>
        <v>0</v>
      </c>
      <c r="T184" s="34"/>
      <c r="U184" s="34"/>
      <c r="V184" s="34">
        <f t="shared" si="95"/>
        <v>0</v>
      </c>
      <c r="W184" s="34"/>
      <c r="X184" s="34"/>
      <c r="Y184" s="34">
        <f t="shared" si="96"/>
        <v>0</v>
      </c>
      <c r="Z184" s="34"/>
      <c r="AA184" s="34"/>
      <c r="AB184" s="34">
        <f t="shared" si="97"/>
        <v>0</v>
      </c>
    </row>
    <row r="185" spans="1:189" s="28" customFormat="1" ht="31.5" x14ac:dyDescent="0.25">
      <c r="A185" s="33" t="s">
        <v>174</v>
      </c>
      <c r="B185" s="34">
        <f t="shared" si="75"/>
        <v>648</v>
      </c>
      <c r="C185" s="34">
        <f t="shared" si="75"/>
        <v>648</v>
      </c>
      <c r="D185" s="34">
        <f t="shared" si="75"/>
        <v>0</v>
      </c>
      <c r="E185" s="34"/>
      <c r="F185" s="34"/>
      <c r="G185" s="34">
        <f t="shared" si="67"/>
        <v>0</v>
      </c>
      <c r="H185" s="34"/>
      <c r="I185" s="34"/>
      <c r="J185" s="34">
        <f t="shared" si="91"/>
        <v>0</v>
      </c>
      <c r="K185" s="34">
        <v>648</v>
      </c>
      <c r="L185" s="34">
        <v>648</v>
      </c>
      <c r="M185" s="34">
        <f t="shared" si="92"/>
        <v>0</v>
      </c>
      <c r="N185" s="34"/>
      <c r="O185" s="34"/>
      <c r="P185" s="34">
        <f t="shared" si="93"/>
        <v>0</v>
      </c>
      <c r="Q185" s="34"/>
      <c r="R185" s="34"/>
      <c r="S185" s="34">
        <f t="shared" si="94"/>
        <v>0</v>
      </c>
      <c r="T185" s="34"/>
      <c r="U185" s="34"/>
      <c r="V185" s="34">
        <f t="shared" si="95"/>
        <v>0</v>
      </c>
      <c r="W185" s="34"/>
      <c r="X185" s="34"/>
      <c r="Y185" s="34">
        <f t="shared" si="96"/>
        <v>0</v>
      </c>
      <c r="Z185" s="34"/>
      <c r="AA185" s="34"/>
      <c r="AB185" s="34">
        <f t="shared" si="97"/>
        <v>0</v>
      </c>
    </row>
    <row r="186" spans="1:189" s="28" customFormat="1" ht="31.5" x14ac:dyDescent="0.25">
      <c r="A186" s="33" t="s">
        <v>175</v>
      </c>
      <c r="B186" s="34">
        <f t="shared" si="75"/>
        <v>958</v>
      </c>
      <c r="C186" s="34">
        <f t="shared" si="75"/>
        <v>958</v>
      </c>
      <c r="D186" s="34">
        <f t="shared" si="75"/>
        <v>0</v>
      </c>
      <c r="E186" s="34"/>
      <c r="F186" s="34"/>
      <c r="G186" s="34">
        <f t="shared" si="67"/>
        <v>0</v>
      </c>
      <c r="H186" s="34"/>
      <c r="I186" s="34"/>
      <c r="J186" s="34">
        <f t="shared" si="91"/>
        <v>0</v>
      </c>
      <c r="K186" s="34">
        <f>1164+316-522</f>
        <v>958</v>
      </c>
      <c r="L186" s="34">
        <f>1164+316-522</f>
        <v>958</v>
      </c>
      <c r="M186" s="34">
        <f t="shared" si="92"/>
        <v>0</v>
      </c>
      <c r="N186" s="34"/>
      <c r="O186" s="34"/>
      <c r="P186" s="34">
        <f t="shared" si="93"/>
        <v>0</v>
      </c>
      <c r="Q186" s="34"/>
      <c r="R186" s="34"/>
      <c r="S186" s="34">
        <f t="shared" si="94"/>
        <v>0</v>
      </c>
      <c r="T186" s="34"/>
      <c r="U186" s="34"/>
      <c r="V186" s="34">
        <f t="shared" si="95"/>
        <v>0</v>
      </c>
      <c r="W186" s="34"/>
      <c r="X186" s="34"/>
      <c r="Y186" s="34">
        <f t="shared" si="96"/>
        <v>0</v>
      </c>
      <c r="Z186" s="34"/>
      <c r="AA186" s="34"/>
      <c r="AB186" s="34">
        <f t="shared" si="97"/>
        <v>0</v>
      </c>
    </row>
    <row r="187" spans="1:189" s="25" customFormat="1" x14ac:dyDescent="0.25">
      <c r="A187" s="26" t="s">
        <v>176</v>
      </c>
      <c r="B187" s="27">
        <f t="shared" si="75"/>
        <v>44144</v>
      </c>
      <c r="C187" s="27">
        <f t="shared" si="75"/>
        <v>44144</v>
      </c>
      <c r="D187" s="27">
        <f t="shared" si="75"/>
        <v>0</v>
      </c>
      <c r="E187" s="27">
        <f t="shared" ref="E187:AA187" si="122">SUM(E188:E188)</f>
        <v>0</v>
      </c>
      <c r="F187" s="27">
        <f t="shared" si="122"/>
        <v>0</v>
      </c>
      <c r="G187" s="27">
        <f t="shared" si="67"/>
        <v>0</v>
      </c>
      <c r="H187" s="27">
        <f t="shared" si="122"/>
        <v>0</v>
      </c>
      <c r="I187" s="27">
        <f t="shared" si="122"/>
        <v>0</v>
      </c>
      <c r="J187" s="27">
        <f t="shared" si="91"/>
        <v>0</v>
      </c>
      <c r="K187" s="27">
        <f t="shared" si="122"/>
        <v>0</v>
      </c>
      <c r="L187" s="27">
        <f t="shared" si="122"/>
        <v>0</v>
      </c>
      <c r="M187" s="27">
        <f t="shared" si="92"/>
        <v>0</v>
      </c>
      <c r="N187" s="27">
        <f t="shared" si="122"/>
        <v>0</v>
      </c>
      <c r="O187" s="27">
        <f t="shared" si="122"/>
        <v>0</v>
      </c>
      <c r="P187" s="27">
        <f t="shared" si="93"/>
        <v>0</v>
      </c>
      <c r="Q187" s="27">
        <f t="shared" si="122"/>
        <v>0</v>
      </c>
      <c r="R187" s="27">
        <f t="shared" si="122"/>
        <v>0</v>
      </c>
      <c r="S187" s="27">
        <f t="shared" si="94"/>
        <v>0</v>
      </c>
      <c r="T187" s="27">
        <f t="shared" si="122"/>
        <v>0</v>
      </c>
      <c r="U187" s="27">
        <f t="shared" si="122"/>
        <v>0</v>
      </c>
      <c r="V187" s="27">
        <f t="shared" si="95"/>
        <v>0</v>
      </c>
      <c r="W187" s="27">
        <f t="shared" si="122"/>
        <v>0</v>
      </c>
      <c r="X187" s="27">
        <f t="shared" si="122"/>
        <v>0</v>
      </c>
      <c r="Y187" s="27">
        <f t="shared" si="96"/>
        <v>0</v>
      </c>
      <c r="Z187" s="27">
        <f t="shared" si="122"/>
        <v>44144</v>
      </c>
      <c r="AA187" s="27">
        <f t="shared" si="122"/>
        <v>44144</v>
      </c>
      <c r="AB187" s="27">
        <f t="shared" si="97"/>
        <v>0</v>
      </c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  <c r="BG187" s="28"/>
      <c r="BH187" s="28"/>
      <c r="BI187" s="28"/>
      <c r="BJ187" s="28"/>
      <c r="BK187" s="28"/>
      <c r="BL187" s="28"/>
      <c r="BM187" s="28"/>
      <c r="BN187" s="28"/>
      <c r="BO187" s="28"/>
      <c r="BP187" s="28"/>
      <c r="BQ187" s="28"/>
      <c r="BR187" s="28"/>
      <c r="BS187" s="28"/>
      <c r="BT187" s="28"/>
      <c r="BU187" s="28"/>
      <c r="BV187" s="28"/>
      <c r="BW187" s="28"/>
      <c r="BX187" s="28"/>
      <c r="BY187" s="28"/>
      <c r="BZ187" s="28"/>
      <c r="CA187" s="28"/>
      <c r="CB187" s="28"/>
      <c r="CC187" s="28"/>
      <c r="CD187" s="28"/>
      <c r="CE187" s="28"/>
      <c r="CF187" s="28"/>
      <c r="CG187" s="28"/>
      <c r="CH187" s="28"/>
      <c r="CI187" s="28"/>
      <c r="CJ187" s="28"/>
      <c r="CK187" s="28"/>
      <c r="CL187" s="28"/>
      <c r="CM187" s="28"/>
      <c r="CN187" s="28"/>
      <c r="CO187" s="28"/>
      <c r="CP187" s="28"/>
      <c r="CQ187" s="28"/>
      <c r="CR187" s="28"/>
      <c r="CS187" s="28"/>
      <c r="CT187" s="28"/>
      <c r="CU187" s="28"/>
      <c r="CV187" s="28"/>
      <c r="CW187" s="28"/>
      <c r="CX187" s="28"/>
      <c r="CY187" s="28"/>
      <c r="CZ187" s="28"/>
      <c r="DA187" s="28"/>
      <c r="DB187" s="28"/>
      <c r="DC187" s="28"/>
      <c r="DD187" s="28"/>
      <c r="DE187" s="28"/>
      <c r="DF187" s="28"/>
      <c r="DG187" s="28"/>
      <c r="DH187" s="28"/>
      <c r="DI187" s="28"/>
      <c r="DJ187" s="28"/>
      <c r="DK187" s="28"/>
      <c r="DL187" s="28"/>
      <c r="DM187" s="28"/>
      <c r="DN187" s="28"/>
      <c r="DO187" s="28"/>
      <c r="DP187" s="28"/>
      <c r="DQ187" s="28"/>
      <c r="DR187" s="28"/>
      <c r="DS187" s="28"/>
      <c r="DT187" s="28"/>
      <c r="DU187" s="28"/>
      <c r="DV187" s="28"/>
      <c r="DW187" s="28"/>
      <c r="DX187" s="28"/>
      <c r="DY187" s="28"/>
      <c r="DZ187" s="28"/>
      <c r="EA187" s="28"/>
      <c r="EB187" s="28"/>
      <c r="EC187" s="28"/>
      <c r="ED187" s="28"/>
      <c r="EE187" s="28"/>
      <c r="EF187" s="28"/>
      <c r="EG187" s="28"/>
      <c r="EH187" s="28"/>
      <c r="EI187" s="28"/>
      <c r="EJ187" s="28"/>
      <c r="EK187" s="28"/>
      <c r="EL187" s="28"/>
      <c r="EM187" s="28"/>
      <c r="EN187" s="28"/>
      <c r="EO187" s="28"/>
      <c r="EP187" s="28"/>
      <c r="EQ187" s="28"/>
      <c r="ER187" s="28"/>
      <c r="ES187" s="28"/>
      <c r="ET187" s="28"/>
      <c r="EU187" s="28"/>
      <c r="EV187" s="28"/>
      <c r="EW187" s="28"/>
      <c r="EX187" s="28"/>
      <c r="EY187" s="28"/>
      <c r="EZ187" s="28"/>
      <c r="FA187" s="28"/>
      <c r="FB187" s="28"/>
      <c r="FC187" s="28"/>
      <c r="FD187" s="28"/>
      <c r="FE187" s="28"/>
      <c r="FF187" s="28"/>
      <c r="FG187" s="28"/>
      <c r="FH187" s="28"/>
      <c r="FI187" s="28"/>
      <c r="FJ187" s="28"/>
      <c r="FK187" s="28"/>
      <c r="FL187" s="28"/>
      <c r="FM187" s="28"/>
      <c r="FN187" s="28"/>
      <c r="FO187" s="28"/>
      <c r="FP187" s="28"/>
      <c r="FQ187" s="28"/>
      <c r="FR187" s="28"/>
      <c r="FS187" s="28"/>
      <c r="FT187" s="28"/>
      <c r="FU187" s="28"/>
      <c r="FV187" s="28"/>
      <c r="FW187" s="28"/>
      <c r="FX187" s="28"/>
      <c r="FY187" s="28"/>
      <c r="FZ187" s="28"/>
      <c r="GA187" s="28"/>
      <c r="GB187" s="28"/>
      <c r="GC187" s="28"/>
      <c r="GD187" s="28"/>
      <c r="GE187" s="28"/>
      <c r="GF187" s="28"/>
      <c r="GG187" s="28"/>
    </row>
    <row r="188" spans="1:189" s="28" customFormat="1" ht="47.25" x14ac:dyDescent="0.25">
      <c r="A188" s="38" t="s">
        <v>177</v>
      </c>
      <c r="B188" s="34">
        <f t="shared" si="75"/>
        <v>44144</v>
      </c>
      <c r="C188" s="34">
        <f t="shared" si="75"/>
        <v>44144</v>
      </c>
      <c r="D188" s="34">
        <f t="shared" si="75"/>
        <v>0</v>
      </c>
      <c r="E188" s="34"/>
      <c r="F188" s="34"/>
      <c r="G188" s="34">
        <f t="shared" si="67"/>
        <v>0</v>
      </c>
      <c r="H188" s="34"/>
      <c r="I188" s="34"/>
      <c r="J188" s="34">
        <f t="shared" si="91"/>
        <v>0</v>
      </c>
      <c r="K188" s="34">
        <v>0</v>
      </c>
      <c r="L188" s="34">
        <v>0</v>
      </c>
      <c r="M188" s="34">
        <f t="shared" si="92"/>
        <v>0</v>
      </c>
      <c r="N188" s="34"/>
      <c r="O188" s="34"/>
      <c r="P188" s="34">
        <f t="shared" si="93"/>
        <v>0</v>
      </c>
      <c r="Q188" s="34"/>
      <c r="R188" s="34"/>
      <c r="S188" s="34">
        <f t="shared" si="94"/>
        <v>0</v>
      </c>
      <c r="T188" s="34"/>
      <c r="U188" s="34"/>
      <c r="V188" s="34">
        <f t="shared" si="95"/>
        <v>0</v>
      </c>
      <c r="W188" s="34"/>
      <c r="X188" s="34"/>
      <c r="Y188" s="34">
        <f t="shared" si="96"/>
        <v>0</v>
      </c>
      <c r="Z188" s="34">
        <v>44144</v>
      </c>
      <c r="AA188" s="34">
        <v>44144</v>
      </c>
      <c r="AB188" s="34">
        <f t="shared" si="97"/>
        <v>0</v>
      </c>
      <c r="FN188" s="25"/>
      <c r="FO188" s="25"/>
      <c r="FP188" s="25"/>
      <c r="FQ188" s="25"/>
      <c r="FR188" s="25"/>
      <c r="FS188" s="25"/>
      <c r="FT188" s="25"/>
      <c r="FU188" s="25"/>
      <c r="FV188" s="25"/>
      <c r="FW188" s="25"/>
      <c r="FX188" s="25"/>
      <c r="FY188" s="25"/>
      <c r="FZ188" s="25"/>
      <c r="GA188" s="25"/>
      <c r="GB188" s="25"/>
      <c r="GC188" s="25"/>
      <c r="GD188" s="25"/>
      <c r="GE188" s="25"/>
      <c r="GF188" s="25"/>
      <c r="GG188" s="25"/>
    </row>
    <row r="189" spans="1:189" s="28" customFormat="1" ht="31.5" x14ac:dyDescent="0.25">
      <c r="A189" s="26" t="s">
        <v>178</v>
      </c>
      <c r="B189" s="27">
        <f t="shared" si="75"/>
        <v>44029</v>
      </c>
      <c r="C189" s="27">
        <f t="shared" si="75"/>
        <v>44029</v>
      </c>
      <c r="D189" s="27">
        <f t="shared" si="75"/>
        <v>0</v>
      </c>
      <c r="E189" s="27">
        <f t="shared" ref="E189:AA189" si="123">SUM(E190:E192)</f>
        <v>0</v>
      </c>
      <c r="F189" s="27">
        <f t="shared" si="123"/>
        <v>0</v>
      </c>
      <c r="G189" s="27">
        <f t="shared" si="67"/>
        <v>0</v>
      </c>
      <c r="H189" s="27">
        <f t="shared" ref="H189" si="124">SUM(H190:H192)</f>
        <v>0</v>
      </c>
      <c r="I189" s="27">
        <f t="shared" si="123"/>
        <v>0</v>
      </c>
      <c r="J189" s="27">
        <f t="shared" si="91"/>
        <v>0</v>
      </c>
      <c r="K189" s="27">
        <f t="shared" ref="K189" si="125">SUM(K190:K192)</f>
        <v>44029</v>
      </c>
      <c r="L189" s="27">
        <f t="shared" si="123"/>
        <v>44029</v>
      </c>
      <c r="M189" s="27">
        <f t="shared" si="92"/>
        <v>0</v>
      </c>
      <c r="N189" s="27">
        <f t="shared" ref="N189" si="126">SUM(N190:N192)</f>
        <v>0</v>
      </c>
      <c r="O189" s="27">
        <f t="shared" si="123"/>
        <v>0</v>
      </c>
      <c r="P189" s="27">
        <f t="shared" si="93"/>
        <v>0</v>
      </c>
      <c r="Q189" s="27">
        <f t="shared" ref="Q189" si="127">SUM(Q190:Q192)</f>
        <v>0</v>
      </c>
      <c r="R189" s="27">
        <f t="shared" si="123"/>
        <v>0</v>
      </c>
      <c r="S189" s="27">
        <f t="shared" si="94"/>
        <v>0</v>
      </c>
      <c r="T189" s="27">
        <f t="shared" ref="T189" si="128">SUM(T190:T192)</f>
        <v>0</v>
      </c>
      <c r="U189" s="27">
        <f t="shared" si="123"/>
        <v>0</v>
      </c>
      <c r="V189" s="27">
        <f t="shared" si="95"/>
        <v>0</v>
      </c>
      <c r="W189" s="27">
        <f t="shared" ref="W189" si="129">SUM(W190:W192)</f>
        <v>0</v>
      </c>
      <c r="X189" s="27">
        <f t="shared" si="123"/>
        <v>0</v>
      </c>
      <c r="Y189" s="27">
        <f t="shared" si="96"/>
        <v>0</v>
      </c>
      <c r="Z189" s="27">
        <f t="shared" ref="Z189" si="130">SUM(Z190:Z192)</f>
        <v>0</v>
      </c>
      <c r="AA189" s="27">
        <f t="shared" si="123"/>
        <v>0</v>
      </c>
      <c r="AB189" s="27">
        <f t="shared" si="97"/>
        <v>0</v>
      </c>
    </row>
    <row r="190" spans="1:189" s="28" customFormat="1" x14ac:dyDescent="0.25">
      <c r="A190" s="41" t="s">
        <v>179</v>
      </c>
      <c r="B190" s="34">
        <f t="shared" si="75"/>
        <v>12000</v>
      </c>
      <c r="C190" s="34">
        <f t="shared" si="75"/>
        <v>12000</v>
      </c>
      <c r="D190" s="34">
        <f t="shared" si="75"/>
        <v>0</v>
      </c>
      <c r="E190" s="34"/>
      <c r="F190" s="34"/>
      <c r="G190" s="34">
        <f t="shared" si="67"/>
        <v>0</v>
      </c>
      <c r="H190" s="34"/>
      <c r="I190" s="34"/>
      <c r="J190" s="34">
        <f t="shared" si="91"/>
        <v>0</v>
      </c>
      <c r="K190" s="34">
        <v>12000</v>
      </c>
      <c r="L190" s="34">
        <v>12000</v>
      </c>
      <c r="M190" s="34">
        <f t="shared" si="92"/>
        <v>0</v>
      </c>
      <c r="N190" s="34"/>
      <c r="O190" s="34"/>
      <c r="P190" s="34">
        <f t="shared" si="93"/>
        <v>0</v>
      </c>
      <c r="Q190" s="34"/>
      <c r="R190" s="34"/>
      <c r="S190" s="34">
        <f t="shared" si="94"/>
        <v>0</v>
      </c>
      <c r="T190" s="34"/>
      <c r="U190" s="34"/>
      <c r="V190" s="34">
        <f t="shared" si="95"/>
        <v>0</v>
      </c>
      <c r="W190" s="34"/>
      <c r="X190" s="34"/>
      <c r="Y190" s="34">
        <f t="shared" si="96"/>
        <v>0</v>
      </c>
      <c r="Z190" s="34"/>
      <c r="AA190" s="34"/>
      <c r="AB190" s="34">
        <f t="shared" si="97"/>
        <v>0</v>
      </c>
    </row>
    <row r="191" spans="1:189" s="28" customFormat="1" x14ac:dyDescent="0.25">
      <c r="A191" s="41" t="s">
        <v>180</v>
      </c>
      <c r="B191" s="34">
        <f t="shared" si="75"/>
        <v>2029</v>
      </c>
      <c r="C191" s="34">
        <f t="shared" si="75"/>
        <v>2029</v>
      </c>
      <c r="D191" s="34">
        <f t="shared" si="75"/>
        <v>0</v>
      </c>
      <c r="E191" s="34"/>
      <c r="F191" s="34"/>
      <c r="G191" s="34">
        <f t="shared" si="67"/>
        <v>0</v>
      </c>
      <c r="H191" s="34"/>
      <c r="I191" s="34"/>
      <c r="J191" s="34">
        <f t="shared" si="91"/>
        <v>0</v>
      </c>
      <c r="K191" s="34">
        <v>2029</v>
      </c>
      <c r="L191" s="34">
        <v>2029</v>
      </c>
      <c r="M191" s="34">
        <f t="shared" si="92"/>
        <v>0</v>
      </c>
      <c r="N191" s="34"/>
      <c r="O191" s="34"/>
      <c r="P191" s="34">
        <f t="shared" si="93"/>
        <v>0</v>
      </c>
      <c r="Q191" s="34"/>
      <c r="R191" s="34"/>
      <c r="S191" s="34">
        <f t="shared" si="94"/>
        <v>0</v>
      </c>
      <c r="T191" s="34"/>
      <c r="U191" s="34"/>
      <c r="V191" s="34">
        <f t="shared" si="95"/>
        <v>0</v>
      </c>
      <c r="W191" s="34"/>
      <c r="X191" s="34"/>
      <c r="Y191" s="34">
        <f t="shared" si="96"/>
        <v>0</v>
      </c>
      <c r="Z191" s="34"/>
      <c r="AA191" s="34"/>
      <c r="AB191" s="34">
        <f t="shared" si="97"/>
        <v>0</v>
      </c>
    </row>
    <row r="192" spans="1:189" s="28" customFormat="1" ht="31.5" x14ac:dyDescent="0.25">
      <c r="A192" s="41" t="s">
        <v>181</v>
      </c>
      <c r="B192" s="34">
        <f t="shared" si="75"/>
        <v>30000</v>
      </c>
      <c r="C192" s="34">
        <f t="shared" si="75"/>
        <v>30000</v>
      </c>
      <c r="D192" s="34">
        <f t="shared" si="75"/>
        <v>0</v>
      </c>
      <c r="E192" s="34"/>
      <c r="F192" s="34"/>
      <c r="G192" s="34">
        <f t="shared" si="67"/>
        <v>0</v>
      </c>
      <c r="H192" s="34"/>
      <c r="I192" s="34"/>
      <c r="J192" s="34">
        <f t="shared" si="91"/>
        <v>0</v>
      </c>
      <c r="K192" s="34">
        <f>20000+10000</f>
        <v>30000</v>
      </c>
      <c r="L192" s="34">
        <f>20000+10000</f>
        <v>30000</v>
      </c>
      <c r="M192" s="34">
        <f t="shared" si="92"/>
        <v>0</v>
      </c>
      <c r="N192" s="34"/>
      <c r="O192" s="34"/>
      <c r="P192" s="34">
        <f t="shared" si="93"/>
        <v>0</v>
      </c>
      <c r="Q192" s="34"/>
      <c r="R192" s="34"/>
      <c r="S192" s="34">
        <f t="shared" si="94"/>
        <v>0</v>
      </c>
      <c r="T192" s="34"/>
      <c r="U192" s="34"/>
      <c r="V192" s="34">
        <f t="shared" si="95"/>
        <v>0</v>
      </c>
      <c r="W192" s="34"/>
      <c r="X192" s="34"/>
      <c r="Y192" s="34">
        <f t="shared" si="96"/>
        <v>0</v>
      </c>
      <c r="Z192" s="34"/>
      <c r="AA192" s="34"/>
      <c r="AB192" s="34">
        <f t="shared" si="97"/>
        <v>0</v>
      </c>
    </row>
    <row r="193" spans="1:189" s="28" customFormat="1" x14ac:dyDescent="0.25">
      <c r="A193" s="26" t="s">
        <v>182</v>
      </c>
      <c r="B193" s="27">
        <f t="shared" si="75"/>
        <v>26340</v>
      </c>
      <c r="C193" s="27">
        <f t="shared" si="75"/>
        <v>26340</v>
      </c>
      <c r="D193" s="27">
        <f t="shared" si="75"/>
        <v>0</v>
      </c>
      <c r="E193" s="27">
        <f>SUM(E194)</f>
        <v>0</v>
      </c>
      <c r="F193" s="27">
        <f>SUM(F194)</f>
        <v>0</v>
      </c>
      <c r="G193" s="27">
        <f t="shared" si="67"/>
        <v>0</v>
      </c>
      <c r="H193" s="27">
        <f t="shared" ref="H193:I193" si="131">SUM(H194)</f>
        <v>0</v>
      </c>
      <c r="I193" s="27">
        <f t="shared" si="131"/>
        <v>0</v>
      </c>
      <c r="J193" s="27">
        <f t="shared" si="91"/>
        <v>0</v>
      </c>
      <c r="K193" s="27">
        <f t="shared" ref="K193:L193" si="132">SUM(K194)</f>
        <v>0</v>
      </c>
      <c r="L193" s="27">
        <f t="shared" si="132"/>
        <v>0</v>
      </c>
      <c r="M193" s="27">
        <f t="shared" si="92"/>
        <v>0</v>
      </c>
      <c r="N193" s="27">
        <f t="shared" ref="N193:O193" si="133">SUM(N194)</f>
        <v>0</v>
      </c>
      <c r="O193" s="27">
        <f t="shared" si="133"/>
        <v>0</v>
      </c>
      <c r="P193" s="27">
        <f t="shared" si="93"/>
        <v>0</v>
      </c>
      <c r="Q193" s="27">
        <f t="shared" ref="Q193:R193" si="134">SUM(Q194)</f>
        <v>0</v>
      </c>
      <c r="R193" s="27">
        <f t="shared" si="134"/>
        <v>0</v>
      </c>
      <c r="S193" s="27">
        <f t="shared" si="94"/>
        <v>0</v>
      </c>
      <c r="T193" s="27">
        <f t="shared" ref="T193:U193" si="135">SUM(T194)</f>
        <v>0</v>
      </c>
      <c r="U193" s="27">
        <f t="shared" si="135"/>
        <v>0</v>
      </c>
      <c r="V193" s="27">
        <f t="shared" si="95"/>
        <v>0</v>
      </c>
      <c r="W193" s="27">
        <f t="shared" ref="W193:X193" si="136">SUM(W194)</f>
        <v>0</v>
      </c>
      <c r="X193" s="27">
        <f t="shared" si="136"/>
        <v>0</v>
      </c>
      <c r="Y193" s="27">
        <f t="shared" si="96"/>
        <v>0</v>
      </c>
      <c r="Z193" s="27">
        <f t="shared" ref="Z193:AA193" si="137">SUM(Z194)</f>
        <v>26340</v>
      </c>
      <c r="AA193" s="27">
        <f t="shared" si="137"/>
        <v>26340</v>
      </c>
      <c r="AB193" s="27">
        <f t="shared" si="97"/>
        <v>0</v>
      </c>
    </row>
    <row r="194" spans="1:189" s="28" customFormat="1" ht="31.5" x14ac:dyDescent="0.25">
      <c r="A194" s="33" t="s">
        <v>183</v>
      </c>
      <c r="B194" s="34">
        <f t="shared" si="75"/>
        <v>26340</v>
      </c>
      <c r="C194" s="34">
        <f t="shared" si="75"/>
        <v>26340</v>
      </c>
      <c r="D194" s="34">
        <f t="shared" si="75"/>
        <v>0</v>
      </c>
      <c r="E194" s="34"/>
      <c r="F194" s="34"/>
      <c r="G194" s="34">
        <f t="shared" si="67"/>
        <v>0</v>
      </c>
      <c r="H194" s="34"/>
      <c r="I194" s="34"/>
      <c r="J194" s="34">
        <f t="shared" si="91"/>
        <v>0</v>
      </c>
      <c r="K194" s="34"/>
      <c r="L194" s="34"/>
      <c r="M194" s="34">
        <f t="shared" si="92"/>
        <v>0</v>
      </c>
      <c r="N194" s="34"/>
      <c r="O194" s="34"/>
      <c r="P194" s="34">
        <f t="shared" si="93"/>
        <v>0</v>
      </c>
      <c r="Q194" s="34"/>
      <c r="R194" s="34"/>
      <c r="S194" s="34">
        <f t="shared" si="94"/>
        <v>0</v>
      </c>
      <c r="T194" s="34"/>
      <c r="U194" s="34"/>
      <c r="V194" s="34">
        <f t="shared" si="95"/>
        <v>0</v>
      </c>
      <c r="W194" s="34"/>
      <c r="X194" s="34"/>
      <c r="Y194" s="34">
        <f t="shared" si="96"/>
        <v>0</v>
      </c>
      <c r="Z194" s="34">
        <v>26340</v>
      </c>
      <c r="AA194" s="34">
        <v>26340</v>
      </c>
      <c r="AB194" s="34">
        <f t="shared" si="97"/>
        <v>0</v>
      </c>
    </row>
    <row r="195" spans="1:189" s="28" customFormat="1" x14ac:dyDescent="0.25">
      <c r="A195" s="26" t="s">
        <v>184</v>
      </c>
      <c r="B195" s="27">
        <f t="shared" si="75"/>
        <v>12504</v>
      </c>
      <c r="C195" s="27">
        <f t="shared" si="75"/>
        <v>12504</v>
      </c>
      <c r="D195" s="27">
        <f>G195+J195+M195+P195+S195+V195+AB195+Y195</f>
        <v>0</v>
      </c>
      <c r="E195" s="27">
        <f>SUM(E196:E197)</f>
        <v>0</v>
      </c>
      <c r="F195" s="27">
        <f>SUM(F196:F197)</f>
        <v>0</v>
      </c>
      <c r="G195" s="27">
        <f t="shared" si="67"/>
        <v>0</v>
      </c>
      <c r="H195" s="27">
        <f t="shared" ref="H195:I195" si="138">SUM(H196:H197)</f>
        <v>0</v>
      </c>
      <c r="I195" s="27">
        <f t="shared" si="138"/>
        <v>0</v>
      </c>
      <c r="J195" s="27">
        <f t="shared" si="91"/>
        <v>0</v>
      </c>
      <c r="K195" s="27">
        <f t="shared" ref="K195:L195" si="139">SUM(K196:K197)</f>
        <v>12504</v>
      </c>
      <c r="L195" s="27">
        <f t="shared" si="139"/>
        <v>12504</v>
      </c>
      <c r="M195" s="27">
        <f t="shared" si="92"/>
        <v>0</v>
      </c>
      <c r="N195" s="27">
        <f t="shared" ref="N195:O195" si="140">SUM(N196:N197)</f>
        <v>0</v>
      </c>
      <c r="O195" s="27">
        <f t="shared" si="140"/>
        <v>0</v>
      </c>
      <c r="P195" s="27">
        <f t="shared" si="93"/>
        <v>0</v>
      </c>
      <c r="Q195" s="27">
        <f t="shared" ref="Q195:R195" si="141">SUM(Q196:Q197)</f>
        <v>0</v>
      </c>
      <c r="R195" s="27">
        <f t="shared" si="141"/>
        <v>0</v>
      </c>
      <c r="S195" s="27">
        <f t="shared" si="94"/>
        <v>0</v>
      </c>
      <c r="T195" s="27">
        <f t="shared" ref="T195:U195" si="142">SUM(T196:T197)</f>
        <v>0</v>
      </c>
      <c r="U195" s="27">
        <f t="shared" si="142"/>
        <v>0</v>
      </c>
      <c r="V195" s="27">
        <f t="shared" si="95"/>
        <v>0</v>
      </c>
      <c r="W195" s="27">
        <f t="shared" ref="W195:X195" si="143">SUM(W196:W197)</f>
        <v>0</v>
      </c>
      <c r="X195" s="27">
        <f t="shared" si="143"/>
        <v>0</v>
      </c>
      <c r="Y195" s="27">
        <f t="shared" si="96"/>
        <v>0</v>
      </c>
      <c r="Z195" s="27">
        <f t="shared" ref="Z195:AA195" si="144">SUM(Z196:Z197)</f>
        <v>0</v>
      </c>
      <c r="AA195" s="27">
        <f t="shared" si="144"/>
        <v>0</v>
      </c>
      <c r="AB195" s="27">
        <f t="shared" si="97"/>
        <v>0</v>
      </c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  <c r="EM195" s="25"/>
      <c r="EN195" s="25"/>
      <c r="EO195" s="25"/>
      <c r="EP195" s="25"/>
      <c r="EQ195" s="25"/>
      <c r="ER195" s="25"/>
      <c r="ES195" s="25"/>
      <c r="ET195" s="25"/>
      <c r="EU195" s="25"/>
      <c r="EV195" s="25"/>
      <c r="EW195" s="25"/>
      <c r="EX195" s="25"/>
      <c r="EY195" s="25"/>
      <c r="EZ195" s="25"/>
      <c r="FA195" s="25"/>
      <c r="FB195" s="25"/>
      <c r="FC195" s="25"/>
      <c r="FD195" s="25"/>
      <c r="FE195" s="25"/>
      <c r="FF195" s="25"/>
      <c r="FG195" s="25"/>
      <c r="FH195" s="25"/>
      <c r="FI195" s="25"/>
      <c r="FJ195" s="25"/>
      <c r="FK195" s="25"/>
      <c r="FL195" s="25"/>
      <c r="FM195" s="25"/>
      <c r="FN195" s="25"/>
      <c r="FO195" s="25"/>
      <c r="FP195" s="25"/>
      <c r="FQ195" s="25"/>
      <c r="FR195" s="25"/>
      <c r="FS195" s="25"/>
      <c r="FT195" s="25"/>
      <c r="FU195" s="25"/>
      <c r="FV195" s="25"/>
      <c r="FW195" s="25"/>
      <c r="FX195" s="25"/>
      <c r="FY195" s="25"/>
      <c r="FZ195" s="25"/>
      <c r="GA195" s="25"/>
      <c r="GB195" s="25"/>
      <c r="GC195" s="25"/>
      <c r="GD195" s="25"/>
      <c r="GE195" s="25"/>
      <c r="GF195" s="25"/>
      <c r="GG195" s="25"/>
    </row>
    <row r="196" spans="1:189" s="28" customFormat="1" ht="31.5" x14ac:dyDescent="0.25">
      <c r="A196" s="33" t="s">
        <v>185</v>
      </c>
      <c r="B196" s="34">
        <f t="shared" si="75"/>
        <v>4140</v>
      </c>
      <c r="C196" s="34">
        <f t="shared" si="75"/>
        <v>4140</v>
      </c>
      <c r="D196" s="34">
        <f>G196+J196+M196+P196+S196+V196+AB196+Y196</f>
        <v>0</v>
      </c>
      <c r="E196" s="34"/>
      <c r="F196" s="34"/>
      <c r="G196" s="34">
        <f t="shared" si="67"/>
        <v>0</v>
      </c>
      <c r="H196" s="34"/>
      <c r="I196" s="34"/>
      <c r="J196" s="34">
        <f t="shared" si="91"/>
        <v>0</v>
      </c>
      <c r="K196" s="34">
        <v>4140</v>
      </c>
      <c r="L196" s="34">
        <v>4140</v>
      </c>
      <c r="M196" s="34">
        <f t="shared" si="92"/>
        <v>0</v>
      </c>
      <c r="N196" s="34"/>
      <c r="O196" s="34"/>
      <c r="P196" s="34">
        <f t="shared" si="93"/>
        <v>0</v>
      </c>
      <c r="Q196" s="34"/>
      <c r="R196" s="34"/>
      <c r="S196" s="34">
        <f t="shared" si="94"/>
        <v>0</v>
      </c>
      <c r="T196" s="34"/>
      <c r="U196" s="34"/>
      <c r="V196" s="34">
        <f t="shared" si="95"/>
        <v>0</v>
      </c>
      <c r="W196" s="34"/>
      <c r="X196" s="34"/>
      <c r="Y196" s="34">
        <f t="shared" si="96"/>
        <v>0</v>
      </c>
      <c r="Z196" s="34"/>
      <c r="AA196" s="34"/>
      <c r="AB196" s="34">
        <f t="shared" si="97"/>
        <v>0</v>
      </c>
    </row>
    <row r="197" spans="1:189" s="28" customFormat="1" x14ac:dyDescent="0.25">
      <c r="A197" s="33" t="s">
        <v>186</v>
      </c>
      <c r="B197" s="34">
        <f t="shared" si="75"/>
        <v>8364</v>
      </c>
      <c r="C197" s="34">
        <f t="shared" si="75"/>
        <v>8364</v>
      </c>
      <c r="D197" s="34">
        <f>G197+J197+M197+P197+S197+V197+AB197+Y197</f>
        <v>0</v>
      </c>
      <c r="E197" s="34"/>
      <c r="F197" s="34"/>
      <c r="G197" s="34">
        <f t="shared" si="67"/>
        <v>0</v>
      </c>
      <c r="H197" s="34"/>
      <c r="I197" s="34"/>
      <c r="J197" s="34">
        <f t="shared" si="91"/>
        <v>0</v>
      </c>
      <c r="K197" s="34">
        <v>8364</v>
      </c>
      <c r="L197" s="34">
        <v>8364</v>
      </c>
      <c r="M197" s="34">
        <f t="shared" si="92"/>
        <v>0</v>
      </c>
      <c r="N197" s="34"/>
      <c r="O197" s="34"/>
      <c r="P197" s="34">
        <f t="shared" si="93"/>
        <v>0</v>
      </c>
      <c r="Q197" s="34"/>
      <c r="R197" s="34"/>
      <c r="S197" s="34">
        <f t="shared" si="94"/>
        <v>0</v>
      </c>
      <c r="T197" s="34"/>
      <c r="U197" s="34"/>
      <c r="V197" s="34">
        <f t="shared" si="95"/>
        <v>0</v>
      </c>
      <c r="W197" s="34"/>
      <c r="X197" s="34"/>
      <c r="Y197" s="34">
        <f t="shared" si="96"/>
        <v>0</v>
      </c>
      <c r="Z197" s="34"/>
      <c r="AA197" s="34"/>
      <c r="AB197" s="34">
        <f t="shared" si="97"/>
        <v>0</v>
      </c>
    </row>
    <row r="198" spans="1:189" s="28" customFormat="1" x14ac:dyDescent="0.25">
      <c r="A198" s="32" t="s">
        <v>33</v>
      </c>
      <c r="B198" s="29">
        <f t="shared" si="75"/>
        <v>357726</v>
      </c>
      <c r="C198" s="29">
        <f t="shared" si="75"/>
        <v>358691</v>
      </c>
      <c r="D198" s="29">
        <f t="shared" si="75"/>
        <v>965</v>
      </c>
      <c r="E198" s="29">
        <f>SUM(E199,E204)</f>
        <v>48476</v>
      </c>
      <c r="F198" s="29">
        <f>SUM(F199,F204)</f>
        <v>48481</v>
      </c>
      <c r="G198" s="29">
        <f t="shared" si="67"/>
        <v>5</v>
      </c>
      <c r="H198" s="29">
        <f t="shared" ref="H198:I198" si="145">SUM(H199,H204)</f>
        <v>10905</v>
      </c>
      <c r="I198" s="29">
        <f t="shared" si="145"/>
        <v>10905</v>
      </c>
      <c r="J198" s="29">
        <f t="shared" si="91"/>
        <v>0</v>
      </c>
      <c r="K198" s="29">
        <f t="shared" ref="K198:L198" si="146">SUM(K199,K204)</f>
        <v>19744</v>
      </c>
      <c r="L198" s="29">
        <f t="shared" si="146"/>
        <v>20704</v>
      </c>
      <c r="M198" s="29">
        <f t="shared" si="92"/>
        <v>960</v>
      </c>
      <c r="N198" s="29">
        <f t="shared" ref="N198:O198" si="147">SUM(N199,N204)</f>
        <v>0</v>
      </c>
      <c r="O198" s="29">
        <f t="shared" si="147"/>
        <v>0</v>
      </c>
      <c r="P198" s="29">
        <f t="shared" si="93"/>
        <v>0</v>
      </c>
      <c r="Q198" s="29">
        <f t="shared" ref="Q198:R198" si="148">SUM(Q199,Q204)</f>
        <v>10000</v>
      </c>
      <c r="R198" s="29">
        <f t="shared" si="148"/>
        <v>10000</v>
      </c>
      <c r="S198" s="29">
        <f t="shared" si="94"/>
        <v>0</v>
      </c>
      <c r="T198" s="29">
        <f t="shared" ref="T198:U198" si="149">SUM(T199,T204)</f>
        <v>268601</v>
      </c>
      <c r="U198" s="29">
        <f t="shared" si="149"/>
        <v>268601</v>
      </c>
      <c r="V198" s="29">
        <f t="shared" si="95"/>
        <v>0</v>
      </c>
      <c r="W198" s="29">
        <f t="shared" ref="W198:X198" si="150">SUM(W199,W204)</f>
        <v>0</v>
      </c>
      <c r="X198" s="29">
        <f t="shared" si="150"/>
        <v>0</v>
      </c>
      <c r="Y198" s="29">
        <f t="shared" si="96"/>
        <v>0</v>
      </c>
      <c r="Z198" s="29">
        <f t="shared" ref="Z198:AA198" si="151">SUM(Z199,Z204)</f>
        <v>0</v>
      </c>
      <c r="AA198" s="29">
        <f t="shared" si="151"/>
        <v>0</v>
      </c>
      <c r="AB198" s="29">
        <f t="shared" si="97"/>
        <v>0</v>
      </c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  <c r="EM198" s="25"/>
      <c r="EN198" s="25"/>
      <c r="EO198" s="25"/>
      <c r="EP198" s="25"/>
      <c r="EQ198" s="25"/>
      <c r="ER198" s="25"/>
      <c r="ES198" s="25"/>
      <c r="ET198" s="25"/>
      <c r="EU198" s="25"/>
      <c r="EV198" s="25"/>
      <c r="EW198" s="25"/>
      <c r="EX198" s="25"/>
      <c r="EY198" s="25"/>
      <c r="EZ198" s="25"/>
      <c r="FA198" s="25"/>
      <c r="FB198" s="25"/>
      <c r="FC198" s="25"/>
      <c r="FD198" s="25"/>
      <c r="FE198" s="25"/>
      <c r="FF198" s="25"/>
      <c r="FG198" s="25"/>
      <c r="FH198" s="25"/>
      <c r="FI198" s="25"/>
      <c r="FJ198" s="25"/>
      <c r="FK198" s="25"/>
      <c r="FL198" s="25"/>
      <c r="FM198" s="25"/>
      <c r="FN198" s="25"/>
      <c r="FO198" s="25"/>
      <c r="FP198" s="25"/>
      <c r="FQ198" s="25"/>
      <c r="FR198" s="25"/>
      <c r="FS198" s="25"/>
      <c r="FT198" s="25"/>
      <c r="FU198" s="25"/>
      <c r="FV198" s="25"/>
      <c r="FW198" s="25"/>
      <c r="FX198" s="25"/>
      <c r="FY198" s="25"/>
      <c r="FZ198" s="25"/>
      <c r="GA198" s="25"/>
      <c r="GB198" s="25"/>
      <c r="GC198" s="25"/>
      <c r="GD198" s="25"/>
      <c r="GE198" s="25"/>
      <c r="GF198" s="25"/>
      <c r="GG198" s="25"/>
    </row>
    <row r="199" spans="1:189" s="28" customFormat="1" ht="31.5" x14ac:dyDescent="0.25">
      <c r="A199" s="26" t="s">
        <v>178</v>
      </c>
      <c r="B199" s="29">
        <f t="shared" si="75"/>
        <v>20905</v>
      </c>
      <c r="C199" s="29">
        <f t="shared" si="75"/>
        <v>20905</v>
      </c>
      <c r="D199" s="29">
        <f t="shared" si="75"/>
        <v>0</v>
      </c>
      <c r="E199" s="29">
        <f>SUM(E200:E203)</f>
        <v>0</v>
      </c>
      <c r="F199" s="29">
        <f>SUM(F200:F203)</f>
        <v>0</v>
      </c>
      <c r="G199" s="29">
        <f t="shared" si="67"/>
        <v>0</v>
      </c>
      <c r="H199" s="29">
        <f t="shared" ref="H199:I199" si="152">SUM(H200:H203)</f>
        <v>10905</v>
      </c>
      <c r="I199" s="29">
        <f t="shared" si="152"/>
        <v>10905</v>
      </c>
      <c r="J199" s="29">
        <f t="shared" si="91"/>
        <v>0</v>
      </c>
      <c r="K199" s="29">
        <f t="shared" ref="K199:L199" si="153">SUM(K200:K203)</f>
        <v>0</v>
      </c>
      <c r="L199" s="29">
        <f t="shared" si="153"/>
        <v>0</v>
      </c>
      <c r="M199" s="29">
        <f t="shared" si="92"/>
        <v>0</v>
      </c>
      <c r="N199" s="29">
        <f t="shared" ref="N199:O199" si="154">SUM(N200:N203)</f>
        <v>0</v>
      </c>
      <c r="O199" s="29">
        <f t="shared" si="154"/>
        <v>0</v>
      </c>
      <c r="P199" s="29">
        <f t="shared" si="93"/>
        <v>0</v>
      </c>
      <c r="Q199" s="29">
        <f t="shared" ref="Q199:R199" si="155">SUM(Q200:Q203)</f>
        <v>10000</v>
      </c>
      <c r="R199" s="29">
        <f t="shared" si="155"/>
        <v>10000</v>
      </c>
      <c r="S199" s="29">
        <f t="shared" si="94"/>
        <v>0</v>
      </c>
      <c r="T199" s="29">
        <f t="shared" ref="T199:U199" si="156">SUM(T200:T203)</f>
        <v>0</v>
      </c>
      <c r="U199" s="29">
        <f t="shared" si="156"/>
        <v>0</v>
      </c>
      <c r="V199" s="29">
        <f t="shared" si="95"/>
        <v>0</v>
      </c>
      <c r="W199" s="29">
        <f t="shared" ref="W199:X199" si="157">SUM(W200:W203)</f>
        <v>0</v>
      </c>
      <c r="X199" s="29">
        <f t="shared" si="157"/>
        <v>0</v>
      </c>
      <c r="Y199" s="29">
        <f t="shared" si="96"/>
        <v>0</v>
      </c>
      <c r="Z199" s="29">
        <f t="shared" ref="Z199:AA199" si="158">SUM(Z200:Z203)</f>
        <v>0</v>
      </c>
      <c r="AA199" s="29">
        <f t="shared" si="158"/>
        <v>0</v>
      </c>
      <c r="AB199" s="29">
        <f t="shared" si="97"/>
        <v>0</v>
      </c>
    </row>
    <row r="200" spans="1:189" s="28" customFormat="1" x14ac:dyDescent="0.25">
      <c r="A200" s="41" t="s">
        <v>187</v>
      </c>
      <c r="B200" s="34">
        <f t="shared" si="75"/>
        <v>10000</v>
      </c>
      <c r="C200" s="34">
        <f t="shared" si="75"/>
        <v>10000</v>
      </c>
      <c r="D200" s="34">
        <f t="shared" si="75"/>
        <v>0</v>
      </c>
      <c r="E200" s="34"/>
      <c r="F200" s="34"/>
      <c r="G200" s="34">
        <f t="shared" si="67"/>
        <v>0</v>
      </c>
      <c r="H200" s="34"/>
      <c r="I200" s="34"/>
      <c r="J200" s="34">
        <f t="shared" si="91"/>
        <v>0</v>
      </c>
      <c r="K200" s="34"/>
      <c r="L200" s="34"/>
      <c r="M200" s="34">
        <f t="shared" si="92"/>
        <v>0</v>
      </c>
      <c r="N200" s="34"/>
      <c r="O200" s="34"/>
      <c r="P200" s="34">
        <f t="shared" si="93"/>
        <v>0</v>
      </c>
      <c r="Q200" s="34">
        <v>10000</v>
      </c>
      <c r="R200" s="34">
        <v>10000</v>
      </c>
      <c r="S200" s="34">
        <f t="shared" si="94"/>
        <v>0</v>
      </c>
      <c r="T200" s="34"/>
      <c r="U200" s="34"/>
      <c r="V200" s="34">
        <f t="shared" si="95"/>
        <v>0</v>
      </c>
      <c r="W200" s="34"/>
      <c r="X200" s="34"/>
      <c r="Y200" s="34">
        <f t="shared" si="96"/>
        <v>0</v>
      </c>
      <c r="Z200" s="34"/>
      <c r="AA200" s="34"/>
      <c r="AB200" s="34">
        <f t="shared" si="97"/>
        <v>0</v>
      </c>
    </row>
    <row r="201" spans="1:189" s="28" customFormat="1" ht="31.5" x14ac:dyDescent="0.25">
      <c r="A201" s="33" t="s">
        <v>188</v>
      </c>
      <c r="B201" s="34">
        <f t="shared" si="75"/>
        <v>4845</v>
      </c>
      <c r="C201" s="34">
        <f t="shared" si="75"/>
        <v>4845</v>
      </c>
      <c r="D201" s="34">
        <f t="shared" si="75"/>
        <v>0</v>
      </c>
      <c r="E201" s="34"/>
      <c r="F201" s="34"/>
      <c r="G201" s="34">
        <f t="shared" si="67"/>
        <v>0</v>
      </c>
      <c r="H201" s="34">
        <v>4845</v>
      </c>
      <c r="I201" s="34">
        <v>4845</v>
      </c>
      <c r="J201" s="34">
        <f t="shared" si="91"/>
        <v>0</v>
      </c>
      <c r="K201" s="34"/>
      <c r="L201" s="34"/>
      <c r="M201" s="34">
        <f t="shared" si="92"/>
        <v>0</v>
      </c>
      <c r="N201" s="34"/>
      <c r="O201" s="34"/>
      <c r="P201" s="34">
        <f t="shared" si="93"/>
        <v>0</v>
      </c>
      <c r="Q201" s="34"/>
      <c r="R201" s="34"/>
      <c r="S201" s="34">
        <f t="shared" si="94"/>
        <v>0</v>
      </c>
      <c r="T201" s="34"/>
      <c r="U201" s="34"/>
      <c r="V201" s="34">
        <f t="shared" si="95"/>
        <v>0</v>
      </c>
      <c r="W201" s="34"/>
      <c r="X201" s="34"/>
      <c r="Y201" s="34">
        <f t="shared" si="96"/>
        <v>0</v>
      </c>
      <c r="Z201" s="34">
        <v>0</v>
      </c>
      <c r="AA201" s="34">
        <v>0</v>
      </c>
      <c r="AB201" s="34">
        <f t="shared" si="97"/>
        <v>0</v>
      </c>
    </row>
    <row r="202" spans="1:189" s="28" customFormat="1" ht="31.5" x14ac:dyDescent="0.25">
      <c r="A202" s="33" t="s">
        <v>189</v>
      </c>
      <c r="B202" s="34">
        <f t="shared" si="75"/>
        <v>6060</v>
      </c>
      <c r="C202" s="34">
        <f t="shared" si="75"/>
        <v>6060</v>
      </c>
      <c r="D202" s="34">
        <f t="shared" si="75"/>
        <v>0</v>
      </c>
      <c r="E202" s="34"/>
      <c r="F202" s="34"/>
      <c r="G202" s="34">
        <f t="shared" si="67"/>
        <v>0</v>
      </c>
      <c r="H202" s="34">
        <v>6060</v>
      </c>
      <c r="I202" s="34">
        <v>6060</v>
      </c>
      <c r="J202" s="34">
        <f t="shared" si="91"/>
        <v>0</v>
      </c>
      <c r="K202" s="34"/>
      <c r="L202" s="34"/>
      <c r="M202" s="34">
        <f t="shared" si="92"/>
        <v>0</v>
      </c>
      <c r="N202" s="34"/>
      <c r="O202" s="34"/>
      <c r="P202" s="34">
        <f t="shared" si="93"/>
        <v>0</v>
      </c>
      <c r="Q202" s="34"/>
      <c r="R202" s="34"/>
      <c r="S202" s="34">
        <f t="shared" si="94"/>
        <v>0</v>
      </c>
      <c r="T202" s="34"/>
      <c r="U202" s="34"/>
      <c r="V202" s="34">
        <f t="shared" si="95"/>
        <v>0</v>
      </c>
      <c r="W202" s="34"/>
      <c r="X202" s="34"/>
      <c r="Y202" s="34">
        <f t="shared" si="96"/>
        <v>0</v>
      </c>
      <c r="Z202" s="34">
        <v>0</v>
      </c>
      <c r="AA202" s="34">
        <v>0</v>
      </c>
      <c r="AB202" s="34">
        <f t="shared" si="97"/>
        <v>0</v>
      </c>
    </row>
    <row r="203" spans="1:189" s="28" customFormat="1" ht="31.5" x14ac:dyDescent="0.25">
      <c r="A203" s="41" t="s">
        <v>190</v>
      </c>
      <c r="B203" s="34">
        <f t="shared" si="75"/>
        <v>0</v>
      </c>
      <c r="C203" s="34">
        <f t="shared" si="75"/>
        <v>0</v>
      </c>
      <c r="D203" s="34">
        <f t="shared" si="75"/>
        <v>0</v>
      </c>
      <c r="E203" s="34"/>
      <c r="F203" s="34"/>
      <c r="G203" s="34">
        <f t="shared" si="67"/>
        <v>0</v>
      </c>
      <c r="H203" s="34"/>
      <c r="I203" s="34"/>
      <c r="J203" s="34">
        <f t="shared" si="91"/>
        <v>0</v>
      </c>
      <c r="K203" s="34"/>
      <c r="L203" s="34"/>
      <c r="M203" s="34">
        <f t="shared" si="92"/>
        <v>0</v>
      </c>
      <c r="N203" s="34"/>
      <c r="O203" s="34"/>
      <c r="P203" s="34">
        <f t="shared" si="93"/>
        <v>0</v>
      </c>
      <c r="Q203" s="34">
        <f>1141-1141</f>
        <v>0</v>
      </c>
      <c r="R203" s="34">
        <f>1141-1141</f>
        <v>0</v>
      </c>
      <c r="S203" s="34">
        <f t="shared" si="94"/>
        <v>0</v>
      </c>
      <c r="T203" s="34"/>
      <c r="U203" s="34"/>
      <c r="V203" s="34">
        <f t="shared" si="95"/>
        <v>0</v>
      </c>
      <c r="W203" s="34"/>
      <c r="X203" s="34"/>
      <c r="Y203" s="34">
        <f t="shared" si="96"/>
        <v>0</v>
      </c>
      <c r="Z203" s="34"/>
      <c r="AA203" s="34"/>
      <c r="AB203" s="34">
        <f t="shared" si="97"/>
        <v>0</v>
      </c>
    </row>
    <row r="204" spans="1:189" s="28" customFormat="1" x14ac:dyDescent="0.25">
      <c r="A204" s="26" t="s">
        <v>191</v>
      </c>
      <c r="B204" s="27">
        <f t="shared" si="75"/>
        <v>336821</v>
      </c>
      <c r="C204" s="27">
        <f t="shared" si="75"/>
        <v>337786</v>
      </c>
      <c r="D204" s="27">
        <f t="shared" si="75"/>
        <v>965</v>
      </c>
      <c r="E204" s="27">
        <f t="shared" ref="E204:AA204" si="159">SUM(E205:E209)</f>
        <v>48476</v>
      </c>
      <c r="F204" s="27">
        <f t="shared" si="159"/>
        <v>48481</v>
      </c>
      <c r="G204" s="27">
        <f t="shared" si="67"/>
        <v>5</v>
      </c>
      <c r="H204" s="27">
        <f t="shared" ref="H204" si="160">SUM(H205:H209)</f>
        <v>0</v>
      </c>
      <c r="I204" s="27">
        <f t="shared" si="159"/>
        <v>0</v>
      </c>
      <c r="J204" s="27">
        <f t="shared" si="91"/>
        <v>0</v>
      </c>
      <c r="K204" s="27">
        <f t="shared" ref="K204" si="161">SUM(K205:K209)</f>
        <v>19744</v>
      </c>
      <c r="L204" s="27">
        <f t="shared" si="159"/>
        <v>20704</v>
      </c>
      <c r="M204" s="27">
        <f t="shared" si="92"/>
        <v>960</v>
      </c>
      <c r="N204" s="27">
        <f t="shared" ref="N204" si="162">SUM(N205:N209)</f>
        <v>0</v>
      </c>
      <c r="O204" s="27">
        <f t="shared" si="159"/>
        <v>0</v>
      </c>
      <c r="P204" s="27">
        <f t="shared" si="93"/>
        <v>0</v>
      </c>
      <c r="Q204" s="27">
        <f t="shared" ref="Q204" si="163">SUM(Q205:Q209)</f>
        <v>0</v>
      </c>
      <c r="R204" s="27">
        <f t="shared" si="159"/>
        <v>0</v>
      </c>
      <c r="S204" s="27">
        <f t="shared" si="94"/>
        <v>0</v>
      </c>
      <c r="T204" s="27">
        <f t="shared" ref="T204" si="164">SUM(T205:T209)</f>
        <v>268601</v>
      </c>
      <c r="U204" s="27">
        <f t="shared" si="159"/>
        <v>268601</v>
      </c>
      <c r="V204" s="27">
        <f t="shared" si="95"/>
        <v>0</v>
      </c>
      <c r="W204" s="27">
        <f t="shared" ref="W204" si="165">SUM(W205:W209)</f>
        <v>0</v>
      </c>
      <c r="X204" s="27">
        <f t="shared" si="159"/>
        <v>0</v>
      </c>
      <c r="Y204" s="27">
        <f t="shared" si="96"/>
        <v>0</v>
      </c>
      <c r="Z204" s="27">
        <f t="shared" ref="Z204" si="166">SUM(Z205:Z209)</f>
        <v>0</v>
      </c>
      <c r="AA204" s="27">
        <f t="shared" si="159"/>
        <v>0</v>
      </c>
      <c r="AB204" s="27">
        <f t="shared" si="97"/>
        <v>0</v>
      </c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  <c r="DR204" s="25"/>
      <c r="DS204" s="25"/>
      <c r="DT204" s="25"/>
      <c r="DU204" s="25"/>
      <c r="DV204" s="25"/>
      <c r="DW204" s="25"/>
      <c r="DX204" s="25"/>
      <c r="DY204" s="25"/>
      <c r="DZ204" s="25"/>
      <c r="EA204" s="25"/>
      <c r="EB204" s="25"/>
      <c r="EC204" s="25"/>
      <c r="ED204" s="25"/>
      <c r="EE204" s="25"/>
      <c r="EF204" s="25"/>
      <c r="EG204" s="25"/>
      <c r="EH204" s="25"/>
      <c r="EI204" s="25"/>
      <c r="EJ204" s="25"/>
      <c r="EK204" s="25"/>
      <c r="EL204" s="25"/>
      <c r="EM204" s="25"/>
      <c r="EN204" s="25"/>
      <c r="EO204" s="25"/>
      <c r="EP204" s="25"/>
      <c r="EQ204" s="25"/>
      <c r="ER204" s="25"/>
      <c r="ES204" s="25"/>
      <c r="ET204" s="25"/>
      <c r="EU204" s="25"/>
      <c r="EV204" s="25"/>
      <c r="EW204" s="25"/>
      <c r="EX204" s="25"/>
      <c r="EY204" s="25"/>
      <c r="EZ204" s="25"/>
      <c r="FA204" s="25"/>
      <c r="FB204" s="25"/>
      <c r="FC204" s="25"/>
      <c r="FD204" s="25"/>
      <c r="FE204" s="25"/>
      <c r="FF204" s="25"/>
      <c r="FG204" s="25"/>
      <c r="FH204" s="25"/>
      <c r="FI204" s="25"/>
      <c r="FJ204" s="25"/>
      <c r="FK204" s="25"/>
      <c r="FL204" s="25"/>
      <c r="FM204" s="25"/>
      <c r="FN204" s="25"/>
      <c r="FO204" s="25"/>
      <c r="FP204" s="25"/>
      <c r="FQ204" s="25"/>
      <c r="FR204" s="25"/>
      <c r="FS204" s="25"/>
      <c r="FT204" s="25"/>
      <c r="FU204" s="25"/>
      <c r="FV204" s="25"/>
      <c r="FW204" s="25"/>
      <c r="FX204" s="25"/>
      <c r="FY204" s="25"/>
      <c r="FZ204" s="25"/>
      <c r="GA204" s="25"/>
      <c r="GB204" s="25"/>
      <c r="GC204" s="25"/>
      <c r="GD204" s="25"/>
      <c r="GE204" s="25"/>
      <c r="GF204" s="25"/>
      <c r="GG204" s="25"/>
    </row>
    <row r="205" spans="1:189" s="28" customFormat="1" ht="63" x14ac:dyDescent="0.25">
      <c r="A205" s="33" t="s">
        <v>192</v>
      </c>
      <c r="B205" s="34">
        <f t="shared" si="75"/>
        <v>0</v>
      </c>
      <c r="C205" s="34">
        <f t="shared" si="75"/>
        <v>0</v>
      </c>
      <c r="D205" s="34">
        <f t="shared" si="75"/>
        <v>0</v>
      </c>
      <c r="E205" s="34"/>
      <c r="F205" s="34"/>
      <c r="G205" s="34">
        <f t="shared" si="67"/>
        <v>0</v>
      </c>
      <c r="H205" s="34"/>
      <c r="I205" s="34"/>
      <c r="J205" s="34">
        <f t="shared" si="91"/>
        <v>0</v>
      </c>
      <c r="K205" s="34">
        <f>47000-47000</f>
        <v>0</v>
      </c>
      <c r="L205" s="34">
        <f>47000-47000</f>
        <v>0</v>
      </c>
      <c r="M205" s="34">
        <f t="shared" si="92"/>
        <v>0</v>
      </c>
      <c r="N205" s="34"/>
      <c r="O205" s="34"/>
      <c r="P205" s="34">
        <f t="shared" si="93"/>
        <v>0</v>
      </c>
      <c r="Q205" s="34"/>
      <c r="R205" s="34"/>
      <c r="S205" s="34">
        <f t="shared" si="94"/>
        <v>0</v>
      </c>
      <c r="T205" s="34"/>
      <c r="U205" s="34"/>
      <c r="V205" s="34">
        <f t="shared" si="95"/>
        <v>0</v>
      </c>
      <c r="W205" s="34"/>
      <c r="X205" s="34"/>
      <c r="Y205" s="34">
        <f t="shared" si="96"/>
        <v>0</v>
      </c>
      <c r="Z205" s="34"/>
      <c r="AA205" s="34"/>
      <c r="AB205" s="34">
        <f t="shared" si="97"/>
        <v>0</v>
      </c>
    </row>
    <row r="206" spans="1:189" s="28" customFormat="1" ht="63" x14ac:dyDescent="0.25">
      <c r="A206" s="33" t="s">
        <v>193</v>
      </c>
      <c r="B206" s="34">
        <f t="shared" si="75"/>
        <v>19744</v>
      </c>
      <c r="C206" s="34">
        <f t="shared" si="75"/>
        <v>19744</v>
      </c>
      <c r="D206" s="34">
        <f t="shared" si="75"/>
        <v>0</v>
      </c>
      <c r="E206" s="34"/>
      <c r="F206" s="34"/>
      <c r="G206" s="34">
        <f t="shared" si="67"/>
        <v>0</v>
      </c>
      <c r="H206" s="34"/>
      <c r="I206" s="34"/>
      <c r="J206" s="34">
        <f t="shared" si="91"/>
        <v>0</v>
      </c>
      <c r="K206" s="34">
        <v>19744</v>
      </c>
      <c r="L206" s="34">
        <v>19744</v>
      </c>
      <c r="M206" s="34">
        <f t="shared" si="92"/>
        <v>0</v>
      </c>
      <c r="N206" s="34"/>
      <c r="O206" s="34"/>
      <c r="P206" s="34">
        <f t="shared" si="93"/>
        <v>0</v>
      </c>
      <c r="Q206" s="34"/>
      <c r="R206" s="34"/>
      <c r="S206" s="34">
        <f t="shared" si="94"/>
        <v>0</v>
      </c>
      <c r="T206" s="34"/>
      <c r="U206" s="34"/>
      <c r="V206" s="34">
        <f t="shared" si="95"/>
        <v>0</v>
      </c>
      <c r="W206" s="34"/>
      <c r="X206" s="34"/>
      <c r="Y206" s="34">
        <f t="shared" si="96"/>
        <v>0</v>
      </c>
      <c r="Z206" s="34"/>
      <c r="AA206" s="34"/>
      <c r="AB206" s="34">
        <f t="shared" si="97"/>
        <v>0</v>
      </c>
    </row>
    <row r="207" spans="1:189" s="28" customFormat="1" ht="78.75" x14ac:dyDescent="0.25">
      <c r="A207" s="33" t="s">
        <v>194</v>
      </c>
      <c r="B207" s="34">
        <f t="shared" si="75"/>
        <v>232729</v>
      </c>
      <c r="C207" s="34">
        <f t="shared" si="75"/>
        <v>233694</v>
      </c>
      <c r="D207" s="34">
        <f t="shared" si="75"/>
        <v>965</v>
      </c>
      <c r="E207" s="34">
        <v>48476</v>
      </c>
      <c r="F207" s="34">
        <f>48476+5</f>
        <v>48481</v>
      </c>
      <c r="G207" s="34">
        <f t="shared" si="67"/>
        <v>5</v>
      </c>
      <c r="H207" s="34"/>
      <c r="I207" s="34"/>
      <c r="J207" s="34">
        <f t="shared" si="91"/>
        <v>0</v>
      </c>
      <c r="K207" s="34">
        <v>0</v>
      </c>
      <c r="L207" s="34">
        <v>960</v>
      </c>
      <c r="M207" s="34">
        <f t="shared" si="92"/>
        <v>960</v>
      </c>
      <c r="N207" s="34"/>
      <c r="O207" s="34"/>
      <c r="P207" s="34">
        <f t="shared" si="93"/>
        <v>0</v>
      </c>
      <c r="Q207" s="34"/>
      <c r="R207" s="34"/>
      <c r="S207" s="34">
        <f t="shared" si="94"/>
        <v>0</v>
      </c>
      <c r="T207" s="34">
        <v>184253</v>
      </c>
      <c r="U207" s="34">
        <v>184253</v>
      </c>
      <c r="V207" s="34">
        <f t="shared" si="95"/>
        <v>0</v>
      </c>
      <c r="W207" s="34"/>
      <c r="X207" s="34"/>
      <c r="Y207" s="34">
        <f t="shared" si="96"/>
        <v>0</v>
      </c>
      <c r="Z207" s="34"/>
      <c r="AA207" s="34"/>
      <c r="AB207" s="34">
        <f t="shared" si="97"/>
        <v>0</v>
      </c>
    </row>
    <row r="208" spans="1:189" s="28" customFormat="1" ht="31.5" x14ac:dyDescent="0.25">
      <c r="A208" s="33" t="s">
        <v>195</v>
      </c>
      <c r="B208" s="34">
        <f t="shared" si="75"/>
        <v>11886</v>
      </c>
      <c r="C208" s="34">
        <f t="shared" si="75"/>
        <v>11886</v>
      </c>
      <c r="D208" s="34">
        <f t="shared" si="75"/>
        <v>0</v>
      </c>
      <c r="E208" s="34"/>
      <c r="F208" s="34"/>
      <c r="G208" s="34">
        <f t="shared" si="67"/>
        <v>0</v>
      </c>
      <c r="H208" s="34"/>
      <c r="I208" s="34"/>
      <c r="J208" s="34">
        <f t="shared" si="91"/>
        <v>0</v>
      </c>
      <c r="K208" s="34"/>
      <c r="L208" s="34"/>
      <c r="M208" s="34">
        <f t="shared" si="92"/>
        <v>0</v>
      </c>
      <c r="N208" s="34"/>
      <c r="O208" s="34"/>
      <c r="P208" s="34">
        <f t="shared" si="93"/>
        <v>0</v>
      </c>
      <c r="Q208" s="34"/>
      <c r="R208" s="34"/>
      <c r="S208" s="34">
        <f t="shared" si="94"/>
        <v>0</v>
      </c>
      <c r="T208" s="34">
        <v>11886</v>
      </c>
      <c r="U208" s="34">
        <v>11886</v>
      </c>
      <c r="V208" s="34">
        <f t="shared" si="95"/>
        <v>0</v>
      </c>
      <c r="W208" s="34"/>
      <c r="X208" s="34"/>
      <c r="Y208" s="34">
        <f t="shared" si="96"/>
        <v>0</v>
      </c>
      <c r="Z208" s="34"/>
      <c r="AA208" s="34"/>
      <c r="AB208" s="34">
        <f t="shared" si="97"/>
        <v>0</v>
      </c>
    </row>
    <row r="209" spans="1:189" s="28" customFormat="1" ht="31.5" x14ac:dyDescent="0.25">
      <c r="A209" s="33" t="s">
        <v>196</v>
      </c>
      <c r="B209" s="34">
        <f t="shared" si="75"/>
        <v>72462</v>
      </c>
      <c r="C209" s="34">
        <f t="shared" si="75"/>
        <v>72462</v>
      </c>
      <c r="D209" s="34">
        <f t="shared" si="75"/>
        <v>0</v>
      </c>
      <c r="E209" s="34"/>
      <c r="F209" s="34"/>
      <c r="G209" s="34">
        <f t="shared" si="67"/>
        <v>0</v>
      </c>
      <c r="H209" s="34"/>
      <c r="I209" s="34"/>
      <c r="J209" s="34">
        <f t="shared" si="91"/>
        <v>0</v>
      </c>
      <c r="K209" s="34">
        <v>0</v>
      </c>
      <c r="L209" s="34">
        <v>0</v>
      </c>
      <c r="M209" s="34">
        <f t="shared" si="92"/>
        <v>0</v>
      </c>
      <c r="N209" s="34"/>
      <c r="O209" s="34"/>
      <c r="P209" s="34">
        <f t="shared" si="93"/>
        <v>0</v>
      </c>
      <c r="Q209" s="34"/>
      <c r="R209" s="34"/>
      <c r="S209" s="34">
        <f t="shared" si="94"/>
        <v>0</v>
      </c>
      <c r="T209" s="34">
        <v>72462</v>
      </c>
      <c r="U209" s="34">
        <v>72462</v>
      </c>
      <c r="V209" s="34">
        <f t="shared" si="95"/>
        <v>0</v>
      </c>
      <c r="W209" s="34"/>
      <c r="X209" s="34"/>
      <c r="Y209" s="34">
        <f t="shared" si="96"/>
        <v>0</v>
      </c>
      <c r="Z209" s="34"/>
      <c r="AA209" s="34"/>
      <c r="AB209" s="34">
        <f t="shared" si="97"/>
        <v>0</v>
      </c>
    </row>
    <row r="210" spans="1:189" s="28" customFormat="1" x14ac:dyDescent="0.25">
      <c r="A210" s="26" t="s">
        <v>48</v>
      </c>
      <c r="B210" s="27">
        <f t="shared" si="75"/>
        <v>4899602</v>
      </c>
      <c r="C210" s="27">
        <f t="shared" si="75"/>
        <v>4902965</v>
      </c>
      <c r="D210" s="27">
        <f t="shared" si="75"/>
        <v>3363</v>
      </c>
      <c r="E210" s="27">
        <f>SUM(E211,E235,E252,E231)</f>
        <v>235278</v>
      </c>
      <c r="F210" s="27">
        <f>SUM(F211,F235,F252,F231)</f>
        <v>235276</v>
      </c>
      <c r="G210" s="27">
        <f t="shared" si="67"/>
        <v>-2</v>
      </c>
      <c r="H210" s="27">
        <f>SUM(H211,H235,H252,H231)</f>
        <v>0</v>
      </c>
      <c r="I210" s="27">
        <f>SUM(I211,I235,I252,I231)</f>
        <v>0</v>
      </c>
      <c r="J210" s="27">
        <f t="shared" si="91"/>
        <v>0</v>
      </c>
      <c r="K210" s="27">
        <f>SUM(K211,K235,K252,K231)</f>
        <v>182381</v>
      </c>
      <c r="L210" s="27">
        <f>SUM(L211,L235,L252,L231)</f>
        <v>185746</v>
      </c>
      <c r="M210" s="27">
        <f t="shared" si="92"/>
        <v>3365</v>
      </c>
      <c r="N210" s="27">
        <f>SUM(N211,N235,N252,N231)</f>
        <v>7601</v>
      </c>
      <c r="O210" s="27">
        <f>SUM(O211,O235,O252,O231)</f>
        <v>7601</v>
      </c>
      <c r="P210" s="27">
        <f t="shared" si="93"/>
        <v>0</v>
      </c>
      <c r="Q210" s="27">
        <f>SUM(Q211,Q235,Q252,Q231)</f>
        <v>271173</v>
      </c>
      <c r="R210" s="27">
        <f>SUM(R211,R235,R252,R231)</f>
        <v>271173</v>
      </c>
      <c r="S210" s="27">
        <f t="shared" si="94"/>
        <v>0</v>
      </c>
      <c r="T210" s="27">
        <f>SUM(T211,T235,T252,T231)</f>
        <v>390208</v>
      </c>
      <c r="U210" s="27">
        <f>SUM(U211,U235,U252,U231)</f>
        <v>390208</v>
      </c>
      <c r="V210" s="27">
        <f t="shared" si="95"/>
        <v>0</v>
      </c>
      <c r="W210" s="27">
        <f>SUM(W211,W235,W252,W231)</f>
        <v>841361</v>
      </c>
      <c r="X210" s="27">
        <f>SUM(X211,X235,X252,X231)</f>
        <v>841361</v>
      </c>
      <c r="Y210" s="27">
        <f t="shared" si="96"/>
        <v>0</v>
      </c>
      <c r="Z210" s="27">
        <f>SUM(Z211,Z235,Z252,Z231)</f>
        <v>2971600</v>
      </c>
      <c r="AA210" s="27">
        <f>SUM(AA211,AA235,AA252,AA231)</f>
        <v>2971600</v>
      </c>
      <c r="AB210" s="27">
        <f t="shared" si="97"/>
        <v>0</v>
      </c>
    </row>
    <row r="211" spans="1:189" s="28" customFormat="1" x14ac:dyDescent="0.25">
      <c r="A211" s="26" t="s">
        <v>169</v>
      </c>
      <c r="B211" s="27">
        <f t="shared" si="75"/>
        <v>336326</v>
      </c>
      <c r="C211" s="27">
        <f t="shared" si="75"/>
        <v>338058</v>
      </c>
      <c r="D211" s="27">
        <f t="shared" si="75"/>
        <v>1732</v>
      </c>
      <c r="E211" s="27">
        <f>SUM(E212:E230)</f>
        <v>0</v>
      </c>
      <c r="F211" s="27">
        <f>SUM(F212:F230)</f>
        <v>0</v>
      </c>
      <c r="G211" s="27">
        <f t="shared" si="67"/>
        <v>0</v>
      </c>
      <c r="H211" s="27">
        <f>SUM(H212:H230)</f>
        <v>0</v>
      </c>
      <c r="I211" s="27">
        <f>SUM(I212:I230)</f>
        <v>0</v>
      </c>
      <c r="J211" s="27">
        <f t="shared" si="91"/>
        <v>0</v>
      </c>
      <c r="K211" s="27">
        <f>SUM(K212:K230)</f>
        <v>56654</v>
      </c>
      <c r="L211" s="27">
        <f>SUM(L212:L230)</f>
        <v>58386</v>
      </c>
      <c r="M211" s="27">
        <f t="shared" si="92"/>
        <v>1732</v>
      </c>
      <c r="N211" s="27">
        <f>SUM(N212:N230)</f>
        <v>5938</v>
      </c>
      <c r="O211" s="27">
        <f>SUM(O212:O230)</f>
        <v>5938</v>
      </c>
      <c r="P211" s="27">
        <f t="shared" si="93"/>
        <v>0</v>
      </c>
      <c r="Q211" s="27">
        <f>SUM(Q212:Q230)</f>
        <v>218968</v>
      </c>
      <c r="R211" s="27">
        <f>SUM(R212:R230)</f>
        <v>218968</v>
      </c>
      <c r="S211" s="27">
        <f t="shared" si="94"/>
        <v>0</v>
      </c>
      <c r="T211" s="27">
        <f>SUM(T212:T230)</f>
        <v>26016</v>
      </c>
      <c r="U211" s="27">
        <f>SUM(U212:U230)</f>
        <v>26016</v>
      </c>
      <c r="V211" s="27">
        <f t="shared" si="95"/>
        <v>0</v>
      </c>
      <c r="W211" s="27">
        <f>SUM(W212:W230)</f>
        <v>28750</v>
      </c>
      <c r="X211" s="27">
        <f>SUM(X212:X230)</f>
        <v>28750</v>
      </c>
      <c r="Y211" s="27">
        <f t="shared" si="96"/>
        <v>0</v>
      </c>
      <c r="Z211" s="27">
        <f>SUM(Z212:Z230)</f>
        <v>0</v>
      </c>
      <c r="AA211" s="27">
        <f>SUM(AA212:AA230)</f>
        <v>0</v>
      </c>
      <c r="AB211" s="27">
        <f t="shared" si="97"/>
        <v>0</v>
      </c>
    </row>
    <row r="212" spans="1:189" s="25" customFormat="1" ht="47.25" x14ac:dyDescent="0.25">
      <c r="A212" s="33" t="s">
        <v>197</v>
      </c>
      <c r="B212" s="34">
        <f t="shared" si="75"/>
        <v>26016</v>
      </c>
      <c r="C212" s="34">
        <f t="shared" si="75"/>
        <v>26016</v>
      </c>
      <c r="D212" s="34">
        <f t="shared" si="75"/>
        <v>0</v>
      </c>
      <c r="E212" s="34"/>
      <c r="F212" s="34"/>
      <c r="G212" s="34">
        <f t="shared" si="67"/>
        <v>0</v>
      </c>
      <c r="H212" s="34"/>
      <c r="I212" s="34"/>
      <c r="J212" s="34">
        <f t="shared" si="91"/>
        <v>0</v>
      </c>
      <c r="K212" s="34"/>
      <c r="L212" s="34"/>
      <c r="M212" s="34">
        <f t="shared" si="92"/>
        <v>0</v>
      </c>
      <c r="N212" s="34"/>
      <c r="O212" s="34"/>
      <c r="P212" s="34">
        <f t="shared" si="93"/>
        <v>0</v>
      </c>
      <c r="Q212" s="34"/>
      <c r="R212" s="34"/>
      <c r="S212" s="34">
        <f t="shared" si="94"/>
        <v>0</v>
      </c>
      <c r="T212" s="34">
        <f>26016</f>
        <v>26016</v>
      </c>
      <c r="U212" s="34">
        <f>26016</f>
        <v>26016</v>
      </c>
      <c r="V212" s="34">
        <f t="shared" si="95"/>
        <v>0</v>
      </c>
      <c r="W212" s="34"/>
      <c r="X212" s="34"/>
      <c r="Y212" s="34">
        <f t="shared" si="96"/>
        <v>0</v>
      </c>
      <c r="Z212" s="34"/>
      <c r="AA212" s="34"/>
      <c r="AB212" s="34">
        <f t="shared" si="97"/>
        <v>0</v>
      </c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  <c r="BG212" s="28"/>
      <c r="BH212" s="28"/>
      <c r="BI212" s="28"/>
      <c r="BJ212" s="28"/>
      <c r="BK212" s="28"/>
      <c r="BL212" s="28"/>
      <c r="BM212" s="28"/>
      <c r="BN212" s="28"/>
      <c r="BO212" s="28"/>
      <c r="BP212" s="28"/>
      <c r="BQ212" s="28"/>
      <c r="BR212" s="28"/>
      <c r="BS212" s="28"/>
      <c r="BT212" s="28"/>
      <c r="BU212" s="28"/>
      <c r="BV212" s="28"/>
      <c r="BW212" s="28"/>
      <c r="BX212" s="28"/>
      <c r="BY212" s="28"/>
      <c r="BZ212" s="28"/>
      <c r="CA212" s="28"/>
      <c r="CB212" s="28"/>
      <c r="CC212" s="28"/>
      <c r="CD212" s="28"/>
      <c r="CE212" s="28"/>
      <c r="CF212" s="28"/>
      <c r="CG212" s="28"/>
      <c r="CH212" s="28"/>
      <c r="CI212" s="28"/>
      <c r="CJ212" s="28"/>
      <c r="CK212" s="28"/>
      <c r="CL212" s="28"/>
      <c r="CM212" s="28"/>
      <c r="CN212" s="28"/>
      <c r="CO212" s="28"/>
      <c r="CP212" s="28"/>
      <c r="CQ212" s="28"/>
      <c r="CR212" s="28"/>
      <c r="CS212" s="28"/>
      <c r="CT212" s="28"/>
      <c r="CU212" s="28"/>
      <c r="CV212" s="28"/>
      <c r="CW212" s="28"/>
      <c r="CX212" s="28"/>
      <c r="CY212" s="28"/>
      <c r="CZ212" s="28"/>
      <c r="DA212" s="28"/>
      <c r="DB212" s="28"/>
      <c r="DC212" s="28"/>
      <c r="DD212" s="28"/>
      <c r="DE212" s="28"/>
      <c r="DF212" s="28"/>
      <c r="DG212" s="28"/>
      <c r="DH212" s="28"/>
      <c r="DI212" s="28"/>
      <c r="DJ212" s="28"/>
      <c r="DK212" s="28"/>
      <c r="DL212" s="28"/>
      <c r="DM212" s="28"/>
      <c r="DN212" s="28"/>
      <c r="DO212" s="28"/>
      <c r="DP212" s="28"/>
      <c r="DQ212" s="28"/>
      <c r="DR212" s="28"/>
      <c r="DS212" s="28"/>
      <c r="DT212" s="28"/>
      <c r="DU212" s="28"/>
      <c r="DV212" s="28"/>
      <c r="DW212" s="28"/>
      <c r="DX212" s="28"/>
      <c r="DY212" s="28"/>
      <c r="DZ212" s="28"/>
      <c r="EA212" s="28"/>
      <c r="EB212" s="28"/>
      <c r="EC212" s="28"/>
      <c r="ED212" s="28"/>
      <c r="EE212" s="28"/>
      <c r="EF212" s="28"/>
      <c r="EG212" s="28"/>
      <c r="EH212" s="28"/>
      <c r="EI212" s="28"/>
      <c r="EJ212" s="28"/>
      <c r="EK212" s="28"/>
      <c r="EL212" s="28"/>
      <c r="EM212" s="28"/>
      <c r="EN212" s="28"/>
      <c r="EO212" s="28"/>
      <c r="EP212" s="28"/>
      <c r="EQ212" s="28"/>
      <c r="ER212" s="28"/>
      <c r="ES212" s="28"/>
      <c r="ET212" s="28"/>
      <c r="EU212" s="28"/>
      <c r="EV212" s="28"/>
      <c r="EW212" s="28"/>
      <c r="EX212" s="28"/>
      <c r="EY212" s="28"/>
      <c r="EZ212" s="28"/>
      <c r="FA212" s="28"/>
      <c r="FB212" s="28"/>
      <c r="FC212" s="28"/>
      <c r="FD212" s="28"/>
      <c r="FE212" s="28"/>
      <c r="FF212" s="28"/>
      <c r="FG212" s="28"/>
      <c r="FH212" s="28"/>
      <c r="FI212" s="28"/>
      <c r="FJ212" s="28"/>
      <c r="FK212" s="28"/>
      <c r="FL212" s="28"/>
      <c r="FM212" s="28"/>
      <c r="FN212" s="28"/>
      <c r="FO212" s="28"/>
      <c r="FP212" s="28"/>
      <c r="FQ212" s="28"/>
      <c r="FR212" s="28"/>
      <c r="FS212" s="28"/>
      <c r="FT212" s="28"/>
      <c r="FU212" s="28"/>
      <c r="FV212" s="28"/>
      <c r="FW212" s="28"/>
      <c r="FX212" s="28"/>
      <c r="FY212" s="28"/>
      <c r="FZ212" s="28"/>
      <c r="GA212" s="28"/>
      <c r="GB212" s="28"/>
      <c r="GC212" s="28"/>
      <c r="GD212" s="28"/>
      <c r="GE212" s="28"/>
      <c r="GF212" s="28"/>
      <c r="GG212" s="28"/>
    </row>
    <row r="213" spans="1:189" s="25" customFormat="1" ht="31.5" x14ac:dyDescent="0.25">
      <c r="A213" s="33" t="s">
        <v>198</v>
      </c>
      <c r="B213" s="34">
        <f t="shared" si="75"/>
        <v>20188</v>
      </c>
      <c r="C213" s="34">
        <f t="shared" si="75"/>
        <v>20188</v>
      </c>
      <c r="D213" s="34">
        <f t="shared" si="75"/>
        <v>0</v>
      </c>
      <c r="E213" s="34"/>
      <c r="F213" s="34"/>
      <c r="G213" s="34">
        <f t="shared" si="67"/>
        <v>0</v>
      </c>
      <c r="H213" s="34"/>
      <c r="I213" s="34"/>
      <c r="J213" s="34">
        <f t="shared" si="91"/>
        <v>0</v>
      </c>
      <c r="K213" s="34">
        <f>8340+9240+1408+1200</f>
        <v>20188</v>
      </c>
      <c r="L213" s="34">
        <f>8340+9240+1408+1200</f>
        <v>20188</v>
      </c>
      <c r="M213" s="34">
        <f t="shared" si="92"/>
        <v>0</v>
      </c>
      <c r="N213" s="34"/>
      <c r="O213" s="34"/>
      <c r="P213" s="34">
        <f t="shared" si="93"/>
        <v>0</v>
      </c>
      <c r="Q213" s="34"/>
      <c r="R213" s="34"/>
      <c r="S213" s="34">
        <f t="shared" si="94"/>
        <v>0</v>
      </c>
      <c r="T213" s="34"/>
      <c r="U213" s="34"/>
      <c r="V213" s="34">
        <f t="shared" si="95"/>
        <v>0</v>
      </c>
      <c r="W213" s="34"/>
      <c r="X213" s="34"/>
      <c r="Y213" s="34">
        <f t="shared" si="96"/>
        <v>0</v>
      </c>
      <c r="Z213" s="34"/>
      <c r="AA213" s="34"/>
      <c r="AB213" s="34">
        <f t="shared" si="97"/>
        <v>0</v>
      </c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  <c r="BA213" s="28"/>
      <c r="BB213" s="28"/>
      <c r="BC213" s="28"/>
      <c r="BD213" s="28"/>
      <c r="BE213" s="28"/>
      <c r="BF213" s="28"/>
      <c r="BG213" s="28"/>
      <c r="BH213" s="28"/>
      <c r="BI213" s="28"/>
      <c r="BJ213" s="28"/>
      <c r="BK213" s="28"/>
      <c r="BL213" s="28"/>
      <c r="BM213" s="28"/>
      <c r="BN213" s="28"/>
      <c r="BO213" s="28"/>
      <c r="BP213" s="28"/>
      <c r="BQ213" s="28"/>
      <c r="BR213" s="28"/>
      <c r="BS213" s="28"/>
      <c r="BT213" s="28"/>
      <c r="BU213" s="28"/>
      <c r="BV213" s="28"/>
      <c r="BW213" s="28"/>
      <c r="BX213" s="28"/>
      <c r="BY213" s="28"/>
      <c r="BZ213" s="28"/>
      <c r="CA213" s="28"/>
      <c r="CB213" s="28"/>
      <c r="CC213" s="28"/>
      <c r="CD213" s="28"/>
      <c r="CE213" s="28"/>
      <c r="CF213" s="28"/>
      <c r="CG213" s="28"/>
      <c r="CH213" s="28"/>
      <c r="CI213" s="28"/>
      <c r="CJ213" s="28"/>
      <c r="CK213" s="28"/>
      <c r="CL213" s="28"/>
      <c r="CM213" s="28"/>
      <c r="CN213" s="28"/>
      <c r="CO213" s="28"/>
      <c r="CP213" s="28"/>
      <c r="CQ213" s="28"/>
      <c r="CR213" s="28"/>
      <c r="CS213" s="28"/>
      <c r="CT213" s="28"/>
      <c r="CU213" s="28"/>
      <c r="CV213" s="28"/>
      <c r="CW213" s="28"/>
      <c r="CX213" s="28"/>
      <c r="CY213" s="28"/>
      <c r="CZ213" s="28"/>
      <c r="DA213" s="28"/>
      <c r="DB213" s="28"/>
      <c r="DC213" s="28"/>
      <c r="DD213" s="28"/>
      <c r="DE213" s="28"/>
      <c r="DF213" s="28"/>
      <c r="DG213" s="28"/>
      <c r="DH213" s="28"/>
      <c r="DI213" s="28"/>
      <c r="DJ213" s="28"/>
      <c r="DK213" s="28"/>
      <c r="DL213" s="28"/>
      <c r="DM213" s="28"/>
      <c r="DN213" s="28"/>
      <c r="DO213" s="28"/>
      <c r="DP213" s="28"/>
      <c r="DQ213" s="28"/>
      <c r="DR213" s="28"/>
      <c r="DS213" s="28"/>
      <c r="DT213" s="28"/>
      <c r="DU213" s="28"/>
      <c r="DV213" s="28"/>
      <c r="DW213" s="28"/>
      <c r="DX213" s="28"/>
      <c r="DY213" s="28"/>
      <c r="DZ213" s="28"/>
      <c r="EA213" s="28"/>
      <c r="EB213" s="28"/>
      <c r="EC213" s="28"/>
      <c r="ED213" s="28"/>
      <c r="EE213" s="28"/>
      <c r="EF213" s="28"/>
      <c r="EG213" s="28"/>
      <c r="EH213" s="28"/>
      <c r="EI213" s="28"/>
      <c r="EJ213" s="28"/>
      <c r="EK213" s="28"/>
      <c r="EL213" s="28"/>
      <c r="EM213" s="28"/>
      <c r="EN213" s="28"/>
      <c r="EO213" s="28"/>
      <c r="EP213" s="28"/>
      <c r="EQ213" s="28"/>
      <c r="ER213" s="28"/>
      <c r="ES213" s="28"/>
      <c r="ET213" s="28"/>
      <c r="EU213" s="28"/>
      <c r="EV213" s="28"/>
      <c r="EW213" s="28"/>
      <c r="EX213" s="28"/>
      <c r="EY213" s="28"/>
      <c r="EZ213" s="28"/>
      <c r="FA213" s="28"/>
      <c r="FB213" s="28"/>
      <c r="FC213" s="28"/>
      <c r="FD213" s="28"/>
      <c r="FE213" s="28"/>
      <c r="FF213" s="28"/>
      <c r="FG213" s="28"/>
      <c r="FH213" s="28"/>
      <c r="FI213" s="28"/>
      <c r="FJ213" s="28"/>
      <c r="FK213" s="28"/>
      <c r="FL213" s="28"/>
      <c r="FM213" s="28"/>
      <c r="FN213" s="28"/>
      <c r="FO213" s="28"/>
      <c r="FP213" s="28"/>
      <c r="FQ213" s="28"/>
      <c r="FR213" s="28"/>
      <c r="FS213" s="28"/>
      <c r="FT213" s="28"/>
      <c r="FU213" s="28"/>
      <c r="FV213" s="28"/>
      <c r="FW213" s="28"/>
      <c r="FX213" s="28"/>
      <c r="FY213" s="28"/>
      <c r="FZ213" s="28"/>
      <c r="GA213" s="28"/>
      <c r="GB213" s="28"/>
      <c r="GC213" s="28"/>
      <c r="GD213" s="28"/>
      <c r="GE213" s="28"/>
      <c r="GF213" s="28"/>
      <c r="GG213" s="28"/>
    </row>
    <row r="214" spans="1:189" s="25" customFormat="1" ht="31.5" x14ac:dyDescent="0.25">
      <c r="A214" s="33" t="s">
        <v>199</v>
      </c>
      <c r="B214" s="34">
        <f t="shared" si="75"/>
        <v>6940</v>
      </c>
      <c r="C214" s="34">
        <f t="shared" si="75"/>
        <v>8672</v>
      </c>
      <c r="D214" s="34">
        <f t="shared" si="75"/>
        <v>1732</v>
      </c>
      <c r="E214" s="34"/>
      <c r="F214" s="34"/>
      <c r="G214" s="34">
        <f t="shared" si="67"/>
        <v>0</v>
      </c>
      <c r="H214" s="34"/>
      <c r="I214" s="34"/>
      <c r="J214" s="34">
        <f t="shared" si="91"/>
        <v>0</v>
      </c>
      <c r="K214" s="34">
        <v>1371</v>
      </c>
      <c r="L214" s="34">
        <f>1371+1732</f>
        <v>3103</v>
      </c>
      <c r="M214" s="34">
        <f t="shared" si="92"/>
        <v>1732</v>
      </c>
      <c r="N214" s="34"/>
      <c r="O214" s="34"/>
      <c r="P214" s="34">
        <f t="shared" si="93"/>
        <v>0</v>
      </c>
      <c r="Q214" s="34">
        <f>3840+1729</f>
        <v>5569</v>
      </c>
      <c r="R214" s="34">
        <f>3840+1729</f>
        <v>5569</v>
      </c>
      <c r="S214" s="34">
        <f t="shared" si="94"/>
        <v>0</v>
      </c>
      <c r="T214" s="34"/>
      <c r="U214" s="34"/>
      <c r="V214" s="34">
        <f t="shared" si="95"/>
        <v>0</v>
      </c>
      <c r="W214" s="34"/>
      <c r="X214" s="34"/>
      <c r="Y214" s="34">
        <f>X214-W214</f>
        <v>0</v>
      </c>
      <c r="Z214" s="34"/>
      <c r="AA214" s="34"/>
      <c r="AB214" s="34">
        <f t="shared" si="97"/>
        <v>0</v>
      </c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  <c r="BA214" s="28"/>
      <c r="BB214" s="28"/>
      <c r="BC214" s="28"/>
      <c r="BD214" s="28"/>
      <c r="BE214" s="28"/>
      <c r="BF214" s="28"/>
      <c r="BG214" s="28"/>
      <c r="BH214" s="28"/>
      <c r="BI214" s="28"/>
      <c r="BJ214" s="28"/>
      <c r="BK214" s="28"/>
      <c r="BL214" s="28"/>
      <c r="BM214" s="28"/>
      <c r="BN214" s="28"/>
      <c r="BO214" s="28"/>
      <c r="BP214" s="28"/>
      <c r="BQ214" s="28"/>
      <c r="BR214" s="28"/>
      <c r="BS214" s="28"/>
      <c r="BT214" s="28"/>
      <c r="BU214" s="28"/>
      <c r="BV214" s="28"/>
      <c r="BW214" s="28"/>
      <c r="BX214" s="28"/>
      <c r="BY214" s="28"/>
      <c r="BZ214" s="28"/>
      <c r="CA214" s="28"/>
      <c r="CB214" s="28"/>
      <c r="CC214" s="28"/>
      <c r="CD214" s="28"/>
      <c r="CE214" s="28"/>
      <c r="CF214" s="28"/>
      <c r="CG214" s="28"/>
      <c r="CH214" s="28"/>
      <c r="CI214" s="28"/>
      <c r="CJ214" s="28"/>
      <c r="CK214" s="28"/>
      <c r="CL214" s="28"/>
      <c r="CM214" s="28"/>
      <c r="CN214" s="28"/>
      <c r="CO214" s="28"/>
      <c r="CP214" s="28"/>
      <c r="CQ214" s="28"/>
      <c r="CR214" s="28"/>
      <c r="CS214" s="28"/>
      <c r="CT214" s="28"/>
      <c r="CU214" s="28"/>
      <c r="CV214" s="28"/>
      <c r="CW214" s="28"/>
      <c r="CX214" s="28"/>
      <c r="CY214" s="28"/>
      <c r="CZ214" s="28"/>
      <c r="DA214" s="28"/>
      <c r="DB214" s="28"/>
      <c r="DC214" s="28"/>
      <c r="DD214" s="28"/>
      <c r="DE214" s="28"/>
      <c r="DF214" s="28"/>
      <c r="DG214" s="28"/>
      <c r="DH214" s="28"/>
      <c r="DI214" s="28"/>
      <c r="DJ214" s="28"/>
      <c r="DK214" s="28"/>
      <c r="DL214" s="28"/>
      <c r="DM214" s="28"/>
      <c r="DN214" s="28"/>
      <c r="DO214" s="28"/>
      <c r="DP214" s="28"/>
      <c r="DQ214" s="28"/>
      <c r="DR214" s="28"/>
      <c r="DS214" s="28"/>
      <c r="DT214" s="28"/>
      <c r="DU214" s="28"/>
      <c r="DV214" s="28"/>
      <c r="DW214" s="28"/>
      <c r="DX214" s="28"/>
      <c r="DY214" s="28"/>
      <c r="DZ214" s="28"/>
      <c r="EA214" s="28"/>
      <c r="EB214" s="28"/>
      <c r="EC214" s="28"/>
      <c r="ED214" s="28"/>
      <c r="EE214" s="28"/>
      <c r="EF214" s="28"/>
      <c r="EG214" s="28"/>
      <c r="EH214" s="28"/>
      <c r="EI214" s="28"/>
      <c r="EJ214" s="28"/>
      <c r="EK214" s="28"/>
      <c r="EL214" s="28"/>
      <c r="EM214" s="28"/>
      <c r="EN214" s="28"/>
      <c r="EO214" s="28"/>
      <c r="EP214" s="28"/>
      <c r="EQ214" s="28"/>
      <c r="ER214" s="28"/>
      <c r="ES214" s="28"/>
      <c r="ET214" s="28"/>
      <c r="EU214" s="28"/>
      <c r="EV214" s="28"/>
      <c r="EW214" s="28"/>
      <c r="EX214" s="28"/>
      <c r="EY214" s="28"/>
      <c r="EZ214" s="28"/>
      <c r="FA214" s="28"/>
      <c r="FB214" s="28"/>
      <c r="FC214" s="28"/>
      <c r="FD214" s="28"/>
      <c r="FE214" s="28"/>
      <c r="FF214" s="28"/>
      <c r="FG214" s="28"/>
      <c r="FH214" s="28"/>
      <c r="FI214" s="28"/>
      <c r="FJ214" s="28"/>
      <c r="FK214" s="28"/>
      <c r="FL214" s="28"/>
      <c r="FM214" s="28"/>
      <c r="FN214" s="28"/>
      <c r="FO214" s="28"/>
      <c r="FP214" s="28"/>
      <c r="FQ214" s="28"/>
      <c r="FR214" s="28"/>
      <c r="FS214" s="28"/>
      <c r="FT214" s="28"/>
      <c r="FU214" s="28"/>
      <c r="FV214" s="28"/>
      <c r="FW214" s="28"/>
      <c r="FX214" s="28"/>
      <c r="FY214" s="28"/>
      <c r="FZ214" s="28"/>
      <c r="GA214" s="28"/>
      <c r="GB214" s="28"/>
      <c r="GC214" s="28"/>
      <c r="GD214" s="28"/>
      <c r="GE214" s="28"/>
      <c r="GF214" s="28"/>
      <c r="GG214" s="28"/>
    </row>
    <row r="215" spans="1:189" s="28" customFormat="1" x14ac:dyDescent="0.25">
      <c r="A215" s="33" t="s">
        <v>200</v>
      </c>
      <c r="B215" s="34">
        <f t="shared" si="75"/>
        <v>918</v>
      </c>
      <c r="C215" s="34">
        <f t="shared" si="75"/>
        <v>918</v>
      </c>
      <c r="D215" s="34">
        <f t="shared" si="75"/>
        <v>0</v>
      </c>
      <c r="E215" s="34"/>
      <c r="F215" s="34"/>
      <c r="G215" s="34">
        <f t="shared" si="67"/>
        <v>0</v>
      </c>
      <c r="H215" s="34"/>
      <c r="I215" s="34"/>
      <c r="J215" s="34">
        <f t="shared" si="91"/>
        <v>0</v>
      </c>
      <c r="K215" s="34">
        <v>918</v>
      </c>
      <c r="L215" s="34">
        <v>918</v>
      </c>
      <c r="M215" s="34">
        <f t="shared" si="92"/>
        <v>0</v>
      </c>
      <c r="N215" s="34"/>
      <c r="O215" s="34"/>
      <c r="P215" s="34">
        <f t="shared" si="93"/>
        <v>0</v>
      </c>
      <c r="Q215" s="34"/>
      <c r="R215" s="34"/>
      <c r="S215" s="34">
        <f t="shared" si="94"/>
        <v>0</v>
      </c>
      <c r="T215" s="34"/>
      <c r="U215" s="34"/>
      <c r="V215" s="34">
        <f t="shared" si="95"/>
        <v>0</v>
      </c>
      <c r="W215" s="34"/>
      <c r="X215" s="34"/>
      <c r="Y215" s="34">
        <f t="shared" ref="Y215:Y225" si="167">X215-W215</f>
        <v>0</v>
      </c>
      <c r="Z215" s="34"/>
      <c r="AA215" s="34"/>
      <c r="AB215" s="34">
        <f t="shared" si="97"/>
        <v>0</v>
      </c>
    </row>
    <row r="216" spans="1:189" s="28" customFormat="1" ht="47.25" x14ac:dyDescent="0.25">
      <c r="A216" s="33" t="s">
        <v>201</v>
      </c>
      <c r="B216" s="34">
        <f t="shared" si="75"/>
        <v>1700</v>
      </c>
      <c r="C216" s="34">
        <f t="shared" si="75"/>
        <v>1700</v>
      </c>
      <c r="D216" s="34">
        <f t="shared" si="75"/>
        <v>0</v>
      </c>
      <c r="E216" s="34"/>
      <c r="F216" s="34"/>
      <c r="G216" s="34">
        <f t="shared" si="67"/>
        <v>0</v>
      </c>
      <c r="H216" s="34"/>
      <c r="I216" s="34"/>
      <c r="J216" s="34">
        <f t="shared" si="91"/>
        <v>0</v>
      </c>
      <c r="K216" s="34"/>
      <c r="L216" s="34"/>
      <c r="M216" s="34">
        <f t="shared" si="92"/>
        <v>0</v>
      </c>
      <c r="N216" s="34">
        <v>1700</v>
      </c>
      <c r="O216" s="34">
        <v>1700</v>
      </c>
      <c r="P216" s="34">
        <f t="shared" si="93"/>
        <v>0</v>
      </c>
      <c r="Q216" s="34"/>
      <c r="R216" s="34"/>
      <c r="S216" s="34">
        <f t="shared" si="94"/>
        <v>0</v>
      </c>
      <c r="T216" s="34"/>
      <c r="U216" s="34"/>
      <c r="V216" s="34">
        <f t="shared" si="95"/>
        <v>0</v>
      </c>
      <c r="W216" s="34"/>
      <c r="X216" s="34"/>
      <c r="Y216" s="34">
        <f t="shared" si="167"/>
        <v>0</v>
      </c>
      <c r="Z216" s="34"/>
      <c r="AA216" s="34"/>
      <c r="AB216" s="34">
        <f t="shared" si="97"/>
        <v>0</v>
      </c>
    </row>
    <row r="217" spans="1:189" s="28" customFormat="1" ht="47.25" x14ac:dyDescent="0.25">
      <c r="A217" s="33" t="s">
        <v>202</v>
      </c>
      <c r="B217" s="34">
        <f t="shared" si="75"/>
        <v>4238</v>
      </c>
      <c r="C217" s="34">
        <f t="shared" si="75"/>
        <v>4238</v>
      </c>
      <c r="D217" s="34">
        <f t="shared" si="75"/>
        <v>0</v>
      </c>
      <c r="E217" s="34"/>
      <c r="F217" s="34"/>
      <c r="G217" s="34">
        <f t="shared" si="67"/>
        <v>0</v>
      </c>
      <c r="H217" s="34"/>
      <c r="I217" s="34"/>
      <c r="J217" s="34">
        <f t="shared" si="91"/>
        <v>0</v>
      </c>
      <c r="K217" s="34"/>
      <c r="L217" s="34"/>
      <c r="M217" s="34">
        <f t="shared" si="92"/>
        <v>0</v>
      </c>
      <c r="N217" s="34">
        <v>4238</v>
      </c>
      <c r="O217" s="34">
        <v>4238</v>
      </c>
      <c r="P217" s="34">
        <f t="shared" si="93"/>
        <v>0</v>
      </c>
      <c r="Q217" s="34"/>
      <c r="R217" s="34"/>
      <c r="S217" s="34">
        <f t="shared" si="94"/>
        <v>0</v>
      </c>
      <c r="T217" s="34"/>
      <c r="U217" s="34"/>
      <c r="V217" s="34">
        <f t="shared" si="95"/>
        <v>0</v>
      </c>
      <c r="W217" s="34"/>
      <c r="X217" s="34"/>
      <c r="Y217" s="34">
        <f t="shared" si="167"/>
        <v>0</v>
      </c>
      <c r="Z217" s="34"/>
      <c r="AA217" s="34"/>
      <c r="AB217" s="34">
        <f t="shared" si="97"/>
        <v>0</v>
      </c>
    </row>
    <row r="218" spans="1:189" s="45" customFormat="1" ht="31.5" x14ac:dyDescent="0.25">
      <c r="A218" s="43" t="s">
        <v>203</v>
      </c>
      <c r="B218" s="44">
        <f t="shared" si="75"/>
        <v>1836</v>
      </c>
      <c r="C218" s="44">
        <f t="shared" si="75"/>
        <v>1836</v>
      </c>
      <c r="D218" s="44">
        <f t="shared" si="75"/>
        <v>0</v>
      </c>
      <c r="E218" s="44"/>
      <c r="F218" s="44"/>
      <c r="G218" s="44">
        <f t="shared" si="67"/>
        <v>0</v>
      </c>
      <c r="H218" s="44"/>
      <c r="I218" s="44"/>
      <c r="J218" s="44">
        <f t="shared" si="91"/>
        <v>0</v>
      </c>
      <c r="K218" s="44">
        <f>1836</f>
        <v>1836</v>
      </c>
      <c r="L218" s="44">
        <f>1836</f>
        <v>1836</v>
      </c>
      <c r="M218" s="44">
        <f t="shared" si="92"/>
        <v>0</v>
      </c>
      <c r="N218" s="44"/>
      <c r="O218" s="44"/>
      <c r="P218" s="44">
        <f t="shared" si="93"/>
        <v>0</v>
      </c>
      <c r="Q218" s="44"/>
      <c r="R218" s="44"/>
      <c r="S218" s="44">
        <f t="shared" si="94"/>
        <v>0</v>
      </c>
      <c r="T218" s="44"/>
      <c r="U218" s="44"/>
      <c r="V218" s="44">
        <f t="shared" si="95"/>
        <v>0</v>
      </c>
      <c r="W218" s="44"/>
      <c r="X218" s="44"/>
      <c r="Y218" s="44">
        <f t="shared" si="167"/>
        <v>0</v>
      </c>
      <c r="Z218" s="44"/>
      <c r="AA218" s="44"/>
      <c r="AB218" s="44">
        <f t="shared" si="97"/>
        <v>0</v>
      </c>
    </row>
    <row r="219" spans="1:189" s="25" customFormat="1" ht="31.5" x14ac:dyDescent="0.25">
      <c r="A219" s="33" t="s">
        <v>204</v>
      </c>
      <c r="B219" s="34">
        <f t="shared" si="75"/>
        <v>28750</v>
      </c>
      <c r="C219" s="34">
        <f t="shared" si="75"/>
        <v>28750</v>
      </c>
      <c r="D219" s="34">
        <f t="shared" si="75"/>
        <v>0</v>
      </c>
      <c r="E219" s="34"/>
      <c r="F219" s="34"/>
      <c r="G219" s="34">
        <f t="shared" si="67"/>
        <v>0</v>
      </c>
      <c r="H219" s="34"/>
      <c r="I219" s="34"/>
      <c r="J219" s="34">
        <f t="shared" si="91"/>
        <v>0</v>
      </c>
      <c r="K219" s="34"/>
      <c r="L219" s="34"/>
      <c r="M219" s="34">
        <f t="shared" si="92"/>
        <v>0</v>
      </c>
      <c r="N219" s="34"/>
      <c r="O219" s="34"/>
      <c r="P219" s="34">
        <f t="shared" si="93"/>
        <v>0</v>
      </c>
      <c r="Q219" s="34"/>
      <c r="R219" s="34"/>
      <c r="S219" s="34">
        <f t="shared" si="94"/>
        <v>0</v>
      </c>
      <c r="T219" s="34"/>
      <c r="U219" s="34"/>
      <c r="V219" s="34">
        <f t="shared" si="95"/>
        <v>0</v>
      </c>
      <c r="W219" s="34">
        <v>28750</v>
      </c>
      <c r="X219" s="34">
        <v>28750</v>
      </c>
      <c r="Y219" s="34">
        <f t="shared" si="167"/>
        <v>0</v>
      </c>
      <c r="Z219" s="34"/>
      <c r="AA219" s="34"/>
      <c r="AB219" s="34">
        <f t="shared" si="97"/>
        <v>0</v>
      </c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  <c r="BA219" s="28"/>
      <c r="BB219" s="28"/>
      <c r="BC219" s="28"/>
      <c r="BD219" s="28"/>
      <c r="BE219" s="28"/>
      <c r="BF219" s="28"/>
      <c r="BG219" s="28"/>
      <c r="BH219" s="28"/>
      <c r="BI219" s="28"/>
      <c r="BJ219" s="28"/>
      <c r="BK219" s="28"/>
      <c r="BL219" s="28"/>
      <c r="BM219" s="28"/>
      <c r="BN219" s="28"/>
      <c r="BO219" s="28"/>
      <c r="BP219" s="28"/>
      <c r="BQ219" s="28"/>
      <c r="BR219" s="28"/>
      <c r="BS219" s="28"/>
      <c r="BT219" s="28"/>
      <c r="BU219" s="28"/>
      <c r="BV219" s="28"/>
      <c r="BW219" s="28"/>
      <c r="BX219" s="28"/>
      <c r="BY219" s="28"/>
      <c r="BZ219" s="28"/>
      <c r="CA219" s="28"/>
      <c r="CB219" s="28"/>
      <c r="CC219" s="28"/>
      <c r="CD219" s="28"/>
      <c r="CE219" s="28"/>
      <c r="CF219" s="28"/>
      <c r="CG219" s="28"/>
      <c r="CH219" s="28"/>
      <c r="CI219" s="28"/>
      <c r="CJ219" s="28"/>
      <c r="CK219" s="28"/>
      <c r="CL219" s="28"/>
      <c r="CM219" s="28"/>
      <c r="CN219" s="28"/>
      <c r="CO219" s="28"/>
      <c r="CP219" s="28"/>
      <c r="CQ219" s="28"/>
      <c r="CR219" s="28"/>
      <c r="CS219" s="28"/>
      <c r="CT219" s="28"/>
      <c r="CU219" s="28"/>
      <c r="CV219" s="28"/>
      <c r="CW219" s="28"/>
      <c r="CX219" s="28"/>
      <c r="CY219" s="28"/>
      <c r="CZ219" s="28"/>
      <c r="DA219" s="28"/>
      <c r="DB219" s="28"/>
      <c r="DC219" s="28"/>
      <c r="DD219" s="28"/>
      <c r="DE219" s="28"/>
      <c r="DF219" s="28"/>
      <c r="DG219" s="28"/>
      <c r="DH219" s="28"/>
      <c r="DI219" s="28"/>
      <c r="DJ219" s="28"/>
      <c r="DK219" s="28"/>
      <c r="DL219" s="28"/>
      <c r="DM219" s="28"/>
      <c r="DN219" s="28"/>
      <c r="DO219" s="28"/>
      <c r="DP219" s="28"/>
      <c r="DQ219" s="28"/>
      <c r="DR219" s="28"/>
      <c r="DS219" s="28"/>
      <c r="DT219" s="28"/>
      <c r="DU219" s="28"/>
      <c r="DV219" s="28"/>
      <c r="DW219" s="28"/>
      <c r="DX219" s="28"/>
      <c r="DY219" s="28"/>
      <c r="DZ219" s="28"/>
      <c r="EA219" s="28"/>
      <c r="EB219" s="28"/>
      <c r="EC219" s="28"/>
      <c r="ED219" s="28"/>
      <c r="EE219" s="28"/>
      <c r="EF219" s="28"/>
      <c r="EG219" s="28"/>
      <c r="EH219" s="28"/>
      <c r="EI219" s="28"/>
      <c r="EJ219" s="28"/>
      <c r="EK219" s="28"/>
      <c r="EL219" s="28"/>
      <c r="EM219" s="28"/>
      <c r="EN219" s="28"/>
      <c r="EO219" s="28"/>
      <c r="EP219" s="28"/>
      <c r="EQ219" s="28"/>
      <c r="ER219" s="28"/>
      <c r="ES219" s="28"/>
      <c r="ET219" s="28"/>
      <c r="EU219" s="28"/>
      <c r="EV219" s="28"/>
      <c r="EW219" s="28"/>
      <c r="EX219" s="28"/>
      <c r="EY219" s="28"/>
      <c r="EZ219" s="28"/>
      <c r="FA219" s="28"/>
      <c r="FB219" s="28"/>
      <c r="FC219" s="28"/>
      <c r="FD219" s="28"/>
      <c r="FE219" s="28"/>
      <c r="FF219" s="28"/>
      <c r="FG219" s="28"/>
      <c r="FH219" s="28"/>
      <c r="FI219" s="28"/>
      <c r="FJ219" s="28"/>
      <c r="FK219" s="28"/>
      <c r="FL219" s="28"/>
      <c r="FM219" s="28"/>
      <c r="FN219" s="28"/>
      <c r="FO219" s="28"/>
      <c r="FP219" s="28"/>
      <c r="FQ219" s="28"/>
      <c r="FR219" s="28"/>
      <c r="FS219" s="28"/>
      <c r="FT219" s="28"/>
      <c r="FU219" s="28"/>
      <c r="FV219" s="28"/>
      <c r="FW219" s="28"/>
      <c r="FX219" s="28"/>
      <c r="FY219" s="28"/>
      <c r="FZ219" s="28"/>
      <c r="GA219" s="28"/>
      <c r="GB219" s="28"/>
      <c r="GC219" s="28"/>
      <c r="GD219" s="28"/>
      <c r="GE219" s="28"/>
      <c r="GF219" s="28"/>
      <c r="GG219" s="28"/>
    </row>
    <row r="220" spans="1:189" s="25" customFormat="1" ht="31.5" x14ac:dyDescent="0.25">
      <c r="A220" s="33" t="s">
        <v>205</v>
      </c>
      <c r="B220" s="34">
        <f t="shared" si="75"/>
        <v>7695</v>
      </c>
      <c r="C220" s="34">
        <f t="shared" si="75"/>
        <v>7695</v>
      </c>
      <c r="D220" s="34">
        <f t="shared" si="75"/>
        <v>0</v>
      </c>
      <c r="E220" s="34"/>
      <c r="F220" s="34"/>
      <c r="G220" s="34">
        <f t="shared" si="67"/>
        <v>0</v>
      </c>
      <c r="H220" s="34"/>
      <c r="I220" s="34"/>
      <c r="J220" s="34">
        <f t="shared" si="91"/>
        <v>0</v>
      </c>
      <c r="K220" s="34">
        <v>7695</v>
      </c>
      <c r="L220" s="34">
        <v>7695</v>
      </c>
      <c r="M220" s="34">
        <f t="shared" si="92"/>
        <v>0</v>
      </c>
      <c r="N220" s="34"/>
      <c r="O220" s="34"/>
      <c r="P220" s="34">
        <f t="shared" si="93"/>
        <v>0</v>
      </c>
      <c r="Q220" s="34"/>
      <c r="R220" s="34"/>
      <c r="S220" s="34">
        <f t="shared" si="94"/>
        <v>0</v>
      </c>
      <c r="T220" s="34"/>
      <c r="U220" s="34"/>
      <c r="V220" s="34">
        <f t="shared" si="95"/>
        <v>0</v>
      </c>
      <c r="W220" s="34"/>
      <c r="X220" s="34"/>
      <c r="Y220" s="34">
        <f t="shared" si="167"/>
        <v>0</v>
      </c>
      <c r="Z220" s="34"/>
      <c r="AA220" s="34"/>
      <c r="AB220" s="34">
        <f t="shared" si="97"/>
        <v>0</v>
      </c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  <c r="BA220" s="28"/>
      <c r="BB220" s="28"/>
      <c r="BC220" s="28"/>
      <c r="BD220" s="28"/>
      <c r="BE220" s="28"/>
      <c r="BF220" s="28"/>
      <c r="BG220" s="28"/>
      <c r="BH220" s="28"/>
      <c r="BI220" s="28"/>
      <c r="BJ220" s="28"/>
      <c r="BK220" s="28"/>
      <c r="BL220" s="28"/>
      <c r="BM220" s="28"/>
      <c r="BN220" s="28"/>
      <c r="BO220" s="28"/>
      <c r="BP220" s="28"/>
      <c r="BQ220" s="28"/>
      <c r="BR220" s="28"/>
      <c r="BS220" s="28"/>
      <c r="BT220" s="28"/>
      <c r="BU220" s="28"/>
      <c r="BV220" s="28"/>
      <c r="BW220" s="28"/>
      <c r="BX220" s="28"/>
      <c r="BY220" s="28"/>
      <c r="BZ220" s="28"/>
      <c r="CA220" s="28"/>
      <c r="CB220" s="28"/>
      <c r="CC220" s="28"/>
      <c r="CD220" s="28"/>
      <c r="CE220" s="28"/>
      <c r="CF220" s="28"/>
      <c r="CG220" s="28"/>
      <c r="CH220" s="28"/>
      <c r="CI220" s="28"/>
      <c r="CJ220" s="28"/>
      <c r="CK220" s="28"/>
      <c r="CL220" s="28"/>
      <c r="CM220" s="28"/>
      <c r="CN220" s="28"/>
      <c r="CO220" s="28"/>
      <c r="CP220" s="28"/>
      <c r="CQ220" s="28"/>
      <c r="CR220" s="28"/>
      <c r="CS220" s="28"/>
      <c r="CT220" s="28"/>
      <c r="CU220" s="28"/>
      <c r="CV220" s="28"/>
      <c r="CW220" s="28"/>
      <c r="CX220" s="28"/>
      <c r="CY220" s="28"/>
      <c r="CZ220" s="28"/>
      <c r="DA220" s="28"/>
      <c r="DB220" s="28"/>
      <c r="DC220" s="28"/>
      <c r="DD220" s="28"/>
      <c r="DE220" s="28"/>
      <c r="DF220" s="28"/>
      <c r="DG220" s="28"/>
      <c r="DH220" s="28"/>
      <c r="DI220" s="28"/>
      <c r="DJ220" s="28"/>
      <c r="DK220" s="28"/>
      <c r="DL220" s="28"/>
      <c r="DM220" s="28"/>
      <c r="DN220" s="28"/>
      <c r="DO220" s="28"/>
      <c r="DP220" s="28"/>
      <c r="DQ220" s="28"/>
      <c r="DR220" s="28"/>
      <c r="DS220" s="28"/>
      <c r="DT220" s="28"/>
      <c r="DU220" s="28"/>
      <c r="DV220" s="28"/>
      <c r="DW220" s="28"/>
      <c r="DX220" s="28"/>
      <c r="DY220" s="28"/>
      <c r="DZ220" s="28"/>
      <c r="EA220" s="28"/>
      <c r="EB220" s="28"/>
      <c r="EC220" s="28"/>
      <c r="ED220" s="28"/>
      <c r="EE220" s="28"/>
      <c r="EF220" s="28"/>
      <c r="EG220" s="28"/>
      <c r="EH220" s="28"/>
      <c r="EI220" s="28"/>
      <c r="EJ220" s="28"/>
      <c r="EK220" s="28"/>
      <c r="EL220" s="28"/>
      <c r="EM220" s="28"/>
      <c r="EN220" s="28"/>
      <c r="EO220" s="28"/>
      <c r="EP220" s="28"/>
      <c r="EQ220" s="28"/>
      <c r="ER220" s="28"/>
      <c r="ES220" s="28"/>
      <c r="ET220" s="28"/>
      <c r="EU220" s="28"/>
      <c r="EV220" s="28"/>
      <c r="EW220" s="28"/>
      <c r="EX220" s="28"/>
      <c r="EY220" s="28"/>
      <c r="EZ220" s="28"/>
      <c r="FA220" s="28"/>
      <c r="FB220" s="28"/>
      <c r="FC220" s="28"/>
      <c r="FD220" s="28"/>
      <c r="FE220" s="28"/>
      <c r="FF220" s="28"/>
      <c r="FG220" s="28"/>
      <c r="FH220" s="28"/>
      <c r="FI220" s="28"/>
      <c r="FJ220" s="28"/>
      <c r="FK220" s="28"/>
      <c r="FL220" s="28"/>
      <c r="FM220" s="28"/>
      <c r="FN220" s="28"/>
      <c r="FO220" s="28"/>
      <c r="FP220" s="28"/>
      <c r="FQ220" s="28"/>
      <c r="FR220" s="28"/>
      <c r="FS220" s="28"/>
      <c r="FT220" s="28"/>
      <c r="FU220" s="28"/>
      <c r="FV220" s="28"/>
      <c r="FW220" s="28"/>
      <c r="FX220" s="28"/>
      <c r="FY220" s="28"/>
      <c r="FZ220" s="28"/>
      <c r="GA220" s="28"/>
      <c r="GB220" s="28"/>
      <c r="GC220" s="28"/>
      <c r="GD220" s="28"/>
      <c r="GE220" s="28"/>
      <c r="GF220" s="28"/>
      <c r="GG220" s="28"/>
    </row>
    <row r="221" spans="1:189" s="25" customFormat="1" ht="31.5" x14ac:dyDescent="0.25">
      <c r="A221" s="33" t="s">
        <v>206</v>
      </c>
      <c r="B221" s="34">
        <f t="shared" si="75"/>
        <v>2347</v>
      </c>
      <c r="C221" s="34">
        <f t="shared" si="75"/>
        <v>2347</v>
      </c>
      <c r="D221" s="34">
        <f t="shared" si="75"/>
        <v>0</v>
      </c>
      <c r="E221" s="34"/>
      <c r="F221" s="34"/>
      <c r="G221" s="34">
        <f t="shared" si="67"/>
        <v>0</v>
      </c>
      <c r="H221" s="34"/>
      <c r="I221" s="34"/>
      <c r="J221" s="34">
        <f t="shared" si="91"/>
        <v>0</v>
      </c>
      <c r="K221" s="34"/>
      <c r="L221" s="34"/>
      <c r="M221" s="34">
        <f t="shared" si="92"/>
        <v>0</v>
      </c>
      <c r="N221" s="34"/>
      <c r="O221" s="34"/>
      <c r="P221" s="34">
        <f t="shared" si="93"/>
        <v>0</v>
      </c>
      <c r="Q221" s="34">
        <v>2347</v>
      </c>
      <c r="R221" s="34">
        <v>2347</v>
      </c>
      <c r="S221" s="34">
        <f t="shared" si="94"/>
        <v>0</v>
      </c>
      <c r="T221" s="34"/>
      <c r="U221" s="34"/>
      <c r="V221" s="34">
        <f t="shared" si="95"/>
        <v>0</v>
      </c>
      <c r="W221" s="34"/>
      <c r="X221" s="34"/>
      <c r="Y221" s="34">
        <f t="shared" si="167"/>
        <v>0</v>
      </c>
      <c r="Z221" s="34"/>
      <c r="AA221" s="34"/>
      <c r="AB221" s="34">
        <f t="shared" si="97"/>
        <v>0</v>
      </c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  <c r="BA221" s="28"/>
      <c r="BB221" s="28"/>
      <c r="BC221" s="28"/>
      <c r="BD221" s="28"/>
      <c r="BE221" s="28"/>
      <c r="BF221" s="28"/>
      <c r="BG221" s="28"/>
      <c r="BH221" s="28"/>
      <c r="BI221" s="28"/>
      <c r="BJ221" s="28"/>
      <c r="BK221" s="28"/>
      <c r="BL221" s="28"/>
      <c r="BM221" s="28"/>
      <c r="BN221" s="28"/>
      <c r="BO221" s="28"/>
      <c r="BP221" s="28"/>
      <c r="BQ221" s="28"/>
      <c r="BR221" s="28"/>
      <c r="BS221" s="28"/>
      <c r="BT221" s="28"/>
      <c r="BU221" s="28"/>
      <c r="BV221" s="28"/>
      <c r="BW221" s="28"/>
      <c r="BX221" s="28"/>
      <c r="BY221" s="28"/>
      <c r="BZ221" s="28"/>
      <c r="CA221" s="28"/>
      <c r="CB221" s="28"/>
      <c r="CC221" s="28"/>
      <c r="CD221" s="28"/>
      <c r="CE221" s="28"/>
      <c r="CF221" s="28"/>
      <c r="CG221" s="28"/>
      <c r="CH221" s="28"/>
      <c r="CI221" s="28"/>
      <c r="CJ221" s="28"/>
      <c r="CK221" s="28"/>
      <c r="CL221" s="28"/>
      <c r="CM221" s="28"/>
      <c r="CN221" s="28"/>
      <c r="CO221" s="28"/>
      <c r="CP221" s="28"/>
      <c r="CQ221" s="28"/>
      <c r="CR221" s="28"/>
      <c r="CS221" s="28"/>
      <c r="CT221" s="28"/>
      <c r="CU221" s="28"/>
      <c r="CV221" s="28"/>
      <c r="CW221" s="28"/>
      <c r="CX221" s="28"/>
      <c r="CY221" s="28"/>
      <c r="CZ221" s="28"/>
      <c r="DA221" s="28"/>
      <c r="DB221" s="28"/>
      <c r="DC221" s="28"/>
      <c r="DD221" s="28"/>
      <c r="DE221" s="28"/>
      <c r="DF221" s="28"/>
      <c r="DG221" s="28"/>
      <c r="DH221" s="28"/>
      <c r="DI221" s="28"/>
      <c r="DJ221" s="28"/>
      <c r="DK221" s="28"/>
      <c r="DL221" s="28"/>
      <c r="DM221" s="28"/>
      <c r="DN221" s="28"/>
      <c r="DO221" s="28"/>
      <c r="DP221" s="28"/>
      <c r="DQ221" s="28"/>
      <c r="DR221" s="28"/>
      <c r="DS221" s="28"/>
      <c r="DT221" s="28"/>
      <c r="DU221" s="28"/>
      <c r="DV221" s="28"/>
      <c r="DW221" s="28"/>
      <c r="DX221" s="28"/>
      <c r="DY221" s="28"/>
      <c r="DZ221" s="28"/>
      <c r="EA221" s="28"/>
      <c r="EB221" s="28"/>
      <c r="EC221" s="28"/>
      <c r="ED221" s="28"/>
      <c r="EE221" s="28"/>
      <c r="EF221" s="28"/>
      <c r="EG221" s="28"/>
      <c r="EH221" s="28"/>
      <c r="EI221" s="28"/>
      <c r="EJ221" s="28"/>
      <c r="EK221" s="28"/>
      <c r="EL221" s="28"/>
      <c r="EM221" s="28"/>
      <c r="EN221" s="28"/>
      <c r="EO221" s="28"/>
      <c r="EP221" s="28"/>
      <c r="EQ221" s="28"/>
      <c r="ER221" s="28"/>
      <c r="ES221" s="28"/>
      <c r="ET221" s="28"/>
      <c r="EU221" s="28"/>
      <c r="EV221" s="28"/>
      <c r="EW221" s="28"/>
      <c r="EX221" s="28"/>
      <c r="EY221" s="28"/>
      <c r="EZ221" s="28"/>
      <c r="FA221" s="28"/>
      <c r="FB221" s="28"/>
      <c r="FC221" s="28"/>
      <c r="FD221" s="28"/>
      <c r="FE221" s="28"/>
      <c r="FF221" s="28"/>
      <c r="FG221" s="28"/>
      <c r="FH221" s="28"/>
      <c r="FI221" s="28"/>
      <c r="FJ221" s="28"/>
      <c r="FK221" s="28"/>
      <c r="FL221" s="28"/>
      <c r="FM221" s="28"/>
      <c r="FN221" s="28"/>
      <c r="FO221" s="28"/>
      <c r="FP221" s="28"/>
      <c r="FQ221" s="28"/>
      <c r="FR221" s="28"/>
      <c r="FS221" s="28"/>
      <c r="FT221" s="28"/>
      <c r="FU221" s="28"/>
      <c r="FV221" s="28"/>
      <c r="FW221" s="28"/>
      <c r="FX221" s="28"/>
      <c r="FY221" s="28"/>
      <c r="FZ221" s="28"/>
      <c r="GA221" s="28"/>
      <c r="GB221" s="28"/>
      <c r="GC221" s="28"/>
      <c r="GD221" s="28"/>
      <c r="GE221" s="28"/>
      <c r="GF221" s="28"/>
      <c r="GG221" s="28"/>
    </row>
    <row r="222" spans="1:189" s="25" customFormat="1" x14ac:dyDescent="0.25">
      <c r="A222" s="33" t="s">
        <v>207</v>
      </c>
      <c r="B222" s="34">
        <f t="shared" si="75"/>
        <v>6834</v>
      </c>
      <c r="C222" s="34">
        <f t="shared" si="75"/>
        <v>6834</v>
      </c>
      <c r="D222" s="34">
        <f t="shared" si="75"/>
        <v>0</v>
      </c>
      <c r="E222" s="34"/>
      <c r="F222" s="34"/>
      <c r="G222" s="34">
        <f t="shared" si="67"/>
        <v>0</v>
      </c>
      <c r="H222" s="34"/>
      <c r="I222" s="34"/>
      <c r="J222" s="34">
        <f t="shared" si="91"/>
        <v>0</v>
      </c>
      <c r="K222" s="34">
        <v>6834</v>
      </c>
      <c r="L222" s="34">
        <v>6834</v>
      </c>
      <c r="M222" s="34">
        <f t="shared" si="92"/>
        <v>0</v>
      </c>
      <c r="N222" s="34"/>
      <c r="O222" s="34"/>
      <c r="P222" s="34">
        <f t="shared" si="93"/>
        <v>0</v>
      </c>
      <c r="Q222" s="34"/>
      <c r="R222" s="34"/>
      <c r="S222" s="34">
        <f t="shared" si="94"/>
        <v>0</v>
      </c>
      <c r="T222" s="34"/>
      <c r="U222" s="34"/>
      <c r="V222" s="34">
        <f t="shared" si="95"/>
        <v>0</v>
      </c>
      <c r="W222" s="34"/>
      <c r="X222" s="34"/>
      <c r="Y222" s="34">
        <f t="shared" si="167"/>
        <v>0</v>
      </c>
      <c r="Z222" s="34"/>
      <c r="AA222" s="34"/>
      <c r="AB222" s="34">
        <f t="shared" si="97"/>
        <v>0</v>
      </c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  <c r="BA222" s="28"/>
      <c r="BB222" s="28"/>
      <c r="BC222" s="28"/>
      <c r="BD222" s="28"/>
      <c r="BE222" s="28"/>
      <c r="BF222" s="28"/>
      <c r="BG222" s="28"/>
      <c r="BH222" s="28"/>
      <c r="BI222" s="28"/>
      <c r="BJ222" s="28"/>
      <c r="BK222" s="28"/>
      <c r="BL222" s="28"/>
      <c r="BM222" s="28"/>
      <c r="BN222" s="28"/>
      <c r="BO222" s="28"/>
      <c r="BP222" s="28"/>
      <c r="BQ222" s="28"/>
      <c r="BR222" s="28"/>
      <c r="BS222" s="28"/>
      <c r="BT222" s="28"/>
      <c r="BU222" s="28"/>
      <c r="BV222" s="28"/>
      <c r="BW222" s="28"/>
      <c r="BX222" s="28"/>
      <c r="BY222" s="28"/>
      <c r="BZ222" s="28"/>
      <c r="CA222" s="28"/>
      <c r="CB222" s="28"/>
      <c r="CC222" s="28"/>
      <c r="CD222" s="28"/>
      <c r="CE222" s="28"/>
      <c r="CF222" s="28"/>
      <c r="CG222" s="28"/>
      <c r="CH222" s="28"/>
      <c r="CI222" s="28"/>
      <c r="CJ222" s="28"/>
      <c r="CK222" s="28"/>
      <c r="CL222" s="28"/>
      <c r="CM222" s="28"/>
      <c r="CN222" s="28"/>
      <c r="CO222" s="28"/>
      <c r="CP222" s="28"/>
      <c r="CQ222" s="28"/>
      <c r="CR222" s="28"/>
      <c r="CS222" s="28"/>
      <c r="CT222" s="28"/>
      <c r="CU222" s="28"/>
      <c r="CV222" s="28"/>
      <c r="CW222" s="28"/>
      <c r="CX222" s="28"/>
      <c r="CY222" s="28"/>
      <c r="CZ222" s="28"/>
      <c r="DA222" s="28"/>
      <c r="DB222" s="28"/>
      <c r="DC222" s="28"/>
      <c r="DD222" s="28"/>
      <c r="DE222" s="28"/>
      <c r="DF222" s="28"/>
      <c r="DG222" s="28"/>
      <c r="DH222" s="28"/>
      <c r="DI222" s="28"/>
      <c r="DJ222" s="28"/>
      <c r="DK222" s="28"/>
      <c r="DL222" s="28"/>
      <c r="DM222" s="28"/>
      <c r="DN222" s="28"/>
      <c r="DO222" s="28"/>
      <c r="DP222" s="28"/>
      <c r="DQ222" s="28"/>
      <c r="DR222" s="28"/>
      <c r="DS222" s="28"/>
      <c r="DT222" s="28"/>
      <c r="DU222" s="28"/>
      <c r="DV222" s="28"/>
      <c r="DW222" s="28"/>
      <c r="DX222" s="28"/>
      <c r="DY222" s="28"/>
      <c r="DZ222" s="28"/>
      <c r="EA222" s="28"/>
      <c r="EB222" s="28"/>
      <c r="EC222" s="28"/>
      <c r="ED222" s="28"/>
      <c r="EE222" s="28"/>
      <c r="EF222" s="28"/>
      <c r="EG222" s="28"/>
      <c r="EH222" s="28"/>
      <c r="EI222" s="28"/>
      <c r="EJ222" s="28"/>
      <c r="EK222" s="28"/>
      <c r="EL222" s="28"/>
      <c r="EM222" s="28"/>
      <c r="EN222" s="28"/>
      <c r="EO222" s="28"/>
      <c r="EP222" s="28"/>
      <c r="EQ222" s="28"/>
      <c r="ER222" s="28"/>
      <c r="ES222" s="28"/>
      <c r="ET222" s="28"/>
      <c r="EU222" s="28"/>
      <c r="EV222" s="28"/>
      <c r="EW222" s="28"/>
      <c r="EX222" s="28"/>
      <c r="EY222" s="28"/>
      <c r="EZ222" s="28"/>
      <c r="FA222" s="28"/>
      <c r="FB222" s="28"/>
      <c r="FC222" s="28"/>
      <c r="FD222" s="28"/>
      <c r="FE222" s="28"/>
      <c r="FF222" s="28"/>
      <c r="FG222" s="28"/>
      <c r="FH222" s="28"/>
      <c r="FI222" s="28"/>
      <c r="FJ222" s="28"/>
      <c r="FK222" s="28"/>
      <c r="FL222" s="28"/>
      <c r="FM222" s="28"/>
      <c r="FN222" s="28"/>
      <c r="FO222" s="28"/>
      <c r="FP222" s="28"/>
      <c r="FQ222" s="28"/>
      <c r="FR222" s="28"/>
      <c r="FS222" s="28"/>
      <c r="FT222" s="28"/>
      <c r="FU222" s="28"/>
      <c r="FV222" s="28"/>
      <c r="FW222" s="28"/>
      <c r="FX222" s="28"/>
      <c r="FY222" s="28"/>
      <c r="FZ222" s="28"/>
      <c r="GA222" s="28"/>
      <c r="GB222" s="28"/>
      <c r="GC222" s="28"/>
      <c r="GD222" s="28"/>
      <c r="GE222" s="28"/>
      <c r="GF222" s="28"/>
      <c r="GG222" s="28"/>
    </row>
    <row r="223" spans="1:189" s="25" customFormat="1" x14ac:dyDescent="0.25">
      <c r="A223" s="33" t="s">
        <v>208</v>
      </c>
      <c r="B223" s="34">
        <f t="shared" si="75"/>
        <v>2891</v>
      </c>
      <c r="C223" s="34">
        <f t="shared" si="75"/>
        <v>2891</v>
      </c>
      <c r="D223" s="34">
        <f t="shared" si="75"/>
        <v>0</v>
      </c>
      <c r="E223" s="34"/>
      <c r="F223" s="34"/>
      <c r="G223" s="34">
        <f t="shared" si="67"/>
        <v>0</v>
      </c>
      <c r="H223" s="34"/>
      <c r="I223" s="34"/>
      <c r="J223" s="34">
        <f t="shared" si="91"/>
        <v>0</v>
      </c>
      <c r="K223" s="34">
        <f>1798+1093</f>
        <v>2891</v>
      </c>
      <c r="L223" s="34">
        <f>1798+1093</f>
        <v>2891</v>
      </c>
      <c r="M223" s="34">
        <f t="shared" si="92"/>
        <v>0</v>
      </c>
      <c r="N223" s="34"/>
      <c r="O223" s="34"/>
      <c r="P223" s="34">
        <f t="shared" si="93"/>
        <v>0</v>
      </c>
      <c r="Q223" s="34"/>
      <c r="R223" s="34"/>
      <c r="S223" s="34">
        <f t="shared" si="94"/>
        <v>0</v>
      </c>
      <c r="T223" s="34"/>
      <c r="U223" s="34"/>
      <c r="V223" s="34">
        <f t="shared" si="95"/>
        <v>0</v>
      </c>
      <c r="W223" s="34"/>
      <c r="X223" s="34"/>
      <c r="Y223" s="34">
        <f t="shared" si="167"/>
        <v>0</v>
      </c>
      <c r="Z223" s="34"/>
      <c r="AA223" s="34"/>
      <c r="AB223" s="34">
        <f t="shared" si="97"/>
        <v>0</v>
      </c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  <c r="BA223" s="28"/>
      <c r="BB223" s="28"/>
      <c r="BC223" s="28"/>
      <c r="BD223" s="28"/>
      <c r="BE223" s="28"/>
      <c r="BF223" s="28"/>
      <c r="BG223" s="28"/>
      <c r="BH223" s="28"/>
      <c r="BI223" s="28"/>
      <c r="BJ223" s="28"/>
      <c r="BK223" s="28"/>
      <c r="BL223" s="28"/>
      <c r="BM223" s="28"/>
      <c r="BN223" s="28"/>
      <c r="BO223" s="28"/>
      <c r="BP223" s="28"/>
      <c r="BQ223" s="28"/>
      <c r="BR223" s="28"/>
      <c r="BS223" s="28"/>
      <c r="BT223" s="28"/>
      <c r="BU223" s="28"/>
      <c r="BV223" s="28"/>
      <c r="BW223" s="28"/>
      <c r="BX223" s="28"/>
      <c r="BY223" s="28"/>
      <c r="BZ223" s="28"/>
      <c r="CA223" s="28"/>
      <c r="CB223" s="28"/>
      <c r="CC223" s="28"/>
      <c r="CD223" s="28"/>
      <c r="CE223" s="28"/>
      <c r="CF223" s="28"/>
      <c r="CG223" s="28"/>
      <c r="CH223" s="28"/>
      <c r="CI223" s="28"/>
      <c r="CJ223" s="28"/>
      <c r="CK223" s="28"/>
      <c r="CL223" s="28"/>
      <c r="CM223" s="28"/>
      <c r="CN223" s="28"/>
      <c r="CO223" s="28"/>
      <c r="CP223" s="28"/>
      <c r="CQ223" s="28"/>
      <c r="CR223" s="28"/>
      <c r="CS223" s="28"/>
      <c r="CT223" s="28"/>
      <c r="CU223" s="28"/>
      <c r="CV223" s="28"/>
      <c r="CW223" s="28"/>
      <c r="CX223" s="28"/>
      <c r="CY223" s="28"/>
      <c r="CZ223" s="28"/>
      <c r="DA223" s="28"/>
      <c r="DB223" s="28"/>
      <c r="DC223" s="28"/>
      <c r="DD223" s="28"/>
      <c r="DE223" s="28"/>
      <c r="DF223" s="28"/>
      <c r="DG223" s="28"/>
      <c r="DH223" s="28"/>
      <c r="DI223" s="28"/>
      <c r="DJ223" s="28"/>
      <c r="DK223" s="28"/>
      <c r="DL223" s="28"/>
      <c r="DM223" s="28"/>
      <c r="DN223" s="28"/>
      <c r="DO223" s="28"/>
      <c r="DP223" s="28"/>
      <c r="DQ223" s="28"/>
      <c r="DR223" s="28"/>
      <c r="DS223" s="28"/>
      <c r="DT223" s="28"/>
      <c r="DU223" s="28"/>
      <c r="DV223" s="28"/>
      <c r="DW223" s="28"/>
      <c r="DX223" s="28"/>
      <c r="DY223" s="28"/>
      <c r="DZ223" s="28"/>
      <c r="EA223" s="28"/>
      <c r="EB223" s="28"/>
      <c r="EC223" s="28"/>
      <c r="ED223" s="28"/>
      <c r="EE223" s="28"/>
      <c r="EF223" s="28"/>
      <c r="EG223" s="28"/>
      <c r="EH223" s="28"/>
      <c r="EI223" s="28"/>
      <c r="EJ223" s="28"/>
      <c r="EK223" s="28"/>
      <c r="EL223" s="28"/>
      <c r="EM223" s="28"/>
      <c r="EN223" s="28"/>
      <c r="EO223" s="28"/>
      <c r="EP223" s="28"/>
      <c r="EQ223" s="28"/>
      <c r="ER223" s="28"/>
      <c r="ES223" s="28"/>
      <c r="ET223" s="28"/>
      <c r="EU223" s="28"/>
      <c r="EV223" s="28"/>
      <c r="EW223" s="28"/>
      <c r="EX223" s="28"/>
      <c r="EY223" s="28"/>
      <c r="EZ223" s="28"/>
      <c r="FA223" s="28"/>
      <c r="FB223" s="28"/>
      <c r="FC223" s="28"/>
      <c r="FD223" s="28"/>
      <c r="FE223" s="28"/>
      <c r="FF223" s="28"/>
      <c r="FG223" s="28"/>
      <c r="FH223" s="28"/>
      <c r="FI223" s="28"/>
      <c r="FJ223" s="28"/>
      <c r="FK223" s="28"/>
      <c r="FL223" s="28"/>
      <c r="FM223" s="28"/>
      <c r="FN223" s="28"/>
      <c r="FO223" s="28"/>
      <c r="FP223" s="28"/>
      <c r="FQ223" s="28"/>
      <c r="FR223" s="28"/>
      <c r="FS223" s="28"/>
      <c r="FT223" s="28"/>
      <c r="FU223" s="28"/>
      <c r="FV223" s="28"/>
      <c r="FW223" s="28"/>
      <c r="FX223" s="28"/>
      <c r="FY223" s="28"/>
      <c r="FZ223" s="28"/>
      <c r="GA223" s="28"/>
      <c r="GB223" s="28"/>
      <c r="GC223" s="28"/>
      <c r="GD223" s="28"/>
      <c r="GE223" s="28"/>
      <c r="GF223" s="28"/>
      <c r="GG223" s="28"/>
    </row>
    <row r="224" spans="1:189" s="25" customFormat="1" x14ac:dyDescent="0.25">
      <c r="A224" s="33" t="s">
        <v>209</v>
      </c>
      <c r="B224" s="34">
        <f t="shared" si="75"/>
        <v>3336</v>
      </c>
      <c r="C224" s="34">
        <f t="shared" si="75"/>
        <v>3336</v>
      </c>
      <c r="D224" s="34">
        <f t="shared" si="75"/>
        <v>0</v>
      </c>
      <c r="E224" s="34"/>
      <c r="F224" s="34"/>
      <c r="G224" s="34">
        <f t="shared" si="67"/>
        <v>0</v>
      </c>
      <c r="H224" s="34"/>
      <c r="I224" s="34"/>
      <c r="J224" s="34">
        <f t="shared" si="91"/>
        <v>0</v>
      </c>
      <c r="K224" s="34">
        <v>3336</v>
      </c>
      <c r="L224" s="34">
        <v>3336</v>
      </c>
      <c r="M224" s="34">
        <f t="shared" si="92"/>
        <v>0</v>
      </c>
      <c r="N224" s="34"/>
      <c r="O224" s="34"/>
      <c r="P224" s="34">
        <f t="shared" si="93"/>
        <v>0</v>
      </c>
      <c r="Q224" s="34"/>
      <c r="R224" s="34"/>
      <c r="S224" s="34">
        <f t="shared" si="94"/>
        <v>0</v>
      </c>
      <c r="T224" s="34"/>
      <c r="U224" s="34"/>
      <c r="V224" s="34">
        <f t="shared" si="95"/>
        <v>0</v>
      </c>
      <c r="W224" s="34"/>
      <c r="X224" s="34"/>
      <c r="Y224" s="34">
        <f t="shared" si="167"/>
        <v>0</v>
      </c>
      <c r="Z224" s="34"/>
      <c r="AA224" s="34"/>
      <c r="AB224" s="34">
        <f t="shared" si="97"/>
        <v>0</v>
      </c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  <c r="BA224" s="28"/>
      <c r="BB224" s="28"/>
      <c r="BC224" s="28"/>
      <c r="BD224" s="28"/>
      <c r="BE224" s="28"/>
      <c r="BF224" s="28"/>
      <c r="BG224" s="28"/>
      <c r="BH224" s="28"/>
      <c r="BI224" s="28"/>
      <c r="BJ224" s="28"/>
      <c r="BK224" s="28"/>
      <c r="BL224" s="28"/>
      <c r="BM224" s="28"/>
      <c r="BN224" s="28"/>
      <c r="BO224" s="28"/>
      <c r="BP224" s="28"/>
      <c r="BQ224" s="28"/>
      <c r="BR224" s="28"/>
      <c r="BS224" s="28"/>
      <c r="BT224" s="28"/>
      <c r="BU224" s="28"/>
      <c r="BV224" s="28"/>
      <c r="BW224" s="28"/>
      <c r="BX224" s="28"/>
      <c r="BY224" s="28"/>
      <c r="BZ224" s="28"/>
      <c r="CA224" s="28"/>
      <c r="CB224" s="28"/>
      <c r="CC224" s="28"/>
      <c r="CD224" s="28"/>
      <c r="CE224" s="28"/>
      <c r="CF224" s="28"/>
      <c r="CG224" s="28"/>
      <c r="CH224" s="28"/>
      <c r="CI224" s="28"/>
      <c r="CJ224" s="28"/>
      <c r="CK224" s="28"/>
      <c r="CL224" s="28"/>
      <c r="CM224" s="28"/>
      <c r="CN224" s="28"/>
      <c r="CO224" s="28"/>
      <c r="CP224" s="28"/>
      <c r="CQ224" s="28"/>
      <c r="CR224" s="28"/>
      <c r="CS224" s="28"/>
      <c r="CT224" s="28"/>
      <c r="CU224" s="28"/>
      <c r="CV224" s="28"/>
      <c r="CW224" s="28"/>
      <c r="CX224" s="28"/>
      <c r="CY224" s="28"/>
      <c r="CZ224" s="28"/>
      <c r="DA224" s="28"/>
      <c r="DB224" s="28"/>
      <c r="DC224" s="28"/>
      <c r="DD224" s="28"/>
      <c r="DE224" s="28"/>
      <c r="DF224" s="28"/>
      <c r="DG224" s="28"/>
      <c r="DH224" s="28"/>
      <c r="DI224" s="28"/>
      <c r="DJ224" s="28"/>
      <c r="DK224" s="28"/>
      <c r="DL224" s="28"/>
      <c r="DM224" s="28"/>
      <c r="DN224" s="28"/>
      <c r="DO224" s="28"/>
      <c r="DP224" s="28"/>
      <c r="DQ224" s="28"/>
      <c r="DR224" s="28"/>
      <c r="DS224" s="28"/>
      <c r="DT224" s="28"/>
      <c r="DU224" s="28"/>
      <c r="DV224" s="28"/>
      <c r="DW224" s="28"/>
      <c r="DX224" s="28"/>
      <c r="DY224" s="28"/>
      <c r="DZ224" s="28"/>
      <c r="EA224" s="28"/>
      <c r="EB224" s="28"/>
      <c r="EC224" s="28"/>
      <c r="ED224" s="28"/>
      <c r="EE224" s="28"/>
      <c r="EF224" s="28"/>
      <c r="EG224" s="28"/>
      <c r="EH224" s="28"/>
      <c r="EI224" s="28"/>
      <c r="EJ224" s="28"/>
      <c r="EK224" s="28"/>
      <c r="EL224" s="28"/>
      <c r="EM224" s="28"/>
      <c r="EN224" s="28"/>
      <c r="EO224" s="28"/>
      <c r="EP224" s="28"/>
      <c r="EQ224" s="28"/>
      <c r="ER224" s="28"/>
      <c r="ES224" s="28"/>
      <c r="ET224" s="28"/>
      <c r="EU224" s="28"/>
      <c r="EV224" s="28"/>
      <c r="EW224" s="28"/>
      <c r="EX224" s="28"/>
      <c r="EY224" s="28"/>
      <c r="EZ224" s="28"/>
      <c r="FA224" s="28"/>
      <c r="FB224" s="28"/>
      <c r="FC224" s="28"/>
      <c r="FD224" s="28"/>
      <c r="FE224" s="28"/>
      <c r="FF224" s="28"/>
      <c r="FG224" s="28"/>
      <c r="FH224" s="28"/>
      <c r="FI224" s="28"/>
      <c r="FJ224" s="28"/>
      <c r="FK224" s="28"/>
      <c r="FL224" s="28"/>
      <c r="FM224" s="28"/>
      <c r="FN224" s="28"/>
      <c r="FO224" s="28"/>
      <c r="FP224" s="28"/>
      <c r="FQ224" s="28"/>
      <c r="FR224" s="28"/>
      <c r="FS224" s="28"/>
      <c r="FT224" s="28"/>
      <c r="FU224" s="28"/>
      <c r="FV224" s="28"/>
      <c r="FW224" s="28"/>
      <c r="FX224" s="28"/>
      <c r="FY224" s="28"/>
      <c r="FZ224" s="28"/>
      <c r="GA224" s="28"/>
      <c r="GB224" s="28"/>
      <c r="GC224" s="28"/>
      <c r="GD224" s="28"/>
      <c r="GE224" s="28"/>
      <c r="GF224" s="28"/>
      <c r="GG224" s="28"/>
    </row>
    <row r="225" spans="1:189" s="25" customFormat="1" ht="31.5" x14ac:dyDescent="0.25">
      <c r="A225" s="33" t="s">
        <v>210</v>
      </c>
      <c r="B225" s="34">
        <f t="shared" si="75"/>
        <v>4219</v>
      </c>
      <c r="C225" s="34">
        <f t="shared" si="75"/>
        <v>4219</v>
      </c>
      <c r="D225" s="34">
        <f t="shared" si="75"/>
        <v>0</v>
      </c>
      <c r="E225" s="34"/>
      <c r="F225" s="34"/>
      <c r="G225" s="34">
        <f t="shared" si="67"/>
        <v>0</v>
      </c>
      <c r="H225" s="34"/>
      <c r="I225" s="34"/>
      <c r="J225" s="34">
        <f t="shared" si="91"/>
        <v>0</v>
      </c>
      <c r="K225" s="34">
        <v>4219</v>
      </c>
      <c r="L225" s="34">
        <v>4219</v>
      </c>
      <c r="M225" s="34">
        <f t="shared" si="92"/>
        <v>0</v>
      </c>
      <c r="N225" s="34"/>
      <c r="O225" s="34"/>
      <c r="P225" s="34">
        <f t="shared" si="93"/>
        <v>0</v>
      </c>
      <c r="Q225" s="34"/>
      <c r="R225" s="34"/>
      <c r="S225" s="34">
        <f t="shared" si="94"/>
        <v>0</v>
      </c>
      <c r="T225" s="34"/>
      <c r="U225" s="34"/>
      <c r="V225" s="34">
        <f t="shared" si="95"/>
        <v>0</v>
      </c>
      <c r="W225" s="34"/>
      <c r="X225" s="34"/>
      <c r="Y225" s="34">
        <f t="shared" si="167"/>
        <v>0</v>
      </c>
      <c r="Z225" s="34"/>
      <c r="AA225" s="34"/>
      <c r="AB225" s="34">
        <f t="shared" si="97"/>
        <v>0</v>
      </c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  <c r="BA225" s="28"/>
      <c r="BB225" s="28"/>
      <c r="BC225" s="28"/>
      <c r="BD225" s="28"/>
      <c r="BE225" s="28"/>
      <c r="BF225" s="28"/>
      <c r="BG225" s="28"/>
      <c r="BH225" s="28"/>
      <c r="BI225" s="28"/>
      <c r="BJ225" s="28"/>
      <c r="BK225" s="28"/>
      <c r="BL225" s="28"/>
      <c r="BM225" s="28"/>
      <c r="BN225" s="28"/>
      <c r="BO225" s="28"/>
      <c r="BP225" s="28"/>
      <c r="BQ225" s="28"/>
      <c r="BR225" s="28"/>
      <c r="BS225" s="28"/>
      <c r="BT225" s="28"/>
      <c r="BU225" s="28"/>
      <c r="BV225" s="28"/>
      <c r="BW225" s="28"/>
      <c r="BX225" s="28"/>
      <c r="BY225" s="28"/>
      <c r="BZ225" s="28"/>
      <c r="CA225" s="28"/>
      <c r="CB225" s="28"/>
      <c r="CC225" s="28"/>
      <c r="CD225" s="28"/>
      <c r="CE225" s="28"/>
      <c r="CF225" s="28"/>
      <c r="CG225" s="28"/>
      <c r="CH225" s="28"/>
      <c r="CI225" s="28"/>
      <c r="CJ225" s="28"/>
      <c r="CK225" s="28"/>
      <c r="CL225" s="28"/>
      <c r="CM225" s="28"/>
      <c r="CN225" s="28"/>
      <c r="CO225" s="28"/>
      <c r="CP225" s="28"/>
      <c r="CQ225" s="28"/>
      <c r="CR225" s="28"/>
      <c r="CS225" s="28"/>
      <c r="CT225" s="28"/>
      <c r="CU225" s="28"/>
      <c r="CV225" s="28"/>
      <c r="CW225" s="28"/>
      <c r="CX225" s="28"/>
      <c r="CY225" s="28"/>
      <c r="CZ225" s="28"/>
      <c r="DA225" s="28"/>
      <c r="DB225" s="28"/>
      <c r="DC225" s="28"/>
      <c r="DD225" s="28"/>
      <c r="DE225" s="28"/>
      <c r="DF225" s="28"/>
      <c r="DG225" s="28"/>
      <c r="DH225" s="28"/>
      <c r="DI225" s="28"/>
      <c r="DJ225" s="28"/>
      <c r="DK225" s="28"/>
      <c r="DL225" s="28"/>
      <c r="DM225" s="28"/>
      <c r="DN225" s="28"/>
      <c r="DO225" s="28"/>
      <c r="DP225" s="28"/>
      <c r="DQ225" s="28"/>
      <c r="DR225" s="28"/>
      <c r="DS225" s="28"/>
      <c r="DT225" s="28"/>
      <c r="DU225" s="28"/>
      <c r="DV225" s="28"/>
      <c r="DW225" s="28"/>
      <c r="DX225" s="28"/>
      <c r="DY225" s="28"/>
      <c r="DZ225" s="28"/>
      <c r="EA225" s="28"/>
      <c r="EB225" s="28"/>
      <c r="EC225" s="28"/>
      <c r="ED225" s="28"/>
      <c r="EE225" s="28"/>
      <c r="EF225" s="28"/>
      <c r="EG225" s="28"/>
      <c r="EH225" s="28"/>
      <c r="EI225" s="28"/>
      <c r="EJ225" s="28"/>
      <c r="EK225" s="28"/>
      <c r="EL225" s="28"/>
      <c r="EM225" s="28"/>
      <c r="EN225" s="28"/>
      <c r="EO225" s="28"/>
      <c r="EP225" s="28"/>
      <c r="EQ225" s="28"/>
      <c r="ER225" s="28"/>
      <c r="ES225" s="28"/>
      <c r="ET225" s="28"/>
      <c r="EU225" s="28"/>
      <c r="EV225" s="28"/>
      <c r="EW225" s="28"/>
      <c r="EX225" s="28"/>
      <c r="EY225" s="28"/>
      <c r="EZ225" s="28"/>
      <c r="FA225" s="28"/>
      <c r="FB225" s="28"/>
      <c r="FC225" s="28"/>
      <c r="FD225" s="28"/>
      <c r="FE225" s="28"/>
      <c r="FF225" s="28"/>
      <c r="FG225" s="28"/>
      <c r="FH225" s="28"/>
      <c r="FI225" s="28"/>
      <c r="FJ225" s="28"/>
      <c r="FK225" s="28"/>
      <c r="FL225" s="28"/>
      <c r="FM225" s="28"/>
      <c r="FN225" s="28"/>
      <c r="FO225" s="28"/>
      <c r="FP225" s="28"/>
      <c r="FQ225" s="28"/>
      <c r="FR225" s="28"/>
      <c r="FS225" s="28"/>
      <c r="FT225" s="28"/>
      <c r="FU225" s="28"/>
      <c r="FV225" s="28"/>
      <c r="FW225" s="28"/>
      <c r="FX225" s="28"/>
      <c r="FY225" s="28"/>
      <c r="FZ225" s="28"/>
      <c r="GA225" s="28"/>
      <c r="GB225" s="28"/>
      <c r="GC225" s="28"/>
      <c r="GD225" s="28"/>
      <c r="GE225" s="28"/>
      <c r="GF225" s="28"/>
      <c r="GG225" s="28"/>
    </row>
    <row r="226" spans="1:189" s="25" customFormat="1" x14ac:dyDescent="0.25">
      <c r="A226" s="33" t="s">
        <v>211</v>
      </c>
      <c r="B226" s="34">
        <f t="shared" si="75"/>
        <v>2600</v>
      </c>
      <c r="C226" s="34">
        <f t="shared" si="75"/>
        <v>2600</v>
      </c>
      <c r="D226" s="34">
        <f t="shared" si="75"/>
        <v>0</v>
      </c>
      <c r="E226" s="34"/>
      <c r="F226" s="34"/>
      <c r="G226" s="34">
        <f t="shared" si="67"/>
        <v>0</v>
      </c>
      <c r="H226" s="34"/>
      <c r="I226" s="34"/>
      <c r="J226" s="34">
        <f t="shared" si="91"/>
        <v>0</v>
      </c>
      <c r="K226" s="34"/>
      <c r="L226" s="34"/>
      <c r="M226" s="34">
        <f t="shared" si="92"/>
        <v>0</v>
      </c>
      <c r="N226" s="34"/>
      <c r="O226" s="34"/>
      <c r="P226" s="34">
        <f t="shared" si="93"/>
        <v>0</v>
      </c>
      <c r="Q226" s="34">
        <v>2600</v>
      </c>
      <c r="R226" s="34">
        <v>2600</v>
      </c>
      <c r="S226" s="34">
        <f t="shared" si="94"/>
        <v>0</v>
      </c>
      <c r="T226" s="34"/>
      <c r="U226" s="34"/>
      <c r="V226" s="34">
        <f t="shared" si="95"/>
        <v>0</v>
      </c>
      <c r="W226" s="34"/>
      <c r="X226" s="34"/>
      <c r="Y226" s="34">
        <f t="shared" si="96"/>
        <v>0</v>
      </c>
      <c r="Z226" s="34"/>
      <c r="AA226" s="34"/>
      <c r="AB226" s="34">
        <f t="shared" si="97"/>
        <v>0</v>
      </c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  <c r="BA226" s="28"/>
      <c r="BB226" s="28"/>
      <c r="BC226" s="28"/>
      <c r="BD226" s="28"/>
      <c r="BE226" s="28"/>
      <c r="BF226" s="28"/>
      <c r="BG226" s="28"/>
      <c r="BH226" s="28"/>
      <c r="BI226" s="28"/>
      <c r="BJ226" s="28"/>
      <c r="BK226" s="28"/>
      <c r="BL226" s="28"/>
      <c r="BM226" s="28"/>
      <c r="BN226" s="28"/>
      <c r="BO226" s="28"/>
      <c r="BP226" s="28"/>
      <c r="BQ226" s="28"/>
      <c r="BR226" s="28"/>
      <c r="BS226" s="28"/>
      <c r="BT226" s="28"/>
      <c r="BU226" s="28"/>
      <c r="BV226" s="28"/>
      <c r="BW226" s="28"/>
      <c r="BX226" s="28"/>
      <c r="BY226" s="28"/>
      <c r="BZ226" s="28"/>
      <c r="CA226" s="28"/>
      <c r="CB226" s="28"/>
      <c r="CC226" s="28"/>
      <c r="CD226" s="28"/>
      <c r="CE226" s="28"/>
      <c r="CF226" s="28"/>
      <c r="CG226" s="28"/>
      <c r="CH226" s="28"/>
      <c r="CI226" s="28"/>
      <c r="CJ226" s="28"/>
      <c r="CK226" s="28"/>
      <c r="CL226" s="28"/>
      <c r="CM226" s="28"/>
      <c r="CN226" s="28"/>
      <c r="CO226" s="28"/>
      <c r="CP226" s="28"/>
      <c r="CQ226" s="28"/>
      <c r="CR226" s="28"/>
      <c r="CS226" s="28"/>
      <c r="CT226" s="28"/>
      <c r="CU226" s="28"/>
      <c r="CV226" s="28"/>
      <c r="CW226" s="28"/>
      <c r="CX226" s="28"/>
      <c r="CY226" s="28"/>
      <c r="CZ226" s="28"/>
      <c r="DA226" s="28"/>
      <c r="DB226" s="28"/>
      <c r="DC226" s="28"/>
      <c r="DD226" s="28"/>
      <c r="DE226" s="28"/>
      <c r="DF226" s="28"/>
      <c r="DG226" s="28"/>
      <c r="DH226" s="28"/>
      <c r="DI226" s="28"/>
      <c r="DJ226" s="28"/>
      <c r="DK226" s="28"/>
      <c r="DL226" s="28"/>
      <c r="DM226" s="28"/>
      <c r="DN226" s="28"/>
      <c r="DO226" s="28"/>
      <c r="DP226" s="28"/>
      <c r="DQ226" s="28"/>
      <c r="DR226" s="28"/>
      <c r="DS226" s="28"/>
      <c r="DT226" s="28"/>
      <c r="DU226" s="28"/>
      <c r="DV226" s="28"/>
      <c r="DW226" s="28"/>
      <c r="DX226" s="28"/>
      <c r="DY226" s="28"/>
      <c r="DZ226" s="28"/>
      <c r="EA226" s="28"/>
      <c r="EB226" s="28"/>
      <c r="EC226" s="28"/>
      <c r="ED226" s="28"/>
      <c r="EE226" s="28"/>
      <c r="EF226" s="28"/>
      <c r="EG226" s="28"/>
      <c r="EH226" s="28"/>
      <c r="EI226" s="28"/>
      <c r="EJ226" s="28"/>
      <c r="EK226" s="28"/>
      <c r="EL226" s="28"/>
      <c r="EM226" s="28"/>
      <c r="EN226" s="28"/>
      <c r="EO226" s="28"/>
      <c r="EP226" s="28"/>
      <c r="EQ226" s="28"/>
      <c r="ER226" s="28"/>
      <c r="ES226" s="28"/>
      <c r="ET226" s="28"/>
      <c r="EU226" s="28"/>
      <c r="EV226" s="28"/>
      <c r="EW226" s="28"/>
      <c r="EX226" s="28"/>
      <c r="EY226" s="28"/>
      <c r="EZ226" s="28"/>
      <c r="FA226" s="28"/>
      <c r="FB226" s="28"/>
      <c r="FC226" s="28"/>
      <c r="FD226" s="28"/>
      <c r="FE226" s="28"/>
      <c r="FF226" s="28"/>
      <c r="FG226" s="28"/>
      <c r="FH226" s="28"/>
      <c r="FI226" s="28"/>
      <c r="FJ226" s="28"/>
      <c r="FK226" s="28"/>
      <c r="FL226" s="28"/>
      <c r="FM226" s="28"/>
      <c r="FN226" s="28"/>
      <c r="FO226" s="28"/>
      <c r="FP226" s="28"/>
      <c r="FQ226" s="28"/>
      <c r="FR226" s="28"/>
      <c r="FS226" s="28"/>
      <c r="FT226" s="28"/>
      <c r="FU226" s="28"/>
      <c r="FV226" s="28"/>
      <c r="FW226" s="28"/>
      <c r="FX226" s="28"/>
      <c r="FY226" s="28"/>
      <c r="FZ226" s="28"/>
      <c r="GA226" s="28"/>
      <c r="GB226" s="28"/>
      <c r="GC226" s="28"/>
      <c r="GD226" s="28"/>
      <c r="GE226" s="28"/>
      <c r="GF226" s="28"/>
      <c r="GG226" s="28"/>
    </row>
    <row r="227" spans="1:189" s="25" customFormat="1" ht="31.5" x14ac:dyDescent="0.25">
      <c r="A227" s="33" t="s">
        <v>212</v>
      </c>
      <c r="B227" s="34">
        <f t="shared" si="75"/>
        <v>44571</v>
      </c>
      <c r="C227" s="34">
        <f t="shared" si="75"/>
        <v>44571</v>
      </c>
      <c r="D227" s="34">
        <f t="shared" si="75"/>
        <v>0</v>
      </c>
      <c r="E227" s="34"/>
      <c r="F227" s="34"/>
      <c r="G227" s="34">
        <f t="shared" si="67"/>
        <v>0</v>
      </c>
      <c r="H227" s="34"/>
      <c r="I227" s="34"/>
      <c r="J227" s="34">
        <f t="shared" si="91"/>
        <v>0</v>
      </c>
      <c r="K227" s="34"/>
      <c r="L227" s="34"/>
      <c r="M227" s="34">
        <f t="shared" si="92"/>
        <v>0</v>
      </c>
      <c r="N227" s="34"/>
      <c r="O227" s="34"/>
      <c r="P227" s="34">
        <f t="shared" si="93"/>
        <v>0</v>
      </c>
      <c r="Q227" s="34">
        <f>21490+20079+3002</f>
        <v>44571</v>
      </c>
      <c r="R227" s="34">
        <f>21490+20079+3002</f>
        <v>44571</v>
      </c>
      <c r="S227" s="34">
        <f t="shared" si="94"/>
        <v>0</v>
      </c>
      <c r="T227" s="34"/>
      <c r="U227" s="34"/>
      <c r="V227" s="34">
        <f t="shared" si="95"/>
        <v>0</v>
      </c>
      <c r="W227" s="34"/>
      <c r="X227" s="34"/>
      <c r="Y227" s="34">
        <f t="shared" si="96"/>
        <v>0</v>
      </c>
      <c r="Z227" s="34"/>
      <c r="AA227" s="34"/>
      <c r="AB227" s="34">
        <f t="shared" si="97"/>
        <v>0</v>
      </c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  <c r="BA227" s="28"/>
      <c r="BB227" s="28"/>
      <c r="BC227" s="28"/>
      <c r="BD227" s="28"/>
      <c r="BE227" s="28"/>
      <c r="BF227" s="28"/>
      <c r="BG227" s="28"/>
      <c r="BH227" s="28"/>
      <c r="BI227" s="28"/>
      <c r="BJ227" s="28"/>
      <c r="BK227" s="28"/>
      <c r="BL227" s="28"/>
      <c r="BM227" s="28"/>
      <c r="BN227" s="28"/>
      <c r="BO227" s="28"/>
      <c r="BP227" s="28"/>
      <c r="BQ227" s="28"/>
      <c r="BR227" s="28"/>
      <c r="BS227" s="28"/>
      <c r="BT227" s="28"/>
      <c r="BU227" s="28"/>
      <c r="BV227" s="28"/>
      <c r="BW227" s="28"/>
      <c r="BX227" s="28"/>
      <c r="BY227" s="28"/>
      <c r="BZ227" s="28"/>
      <c r="CA227" s="28"/>
      <c r="CB227" s="28"/>
      <c r="CC227" s="28"/>
      <c r="CD227" s="28"/>
      <c r="CE227" s="28"/>
      <c r="CF227" s="28"/>
      <c r="CG227" s="28"/>
      <c r="CH227" s="28"/>
      <c r="CI227" s="28"/>
      <c r="CJ227" s="28"/>
      <c r="CK227" s="28"/>
      <c r="CL227" s="28"/>
      <c r="CM227" s="28"/>
      <c r="CN227" s="28"/>
      <c r="CO227" s="28"/>
      <c r="CP227" s="28"/>
      <c r="CQ227" s="28"/>
      <c r="CR227" s="28"/>
      <c r="CS227" s="28"/>
      <c r="CT227" s="28"/>
      <c r="CU227" s="28"/>
      <c r="CV227" s="28"/>
      <c r="CW227" s="28"/>
      <c r="CX227" s="28"/>
      <c r="CY227" s="28"/>
      <c r="CZ227" s="28"/>
      <c r="DA227" s="28"/>
      <c r="DB227" s="28"/>
      <c r="DC227" s="28"/>
      <c r="DD227" s="28"/>
      <c r="DE227" s="28"/>
      <c r="DF227" s="28"/>
      <c r="DG227" s="28"/>
      <c r="DH227" s="28"/>
      <c r="DI227" s="28"/>
      <c r="DJ227" s="28"/>
      <c r="DK227" s="28"/>
      <c r="DL227" s="28"/>
      <c r="DM227" s="28"/>
      <c r="DN227" s="28"/>
      <c r="DO227" s="28"/>
      <c r="DP227" s="28"/>
      <c r="DQ227" s="28"/>
      <c r="DR227" s="28"/>
      <c r="DS227" s="28"/>
      <c r="DT227" s="28"/>
      <c r="DU227" s="28"/>
      <c r="DV227" s="28"/>
      <c r="DW227" s="28"/>
      <c r="DX227" s="28"/>
      <c r="DY227" s="28"/>
      <c r="DZ227" s="28"/>
      <c r="EA227" s="28"/>
      <c r="EB227" s="28"/>
      <c r="EC227" s="28"/>
      <c r="ED227" s="28"/>
      <c r="EE227" s="28"/>
      <c r="EF227" s="28"/>
      <c r="EG227" s="28"/>
      <c r="EH227" s="28"/>
      <c r="EI227" s="28"/>
      <c r="EJ227" s="28"/>
      <c r="EK227" s="28"/>
      <c r="EL227" s="28"/>
      <c r="EM227" s="28"/>
      <c r="EN227" s="28"/>
      <c r="EO227" s="28"/>
      <c r="EP227" s="28"/>
      <c r="EQ227" s="28"/>
      <c r="ER227" s="28"/>
      <c r="ES227" s="28"/>
      <c r="ET227" s="28"/>
      <c r="EU227" s="28"/>
      <c r="EV227" s="28"/>
      <c r="EW227" s="28"/>
      <c r="EX227" s="28"/>
      <c r="EY227" s="28"/>
      <c r="EZ227" s="28"/>
      <c r="FA227" s="28"/>
      <c r="FB227" s="28"/>
      <c r="FC227" s="28"/>
      <c r="FD227" s="28"/>
      <c r="FE227" s="28"/>
      <c r="FF227" s="28"/>
      <c r="FG227" s="28"/>
      <c r="FH227" s="28"/>
      <c r="FI227" s="28"/>
      <c r="FJ227" s="28"/>
      <c r="FK227" s="28"/>
      <c r="FL227" s="28"/>
      <c r="FM227" s="28"/>
      <c r="FN227" s="28"/>
      <c r="FO227" s="28"/>
      <c r="FP227" s="28"/>
      <c r="FQ227" s="28"/>
      <c r="FR227" s="28"/>
      <c r="FS227" s="28"/>
      <c r="FT227" s="28"/>
      <c r="FU227" s="28"/>
      <c r="FV227" s="28"/>
      <c r="FW227" s="28"/>
      <c r="FX227" s="28"/>
      <c r="FY227" s="28"/>
      <c r="FZ227" s="28"/>
      <c r="GA227" s="28"/>
      <c r="GB227" s="28"/>
      <c r="GC227" s="28"/>
      <c r="GD227" s="28"/>
      <c r="GE227" s="28"/>
      <c r="GF227" s="28"/>
      <c r="GG227" s="28"/>
    </row>
    <row r="228" spans="1:189" s="25" customFormat="1" ht="31.5" x14ac:dyDescent="0.25">
      <c r="A228" s="33" t="s">
        <v>213</v>
      </c>
      <c r="B228" s="34">
        <f t="shared" si="75"/>
        <v>2261</v>
      </c>
      <c r="C228" s="34">
        <f t="shared" si="75"/>
        <v>2261</v>
      </c>
      <c r="D228" s="34">
        <f t="shared" si="75"/>
        <v>0</v>
      </c>
      <c r="E228" s="34"/>
      <c r="F228" s="34"/>
      <c r="G228" s="34">
        <f t="shared" si="67"/>
        <v>0</v>
      </c>
      <c r="H228" s="34"/>
      <c r="I228" s="34"/>
      <c r="J228" s="34">
        <f t="shared" si="91"/>
        <v>0</v>
      </c>
      <c r="K228" s="34"/>
      <c r="L228" s="34"/>
      <c r="M228" s="34">
        <f t="shared" si="92"/>
        <v>0</v>
      </c>
      <c r="N228" s="34"/>
      <c r="O228" s="34"/>
      <c r="P228" s="34">
        <f t="shared" si="93"/>
        <v>0</v>
      </c>
      <c r="Q228" s="34">
        <f>834+1427</f>
        <v>2261</v>
      </c>
      <c r="R228" s="34">
        <f>834+1427</f>
        <v>2261</v>
      </c>
      <c r="S228" s="34">
        <f t="shared" si="94"/>
        <v>0</v>
      </c>
      <c r="T228" s="34"/>
      <c r="U228" s="34"/>
      <c r="V228" s="34">
        <f t="shared" si="95"/>
        <v>0</v>
      </c>
      <c r="W228" s="34"/>
      <c r="X228" s="34"/>
      <c r="Y228" s="34">
        <f t="shared" si="96"/>
        <v>0</v>
      </c>
      <c r="Z228" s="34"/>
      <c r="AA228" s="34"/>
      <c r="AB228" s="34">
        <f t="shared" si="97"/>
        <v>0</v>
      </c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  <c r="BG228" s="28"/>
      <c r="BH228" s="28"/>
      <c r="BI228" s="28"/>
      <c r="BJ228" s="28"/>
      <c r="BK228" s="28"/>
      <c r="BL228" s="28"/>
      <c r="BM228" s="28"/>
      <c r="BN228" s="28"/>
      <c r="BO228" s="28"/>
      <c r="BP228" s="28"/>
      <c r="BQ228" s="28"/>
      <c r="BR228" s="28"/>
      <c r="BS228" s="28"/>
      <c r="BT228" s="28"/>
      <c r="BU228" s="28"/>
      <c r="BV228" s="28"/>
      <c r="BW228" s="28"/>
      <c r="BX228" s="28"/>
      <c r="BY228" s="28"/>
      <c r="BZ228" s="28"/>
      <c r="CA228" s="28"/>
      <c r="CB228" s="28"/>
      <c r="CC228" s="28"/>
      <c r="CD228" s="28"/>
      <c r="CE228" s="28"/>
      <c r="CF228" s="28"/>
      <c r="CG228" s="28"/>
      <c r="CH228" s="28"/>
      <c r="CI228" s="28"/>
      <c r="CJ228" s="28"/>
      <c r="CK228" s="28"/>
      <c r="CL228" s="28"/>
      <c r="CM228" s="28"/>
      <c r="CN228" s="28"/>
      <c r="CO228" s="28"/>
      <c r="CP228" s="28"/>
      <c r="CQ228" s="28"/>
      <c r="CR228" s="28"/>
      <c r="CS228" s="28"/>
      <c r="CT228" s="28"/>
      <c r="CU228" s="28"/>
      <c r="CV228" s="28"/>
      <c r="CW228" s="28"/>
      <c r="CX228" s="28"/>
      <c r="CY228" s="28"/>
      <c r="CZ228" s="28"/>
      <c r="DA228" s="28"/>
      <c r="DB228" s="28"/>
      <c r="DC228" s="28"/>
      <c r="DD228" s="28"/>
      <c r="DE228" s="28"/>
      <c r="DF228" s="28"/>
      <c r="DG228" s="28"/>
      <c r="DH228" s="28"/>
      <c r="DI228" s="28"/>
      <c r="DJ228" s="28"/>
      <c r="DK228" s="28"/>
      <c r="DL228" s="28"/>
      <c r="DM228" s="28"/>
      <c r="DN228" s="28"/>
      <c r="DO228" s="28"/>
      <c r="DP228" s="28"/>
      <c r="DQ228" s="28"/>
      <c r="DR228" s="28"/>
      <c r="DS228" s="28"/>
      <c r="DT228" s="28"/>
      <c r="DU228" s="28"/>
      <c r="DV228" s="28"/>
      <c r="DW228" s="28"/>
      <c r="DX228" s="28"/>
      <c r="DY228" s="28"/>
      <c r="DZ228" s="28"/>
      <c r="EA228" s="28"/>
      <c r="EB228" s="28"/>
      <c r="EC228" s="28"/>
      <c r="ED228" s="28"/>
      <c r="EE228" s="28"/>
      <c r="EF228" s="28"/>
      <c r="EG228" s="28"/>
      <c r="EH228" s="28"/>
      <c r="EI228" s="28"/>
      <c r="EJ228" s="28"/>
      <c r="EK228" s="28"/>
      <c r="EL228" s="28"/>
      <c r="EM228" s="28"/>
      <c r="EN228" s="28"/>
      <c r="EO228" s="28"/>
      <c r="EP228" s="28"/>
      <c r="EQ228" s="28"/>
      <c r="ER228" s="28"/>
      <c r="ES228" s="28"/>
      <c r="ET228" s="28"/>
      <c r="EU228" s="28"/>
      <c r="EV228" s="28"/>
      <c r="EW228" s="28"/>
      <c r="EX228" s="28"/>
      <c r="EY228" s="28"/>
      <c r="EZ228" s="28"/>
      <c r="FA228" s="28"/>
      <c r="FB228" s="28"/>
      <c r="FC228" s="28"/>
      <c r="FD228" s="28"/>
      <c r="FE228" s="28"/>
      <c r="FF228" s="28"/>
      <c r="FG228" s="28"/>
      <c r="FH228" s="28"/>
      <c r="FI228" s="28"/>
      <c r="FJ228" s="28"/>
      <c r="FK228" s="28"/>
      <c r="FL228" s="28"/>
      <c r="FM228" s="28"/>
      <c r="FN228" s="28"/>
      <c r="FO228" s="28"/>
      <c r="FP228" s="28"/>
      <c r="FQ228" s="28"/>
      <c r="FR228" s="28"/>
      <c r="FS228" s="28"/>
      <c r="FT228" s="28"/>
      <c r="FU228" s="28"/>
      <c r="FV228" s="28"/>
      <c r="FW228" s="28"/>
      <c r="FX228" s="28"/>
      <c r="FY228" s="28"/>
      <c r="FZ228" s="28"/>
      <c r="GA228" s="28"/>
      <c r="GB228" s="28"/>
      <c r="GC228" s="28"/>
      <c r="GD228" s="28"/>
      <c r="GE228" s="28"/>
      <c r="GF228" s="28"/>
      <c r="GG228" s="28"/>
    </row>
    <row r="229" spans="1:189" s="46" customFormat="1" ht="47.25" x14ac:dyDescent="0.25">
      <c r="A229" s="43" t="s">
        <v>214</v>
      </c>
      <c r="B229" s="44">
        <f t="shared" si="75"/>
        <v>7366</v>
      </c>
      <c r="C229" s="44">
        <f t="shared" si="75"/>
        <v>7366</v>
      </c>
      <c r="D229" s="44">
        <f t="shared" si="75"/>
        <v>0</v>
      </c>
      <c r="E229" s="44"/>
      <c r="F229" s="44"/>
      <c r="G229" s="44">
        <f t="shared" si="67"/>
        <v>0</v>
      </c>
      <c r="H229" s="44"/>
      <c r="I229" s="44"/>
      <c r="J229" s="44">
        <f t="shared" si="91"/>
        <v>0</v>
      </c>
      <c r="K229" s="44">
        <f>1966+5400</f>
        <v>7366</v>
      </c>
      <c r="L229" s="44">
        <f>1966+5400</f>
        <v>7366</v>
      </c>
      <c r="M229" s="44">
        <f t="shared" si="92"/>
        <v>0</v>
      </c>
      <c r="N229" s="44"/>
      <c r="O229" s="44"/>
      <c r="P229" s="44">
        <f t="shared" si="93"/>
        <v>0</v>
      </c>
      <c r="Q229" s="44"/>
      <c r="R229" s="44"/>
      <c r="S229" s="44">
        <f t="shared" si="94"/>
        <v>0</v>
      </c>
      <c r="T229" s="44"/>
      <c r="U229" s="44"/>
      <c r="V229" s="44">
        <f t="shared" si="95"/>
        <v>0</v>
      </c>
      <c r="W229" s="44"/>
      <c r="X229" s="44"/>
      <c r="Y229" s="44">
        <f t="shared" si="96"/>
        <v>0</v>
      </c>
      <c r="Z229" s="44"/>
      <c r="AA229" s="44"/>
      <c r="AB229" s="44">
        <f t="shared" si="97"/>
        <v>0</v>
      </c>
      <c r="AC229" s="45"/>
      <c r="AD229" s="45"/>
      <c r="AE229" s="45"/>
      <c r="AF229" s="45"/>
      <c r="AG229" s="45"/>
      <c r="AH229" s="45"/>
      <c r="AI229" s="45"/>
      <c r="AJ229" s="45"/>
      <c r="AK229" s="45"/>
      <c r="AL229" s="45"/>
      <c r="AM229" s="45"/>
      <c r="AN229" s="45"/>
      <c r="AO229" s="45"/>
      <c r="AP229" s="45"/>
      <c r="AQ229" s="45"/>
      <c r="AR229" s="45"/>
      <c r="AS229" s="45"/>
      <c r="AT229" s="45"/>
      <c r="AU229" s="45"/>
      <c r="AV229" s="45"/>
      <c r="AW229" s="45"/>
      <c r="AX229" s="45"/>
      <c r="AY229" s="45"/>
      <c r="AZ229" s="45"/>
      <c r="BA229" s="45"/>
      <c r="BB229" s="45"/>
      <c r="BC229" s="45"/>
      <c r="BD229" s="45"/>
      <c r="BE229" s="45"/>
      <c r="BF229" s="45"/>
      <c r="BG229" s="45"/>
      <c r="BH229" s="45"/>
      <c r="BI229" s="45"/>
      <c r="BJ229" s="45"/>
      <c r="BK229" s="45"/>
      <c r="BL229" s="45"/>
      <c r="BM229" s="45"/>
      <c r="BN229" s="45"/>
      <c r="BO229" s="45"/>
      <c r="BP229" s="45"/>
      <c r="BQ229" s="45"/>
      <c r="BR229" s="45"/>
      <c r="BS229" s="45"/>
      <c r="BT229" s="45"/>
      <c r="BU229" s="45"/>
      <c r="BV229" s="45"/>
      <c r="BW229" s="45"/>
      <c r="BX229" s="45"/>
      <c r="BY229" s="45"/>
      <c r="BZ229" s="45"/>
      <c r="CA229" s="45"/>
      <c r="CB229" s="45"/>
      <c r="CC229" s="45"/>
      <c r="CD229" s="45"/>
      <c r="CE229" s="45"/>
      <c r="CF229" s="45"/>
      <c r="CG229" s="45"/>
      <c r="CH229" s="45"/>
      <c r="CI229" s="45"/>
      <c r="CJ229" s="45"/>
      <c r="CK229" s="45"/>
      <c r="CL229" s="45"/>
      <c r="CM229" s="45"/>
      <c r="CN229" s="45"/>
      <c r="CO229" s="45"/>
      <c r="CP229" s="45"/>
      <c r="CQ229" s="45"/>
      <c r="CR229" s="45"/>
      <c r="CS229" s="45"/>
      <c r="CT229" s="45"/>
      <c r="CU229" s="45"/>
      <c r="CV229" s="45"/>
      <c r="CW229" s="45"/>
      <c r="CX229" s="45"/>
      <c r="CY229" s="45"/>
      <c r="CZ229" s="45"/>
      <c r="DA229" s="45"/>
      <c r="DB229" s="45"/>
      <c r="DC229" s="45"/>
      <c r="DD229" s="45"/>
      <c r="DE229" s="45"/>
      <c r="DF229" s="45"/>
      <c r="DG229" s="45"/>
      <c r="DH229" s="45"/>
      <c r="DI229" s="45"/>
      <c r="DJ229" s="45"/>
      <c r="DK229" s="45"/>
      <c r="DL229" s="45"/>
      <c r="DM229" s="45"/>
      <c r="DN229" s="45"/>
      <c r="DO229" s="45"/>
      <c r="DP229" s="45"/>
      <c r="DQ229" s="45"/>
      <c r="DR229" s="45"/>
      <c r="DS229" s="45"/>
      <c r="DT229" s="45"/>
      <c r="DU229" s="45"/>
      <c r="DV229" s="45"/>
      <c r="DW229" s="45"/>
      <c r="DX229" s="45"/>
      <c r="DY229" s="45"/>
      <c r="DZ229" s="45"/>
      <c r="EA229" s="45"/>
      <c r="EB229" s="45"/>
      <c r="EC229" s="45"/>
      <c r="ED229" s="45"/>
      <c r="EE229" s="45"/>
      <c r="EF229" s="45"/>
      <c r="EG229" s="45"/>
      <c r="EH229" s="45"/>
      <c r="EI229" s="45"/>
      <c r="EJ229" s="45"/>
      <c r="EK229" s="45"/>
      <c r="EL229" s="45"/>
      <c r="EM229" s="45"/>
      <c r="EN229" s="45"/>
      <c r="EO229" s="45"/>
      <c r="EP229" s="45"/>
      <c r="EQ229" s="45"/>
      <c r="ER229" s="45"/>
      <c r="ES229" s="45"/>
      <c r="ET229" s="45"/>
      <c r="EU229" s="45"/>
      <c r="EV229" s="45"/>
      <c r="EW229" s="45"/>
      <c r="EX229" s="45"/>
      <c r="EY229" s="45"/>
      <c r="EZ229" s="45"/>
      <c r="FA229" s="45"/>
      <c r="FB229" s="45"/>
      <c r="FC229" s="45"/>
      <c r="FD229" s="45"/>
      <c r="FE229" s="45"/>
      <c r="FF229" s="45"/>
      <c r="FG229" s="45"/>
      <c r="FH229" s="45"/>
      <c r="FI229" s="45"/>
      <c r="FJ229" s="45"/>
      <c r="FK229" s="45"/>
      <c r="FL229" s="45"/>
      <c r="FM229" s="45"/>
      <c r="FN229" s="45"/>
      <c r="FO229" s="45"/>
      <c r="FP229" s="45"/>
      <c r="FQ229" s="45"/>
      <c r="FR229" s="45"/>
      <c r="FS229" s="45"/>
      <c r="FT229" s="45"/>
      <c r="FU229" s="45"/>
      <c r="FV229" s="45"/>
      <c r="FW229" s="45"/>
      <c r="FX229" s="45"/>
      <c r="FY229" s="45"/>
      <c r="FZ229" s="45"/>
      <c r="GA229" s="45"/>
      <c r="GB229" s="45"/>
      <c r="GC229" s="45"/>
      <c r="GD229" s="45"/>
      <c r="GE229" s="45"/>
      <c r="GF229" s="45"/>
      <c r="GG229" s="45"/>
    </row>
    <row r="230" spans="1:189" s="25" customFormat="1" ht="31.5" x14ac:dyDescent="0.25">
      <c r="A230" s="33" t="s">
        <v>215</v>
      </c>
      <c r="B230" s="34">
        <f t="shared" si="75"/>
        <v>161620</v>
      </c>
      <c r="C230" s="34">
        <f t="shared" si="75"/>
        <v>161620</v>
      </c>
      <c r="D230" s="34">
        <f t="shared" si="75"/>
        <v>0</v>
      </c>
      <c r="E230" s="34"/>
      <c r="F230" s="34"/>
      <c r="G230" s="34">
        <f t="shared" si="67"/>
        <v>0</v>
      </c>
      <c r="H230" s="34"/>
      <c r="I230" s="34"/>
      <c r="J230" s="34">
        <f t="shared" si="91"/>
        <v>0</v>
      </c>
      <c r="K230" s="34"/>
      <c r="L230" s="34"/>
      <c r="M230" s="34">
        <f t="shared" si="92"/>
        <v>0</v>
      </c>
      <c r="N230" s="34"/>
      <c r="O230" s="34"/>
      <c r="P230" s="34">
        <f t="shared" si="93"/>
        <v>0</v>
      </c>
      <c r="Q230" s="34">
        <f>19453+7200+8823+23491+5400+100633-3380</f>
        <v>161620</v>
      </c>
      <c r="R230" s="34">
        <f>19453+7200+8823+23491+5400+100633-3380</f>
        <v>161620</v>
      </c>
      <c r="S230" s="34">
        <f t="shared" si="94"/>
        <v>0</v>
      </c>
      <c r="T230" s="34"/>
      <c r="U230" s="34"/>
      <c r="V230" s="34">
        <f t="shared" si="95"/>
        <v>0</v>
      </c>
      <c r="W230" s="34"/>
      <c r="X230" s="34"/>
      <c r="Y230" s="34">
        <f t="shared" si="96"/>
        <v>0</v>
      </c>
      <c r="Z230" s="34"/>
      <c r="AA230" s="34"/>
      <c r="AB230" s="34">
        <f t="shared" si="97"/>
        <v>0</v>
      </c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28"/>
      <c r="BG230" s="28"/>
      <c r="BH230" s="28"/>
      <c r="BI230" s="28"/>
      <c r="BJ230" s="28"/>
      <c r="BK230" s="28"/>
      <c r="BL230" s="28"/>
      <c r="BM230" s="28"/>
      <c r="BN230" s="28"/>
      <c r="BO230" s="28"/>
      <c r="BP230" s="28"/>
      <c r="BQ230" s="28"/>
      <c r="BR230" s="28"/>
      <c r="BS230" s="28"/>
      <c r="BT230" s="28"/>
      <c r="BU230" s="28"/>
      <c r="BV230" s="28"/>
      <c r="BW230" s="28"/>
      <c r="BX230" s="28"/>
      <c r="BY230" s="28"/>
      <c r="BZ230" s="28"/>
      <c r="CA230" s="28"/>
      <c r="CB230" s="28"/>
      <c r="CC230" s="28"/>
      <c r="CD230" s="28"/>
      <c r="CE230" s="28"/>
      <c r="CF230" s="28"/>
      <c r="CG230" s="28"/>
      <c r="CH230" s="28"/>
      <c r="CI230" s="28"/>
      <c r="CJ230" s="28"/>
      <c r="CK230" s="28"/>
      <c r="CL230" s="28"/>
      <c r="CM230" s="28"/>
      <c r="CN230" s="28"/>
      <c r="CO230" s="28"/>
      <c r="CP230" s="28"/>
      <c r="CQ230" s="28"/>
      <c r="CR230" s="28"/>
      <c r="CS230" s="28"/>
      <c r="CT230" s="28"/>
      <c r="CU230" s="28"/>
      <c r="CV230" s="28"/>
      <c r="CW230" s="28"/>
      <c r="CX230" s="28"/>
      <c r="CY230" s="28"/>
      <c r="CZ230" s="28"/>
      <c r="DA230" s="28"/>
      <c r="DB230" s="28"/>
      <c r="DC230" s="28"/>
      <c r="DD230" s="28"/>
      <c r="DE230" s="28"/>
      <c r="DF230" s="28"/>
      <c r="DG230" s="28"/>
      <c r="DH230" s="28"/>
      <c r="DI230" s="28"/>
      <c r="DJ230" s="28"/>
      <c r="DK230" s="28"/>
      <c r="DL230" s="28"/>
      <c r="DM230" s="28"/>
      <c r="DN230" s="28"/>
      <c r="DO230" s="28"/>
      <c r="DP230" s="28"/>
      <c r="DQ230" s="28"/>
      <c r="DR230" s="28"/>
      <c r="DS230" s="28"/>
      <c r="DT230" s="28"/>
      <c r="DU230" s="28"/>
      <c r="DV230" s="28"/>
      <c r="DW230" s="28"/>
      <c r="DX230" s="28"/>
      <c r="DY230" s="28"/>
      <c r="DZ230" s="28"/>
      <c r="EA230" s="28"/>
      <c r="EB230" s="28"/>
      <c r="EC230" s="28"/>
      <c r="ED230" s="28"/>
      <c r="EE230" s="28"/>
      <c r="EF230" s="28"/>
      <c r="EG230" s="28"/>
      <c r="EH230" s="28"/>
      <c r="EI230" s="28"/>
      <c r="EJ230" s="28"/>
      <c r="EK230" s="28"/>
      <c r="EL230" s="28"/>
      <c r="EM230" s="28"/>
      <c r="EN230" s="28"/>
      <c r="EO230" s="28"/>
      <c r="EP230" s="28"/>
      <c r="EQ230" s="28"/>
      <c r="ER230" s="28"/>
      <c r="ES230" s="28"/>
      <c r="ET230" s="28"/>
      <c r="EU230" s="28"/>
      <c r="EV230" s="28"/>
      <c r="EW230" s="28"/>
      <c r="EX230" s="28"/>
      <c r="EY230" s="28"/>
      <c r="EZ230" s="28"/>
      <c r="FA230" s="28"/>
      <c r="FB230" s="28"/>
      <c r="FC230" s="28"/>
      <c r="FD230" s="28"/>
      <c r="FE230" s="28"/>
      <c r="FF230" s="28"/>
      <c r="FG230" s="28"/>
      <c r="FH230" s="28"/>
      <c r="FI230" s="28"/>
      <c r="FJ230" s="28"/>
      <c r="FK230" s="28"/>
      <c r="FL230" s="28"/>
      <c r="FM230" s="28"/>
      <c r="FN230" s="28"/>
      <c r="FO230" s="28"/>
      <c r="FP230" s="28"/>
      <c r="FQ230" s="28"/>
      <c r="FR230" s="28"/>
      <c r="FS230" s="28"/>
      <c r="FT230" s="28"/>
      <c r="FU230" s="28"/>
      <c r="FV230" s="28"/>
      <c r="FW230" s="28"/>
      <c r="FX230" s="28"/>
      <c r="FY230" s="28"/>
      <c r="FZ230" s="28"/>
      <c r="GA230" s="28"/>
      <c r="GB230" s="28"/>
      <c r="GC230" s="28"/>
      <c r="GD230" s="28"/>
      <c r="GE230" s="28"/>
      <c r="GF230" s="28"/>
      <c r="GG230" s="28"/>
    </row>
    <row r="231" spans="1:189" s="28" customFormat="1" x14ac:dyDescent="0.25">
      <c r="A231" s="26" t="s">
        <v>176</v>
      </c>
      <c r="B231" s="27">
        <f t="shared" ref="B231:D317" si="168">E231+H231+K231+N231+Q231+T231+Z231+W231</f>
        <v>4387802</v>
      </c>
      <c r="C231" s="27">
        <f t="shared" si="168"/>
        <v>4387800</v>
      </c>
      <c r="D231" s="27">
        <f t="shared" si="168"/>
        <v>-2</v>
      </c>
      <c r="E231" s="27">
        <f t="shared" ref="E231:AA231" si="169">SUM(E232:E234)</f>
        <v>235278</v>
      </c>
      <c r="F231" s="27">
        <f t="shared" si="169"/>
        <v>235276</v>
      </c>
      <c r="G231" s="27">
        <f t="shared" si="67"/>
        <v>-2</v>
      </c>
      <c r="H231" s="27">
        <f t="shared" ref="H231" si="170">SUM(H232:H234)</f>
        <v>0</v>
      </c>
      <c r="I231" s="27">
        <f t="shared" si="169"/>
        <v>0</v>
      </c>
      <c r="J231" s="27">
        <f t="shared" si="91"/>
        <v>0</v>
      </c>
      <c r="K231" s="27">
        <f t="shared" ref="K231" si="171">SUM(K232:K234)</f>
        <v>16732</v>
      </c>
      <c r="L231" s="27">
        <f t="shared" si="169"/>
        <v>16732</v>
      </c>
      <c r="M231" s="27">
        <f t="shared" si="92"/>
        <v>0</v>
      </c>
      <c r="N231" s="27">
        <f t="shared" ref="N231" si="172">SUM(N232:N234)</f>
        <v>0</v>
      </c>
      <c r="O231" s="27">
        <f t="shared" si="169"/>
        <v>0</v>
      </c>
      <c r="P231" s="27">
        <f t="shared" si="93"/>
        <v>0</v>
      </c>
      <c r="Q231" s="27">
        <f t="shared" ref="Q231" si="173">SUM(Q232:Q234)</f>
        <v>0</v>
      </c>
      <c r="R231" s="27">
        <f t="shared" si="169"/>
        <v>0</v>
      </c>
      <c r="S231" s="27">
        <f t="shared" si="94"/>
        <v>0</v>
      </c>
      <c r="T231" s="27">
        <f t="shared" ref="T231" si="174">SUM(T232:T234)</f>
        <v>364192</v>
      </c>
      <c r="U231" s="27">
        <f t="shared" si="169"/>
        <v>364192</v>
      </c>
      <c r="V231" s="27">
        <f t="shared" si="95"/>
        <v>0</v>
      </c>
      <c r="W231" s="27">
        <f t="shared" ref="W231" si="175">SUM(W232:W234)</f>
        <v>800000</v>
      </c>
      <c r="X231" s="27">
        <f t="shared" si="169"/>
        <v>800000</v>
      </c>
      <c r="Y231" s="27">
        <f t="shared" si="96"/>
        <v>0</v>
      </c>
      <c r="Z231" s="27">
        <f t="shared" ref="Z231" si="176">SUM(Z232:Z234)</f>
        <v>2971600</v>
      </c>
      <c r="AA231" s="27">
        <f t="shared" si="169"/>
        <v>2971600</v>
      </c>
      <c r="AB231" s="27">
        <f t="shared" si="97"/>
        <v>0</v>
      </c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  <c r="DA231" s="25"/>
      <c r="DB231" s="25"/>
      <c r="DC231" s="25"/>
      <c r="DD231" s="25"/>
      <c r="DE231" s="25"/>
      <c r="DF231" s="25"/>
      <c r="DG231" s="25"/>
      <c r="DH231" s="25"/>
      <c r="DI231" s="25"/>
      <c r="DJ231" s="25"/>
      <c r="DK231" s="25"/>
      <c r="DL231" s="25"/>
      <c r="DM231" s="25"/>
      <c r="DN231" s="25"/>
      <c r="DO231" s="25"/>
      <c r="DP231" s="25"/>
      <c r="DQ231" s="25"/>
      <c r="DR231" s="25"/>
      <c r="DS231" s="25"/>
      <c r="DT231" s="25"/>
      <c r="DU231" s="25"/>
      <c r="DV231" s="25"/>
      <c r="DW231" s="25"/>
      <c r="DX231" s="25"/>
      <c r="DY231" s="25"/>
      <c r="DZ231" s="25"/>
      <c r="EA231" s="25"/>
      <c r="EB231" s="25"/>
      <c r="EC231" s="25"/>
      <c r="ED231" s="25"/>
      <c r="EE231" s="25"/>
      <c r="EF231" s="25"/>
      <c r="EG231" s="25"/>
      <c r="EH231" s="25"/>
      <c r="EI231" s="25"/>
      <c r="EJ231" s="25"/>
      <c r="EK231" s="25"/>
      <c r="EL231" s="25"/>
      <c r="EM231" s="25"/>
      <c r="EN231" s="25"/>
      <c r="EO231" s="25"/>
      <c r="EP231" s="25"/>
      <c r="EQ231" s="25"/>
      <c r="ER231" s="25"/>
      <c r="ES231" s="25"/>
      <c r="ET231" s="25"/>
      <c r="EU231" s="25"/>
      <c r="EV231" s="25"/>
      <c r="EW231" s="25"/>
      <c r="EX231" s="25"/>
      <c r="EY231" s="25"/>
      <c r="EZ231" s="25"/>
      <c r="FA231" s="25"/>
      <c r="FB231" s="25"/>
      <c r="FC231" s="25"/>
      <c r="FD231" s="25"/>
      <c r="FE231" s="25"/>
      <c r="FF231" s="25"/>
      <c r="FG231" s="25"/>
      <c r="FH231" s="25"/>
      <c r="FI231" s="25"/>
      <c r="FJ231" s="25"/>
      <c r="FK231" s="25"/>
      <c r="FL231" s="25"/>
      <c r="FM231" s="25"/>
      <c r="FN231" s="25"/>
      <c r="FO231" s="25"/>
      <c r="FP231" s="25"/>
      <c r="FQ231" s="25"/>
      <c r="FR231" s="25"/>
      <c r="FS231" s="25"/>
      <c r="FT231" s="25"/>
      <c r="FU231" s="25"/>
      <c r="FV231" s="25"/>
      <c r="FW231" s="25"/>
      <c r="FX231" s="25"/>
      <c r="FY231" s="25"/>
      <c r="FZ231" s="25"/>
      <c r="GA231" s="25"/>
      <c r="GB231" s="25"/>
      <c r="GC231" s="25"/>
      <c r="GD231" s="25"/>
      <c r="GE231" s="25"/>
      <c r="GF231" s="25"/>
      <c r="GG231" s="25"/>
    </row>
    <row r="232" spans="1:189" s="28" customFormat="1" ht="31.5" x14ac:dyDescent="0.25">
      <c r="A232" s="33" t="s">
        <v>216</v>
      </c>
      <c r="B232" s="34">
        <f t="shared" si="168"/>
        <v>1052010</v>
      </c>
      <c r="C232" s="34">
        <f t="shared" si="168"/>
        <v>1052008</v>
      </c>
      <c r="D232" s="34">
        <f t="shared" si="168"/>
        <v>-2</v>
      </c>
      <c r="E232" s="34">
        <f>200000+35278</f>
        <v>235278</v>
      </c>
      <c r="F232" s="34">
        <f>200000+35278-2</f>
        <v>235276</v>
      </c>
      <c r="G232" s="34">
        <f t="shared" si="67"/>
        <v>-2</v>
      </c>
      <c r="H232" s="34"/>
      <c r="I232" s="34"/>
      <c r="J232" s="34">
        <f t="shared" si="91"/>
        <v>0</v>
      </c>
      <c r="K232" s="34">
        <f>52010-35278</f>
        <v>16732</v>
      </c>
      <c r="L232" s="34">
        <f>52010-35278</f>
        <v>16732</v>
      </c>
      <c r="M232" s="34">
        <f t="shared" si="92"/>
        <v>0</v>
      </c>
      <c r="N232" s="34"/>
      <c r="O232" s="34"/>
      <c r="P232" s="34">
        <f t="shared" si="93"/>
        <v>0</v>
      </c>
      <c r="Q232" s="34"/>
      <c r="R232" s="34"/>
      <c r="S232" s="34">
        <f t="shared" si="94"/>
        <v>0</v>
      </c>
      <c r="T232" s="34"/>
      <c r="U232" s="34"/>
      <c r="V232" s="34">
        <f t="shared" si="95"/>
        <v>0</v>
      </c>
      <c r="W232" s="34">
        <v>800000</v>
      </c>
      <c r="X232" s="34">
        <v>800000</v>
      </c>
      <c r="Y232" s="34">
        <f t="shared" si="96"/>
        <v>0</v>
      </c>
      <c r="Z232" s="34">
        <f>800000-800000</f>
        <v>0</v>
      </c>
      <c r="AA232" s="34">
        <f>800000-800000</f>
        <v>0</v>
      </c>
      <c r="AB232" s="34">
        <f t="shared" si="97"/>
        <v>0</v>
      </c>
    </row>
    <row r="233" spans="1:189" s="28" customFormat="1" x14ac:dyDescent="0.25">
      <c r="A233" s="33" t="s">
        <v>217</v>
      </c>
      <c r="B233" s="34">
        <f t="shared" si="168"/>
        <v>2971600</v>
      </c>
      <c r="C233" s="34">
        <f t="shared" si="168"/>
        <v>2971600</v>
      </c>
      <c r="D233" s="34">
        <f t="shared" si="168"/>
        <v>0</v>
      </c>
      <c r="E233" s="34"/>
      <c r="F233" s="34"/>
      <c r="G233" s="34">
        <f t="shared" ref="G233:G341" si="177">F233-E233</f>
        <v>0</v>
      </c>
      <c r="H233" s="34"/>
      <c r="I233" s="34"/>
      <c r="J233" s="34">
        <f t="shared" si="91"/>
        <v>0</v>
      </c>
      <c r="K233" s="34"/>
      <c r="L233" s="34"/>
      <c r="M233" s="34">
        <f t="shared" si="92"/>
        <v>0</v>
      </c>
      <c r="N233" s="34"/>
      <c r="O233" s="34"/>
      <c r="P233" s="34">
        <f t="shared" si="93"/>
        <v>0</v>
      </c>
      <c r="Q233" s="34"/>
      <c r="R233" s="34"/>
      <c r="S233" s="34">
        <f t="shared" si="94"/>
        <v>0</v>
      </c>
      <c r="T233" s="34"/>
      <c r="U233" s="34"/>
      <c r="V233" s="34">
        <f t="shared" si="95"/>
        <v>0</v>
      </c>
      <c r="W233" s="34"/>
      <c r="X233" s="34"/>
      <c r="Y233" s="34">
        <f t="shared" si="96"/>
        <v>0</v>
      </c>
      <c r="Z233" s="34">
        <v>2971600</v>
      </c>
      <c r="AA233" s="34">
        <v>2971600</v>
      </c>
      <c r="AB233" s="34">
        <f t="shared" si="97"/>
        <v>0</v>
      </c>
    </row>
    <row r="234" spans="1:189" s="28" customFormat="1" ht="47.25" x14ac:dyDescent="0.25">
      <c r="A234" s="33" t="s">
        <v>218</v>
      </c>
      <c r="B234" s="34">
        <f t="shared" si="168"/>
        <v>364192</v>
      </c>
      <c r="C234" s="34">
        <f t="shared" si="168"/>
        <v>364192</v>
      </c>
      <c r="D234" s="34">
        <f t="shared" si="168"/>
        <v>0</v>
      </c>
      <c r="E234" s="34"/>
      <c r="F234" s="34"/>
      <c r="G234" s="34">
        <f t="shared" si="177"/>
        <v>0</v>
      </c>
      <c r="H234" s="34"/>
      <c r="I234" s="34"/>
      <c r="J234" s="34">
        <f t="shared" si="91"/>
        <v>0</v>
      </c>
      <c r="K234" s="34"/>
      <c r="L234" s="34"/>
      <c r="M234" s="34">
        <f t="shared" si="92"/>
        <v>0</v>
      </c>
      <c r="N234" s="34"/>
      <c r="O234" s="34"/>
      <c r="P234" s="34">
        <f t="shared" si="93"/>
        <v>0</v>
      </c>
      <c r="Q234" s="34"/>
      <c r="R234" s="34"/>
      <c r="S234" s="34">
        <f t="shared" si="94"/>
        <v>0</v>
      </c>
      <c r="T234" s="34">
        <v>364192</v>
      </c>
      <c r="U234" s="34">
        <v>364192</v>
      </c>
      <c r="V234" s="34">
        <f t="shared" si="95"/>
        <v>0</v>
      </c>
      <c r="W234" s="34"/>
      <c r="X234" s="34"/>
      <c r="Y234" s="34">
        <f t="shared" si="96"/>
        <v>0</v>
      </c>
      <c r="Z234" s="34"/>
      <c r="AA234" s="34"/>
      <c r="AB234" s="34">
        <f t="shared" si="97"/>
        <v>0</v>
      </c>
    </row>
    <row r="235" spans="1:189" s="28" customFormat="1" ht="31.5" x14ac:dyDescent="0.25">
      <c r="A235" s="26" t="s">
        <v>178</v>
      </c>
      <c r="B235" s="27">
        <f t="shared" si="168"/>
        <v>81977</v>
      </c>
      <c r="C235" s="27">
        <f t="shared" si="168"/>
        <v>83610</v>
      </c>
      <c r="D235" s="27">
        <f t="shared" si="168"/>
        <v>1633</v>
      </c>
      <c r="E235" s="27">
        <f>SUM(E236:E251)</f>
        <v>0</v>
      </c>
      <c r="F235" s="27">
        <f>SUM(F236:F251)</f>
        <v>0</v>
      </c>
      <c r="G235" s="27">
        <f t="shared" si="177"/>
        <v>0</v>
      </c>
      <c r="H235" s="27">
        <f t="shared" ref="H235:I235" si="178">SUM(H236:H251)</f>
        <v>0</v>
      </c>
      <c r="I235" s="27">
        <f t="shared" si="178"/>
        <v>0</v>
      </c>
      <c r="J235" s="27">
        <f t="shared" si="91"/>
        <v>0</v>
      </c>
      <c r="K235" s="27">
        <f t="shared" ref="K235:L235" si="179">SUM(K236:K251)</f>
        <v>41858</v>
      </c>
      <c r="L235" s="27">
        <f t="shared" si="179"/>
        <v>43491</v>
      </c>
      <c r="M235" s="27">
        <f t="shared" si="92"/>
        <v>1633</v>
      </c>
      <c r="N235" s="27">
        <f t="shared" ref="N235:O235" si="180">SUM(N236:N251)</f>
        <v>0</v>
      </c>
      <c r="O235" s="27">
        <f t="shared" si="180"/>
        <v>0</v>
      </c>
      <c r="P235" s="27">
        <f t="shared" si="93"/>
        <v>0</v>
      </c>
      <c r="Q235" s="27">
        <f t="shared" ref="Q235:R235" si="181">SUM(Q236:Q251)</f>
        <v>27508</v>
      </c>
      <c r="R235" s="27">
        <f t="shared" si="181"/>
        <v>27508</v>
      </c>
      <c r="S235" s="27">
        <f t="shared" si="94"/>
        <v>0</v>
      </c>
      <c r="T235" s="27">
        <f t="shared" ref="T235:U235" si="182">SUM(T236:T251)</f>
        <v>0</v>
      </c>
      <c r="U235" s="27">
        <f t="shared" si="182"/>
        <v>0</v>
      </c>
      <c r="V235" s="27">
        <f t="shared" si="95"/>
        <v>0</v>
      </c>
      <c r="W235" s="27">
        <f t="shared" ref="W235:X235" si="183">SUM(W236:W251)</f>
        <v>12611</v>
      </c>
      <c r="X235" s="27">
        <f t="shared" si="183"/>
        <v>12611</v>
      </c>
      <c r="Y235" s="27">
        <f t="shared" si="96"/>
        <v>0</v>
      </c>
      <c r="Z235" s="27">
        <f t="shared" ref="Z235:AA235" si="184">SUM(Z236:Z251)</f>
        <v>0</v>
      </c>
      <c r="AA235" s="27">
        <f t="shared" si="184"/>
        <v>0</v>
      </c>
      <c r="AB235" s="27">
        <f t="shared" si="97"/>
        <v>0</v>
      </c>
    </row>
    <row r="236" spans="1:189" s="28" customFormat="1" x14ac:dyDescent="0.25">
      <c r="A236" s="33" t="s">
        <v>219</v>
      </c>
      <c r="B236" s="34">
        <f t="shared" si="168"/>
        <v>3358</v>
      </c>
      <c r="C236" s="34">
        <f t="shared" si="168"/>
        <v>3358</v>
      </c>
      <c r="D236" s="34">
        <f t="shared" si="168"/>
        <v>0</v>
      </c>
      <c r="E236" s="34"/>
      <c r="F236" s="34"/>
      <c r="G236" s="34">
        <f t="shared" si="177"/>
        <v>0</v>
      </c>
      <c r="H236" s="34"/>
      <c r="I236" s="34"/>
      <c r="J236" s="34">
        <f t="shared" si="91"/>
        <v>0</v>
      </c>
      <c r="K236" s="34"/>
      <c r="L236" s="34"/>
      <c r="M236" s="34">
        <f t="shared" si="92"/>
        <v>0</v>
      </c>
      <c r="N236" s="34"/>
      <c r="O236" s="34"/>
      <c r="P236" s="34">
        <f t="shared" si="93"/>
        <v>0</v>
      </c>
      <c r="Q236" s="34">
        <f>131668-120000-8310</f>
        <v>3358</v>
      </c>
      <c r="R236" s="34">
        <f>131668-120000-8310</f>
        <v>3358</v>
      </c>
      <c r="S236" s="34">
        <f t="shared" si="94"/>
        <v>0</v>
      </c>
      <c r="T236" s="34"/>
      <c r="U236" s="34"/>
      <c r="V236" s="34">
        <f t="shared" si="95"/>
        <v>0</v>
      </c>
      <c r="W236" s="34"/>
      <c r="X236" s="34"/>
      <c r="Y236" s="34">
        <f t="shared" si="96"/>
        <v>0</v>
      </c>
      <c r="Z236" s="34"/>
      <c r="AA236" s="34"/>
      <c r="AB236" s="34">
        <f t="shared" si="97"/>
        <v>0</v>
      </c>
    </row>
    <row r="237" spans="1:189" s="28" customFormat="1" ht="31.5" x14ac:dyDescent="0.25">
      <c r="A237" s="33" t="s">
        <v>220</v>
      </c>
      <c r="B237" s="34">
        <f t="shared" si="168"/>
        <v>3054</v>
      </c>
      <c r="C237" s="34">
        <f t="shared" si="168"/>
        <v>3054</v>
      </c>
      <c r="D237" s="34">
        <f t="shared" si="168"/>
        <v>0</v>
      </c>
      <c r="E237" s="34"/>
      <c r="F237" s="34"/>
      <c r="G237" s="34">
        <f t="shared" si="177"/>
        <v>0</v>
      </c>
      <c r="H237" s="34"/>
      <c r="I237" s="34"/>
      <c r="J237" s="34">
        <f t="shared" si="91"/>
        <v>0</v>
      </c>
      <c r="K237" s="34">
        <v>3054</v>
      </c>
      <c r="L237" s="34">
        <v>3054</v>
      </c>
      <c r="M237" s="34">
        <f t="shared" si="92"/>
        <v>0</v>
      </c>
      <c r="N237" s="34"/>
      <c r="O237" s="34"/>
      <c r="P237" s="34">
        <f t="shared" si="93"/>
        <v>0</v>
      </c>
      <c r="Q237" s="34"/>
      <c r="R237" s="34"/>
      <c r="S237" s="34">
        <f t="shared" si="94"/>
        <v>0</v>
      </c>
      <c r="T237" s="34"/>
      <c r="U237" s="34"/>
      <c r="V237" s="34">
        <f t="shared" si="95"/>
        <v>0</v>
      </c>
      <c r="W237" s="34"/>
      <c r="X237" s="34"/>
      <c r="Y237" s="34">
        <f t="shared" si="96"/>
        <v>0</v>
      </c>
      <c r="Z237" s="34"/>
      <c r="AA237" s="34"/>
      <c r="AB237" s="34">
        <f t="shared" si="97"/>
        <v>0</v>
      </c>
    </row>
    <row r="238" spans="1:189" s="28" customFormat="1" ht="31.5" x14ac:dyDescent="0.25">
      <c r="A238" s="33" t="s">
        <v>221</v>
      </c>
      <c r="B238" s="34">
        <f t="shared" si="168"/>
        <v>3744</v>
      </c>
      <c r="C238" s="34">
        <f t="shared" si="168"/>
        <v>3744</v>
      </c>
      <c r="D238" s="34">
        <f t="shared" si="168"/>
        <v>0</v>
      </c>
      <c r="E238" s="34"/>
      <c r="F238" s="34"/>
      <c r="G238" s="34">
        <f t="shared" si="177"/>
        <v>0</v>
      </c>
      <c r="H238" s="34"/>
      <c r="I238" s="34"/>
      <c r="J238" s="34">
        <f t="shared" si="91"/>
        <v>0</v>
      </c>
      <c r="K238" s="34"/>
      <c r="L238" s="34"/>
      <c r="M238" s="34">
        <f t="shared" si="92"/>
        <v>0</v>
      </c>
      <c r="N238" s="34"/>
      <c r="O238" s="34"/>
      <c r="P238" s="34">
        <f t="shared" si="93"/>
        <v>0</v>
      </c>
      <c r="Q238" s="34">
        <v>3744</v>
      </c>
      <c r="R238" s="34">
        <v>3744</v>
      </c>
      <c r="S238" s="34">
        <f t="shared" si="94"/>
        <v>0</v>
      </c>
      <c r="T238" s="34"/>
      <c r="U238" s="34"/>
      <c r="V238" s="34">
        <f t="shared" si="95"/>
        <v>0</v>
      </c>
      <c r="W238" s="34"/>
      <c r="X238" s="34"/>
      <c r="Y238" s="34">
        <f t="shared" si="96"/>
        <v>0</v>
      </c>
      <c r="Z238" s="34"/>
      <c r="AA238" s="34"/>
      <c r="AB238" s="34">
        <f t="shared" si="97"/>
        <v>0</v>
      </c>
    </row>
    <row r="239" spans="1:189" s="25" customFormat="1" x14ac:dyDescent="0.25">
      <c r="A239" s="33" t="s">
        <v>222</v>
      </c>
      <c r="B239" s="34">
        <f t="shared" si="168"/>
        <v>10482</v>
      </c>
      <c r="C239" s="34">
        <f t="shared" si="168"/>
        <v>10482</v>
      </c>
      <c r="D239" s="34">
        <f t="shared" si="168"/>
        <v>0</v>
      </c>
      <c r="E239" s="34"/>
      <c r="F239" s="34"/>
      <c r="G239" s="34">
        <f t="shared" si="177"/>
        <v>0</v>
      </c>
      <c r="H239" s="34"/>
      <c r="I239" s="34"/>
      <c r="J239" s="34">
        <f t="shared" si="91"/>
        <v>0</v>
      </c>
      <c r="K239" s="34"/>
      <c r="L239" s="34"/>
      <c r="M239" s="34">
        <f t="shared" si="92"/>
        <v>0</v>
      </c>
      <c r="N239" s="34"/>
      <c r="O239" s="34"/>
      <c r="P239" s="34">
        <f t="shared" si="93"/>
        <v>0</v>
      </c>
      <c r="Q239" s="34">
        <f>3108+1842+2532+3000</f>
        <v>10482</v>
      </c>
      <c r="R239" s="34">
        <f>3108+1842+2532+3000</f>
        <v>10482</v>
      </c>
      <c r="S239" s="34">
        <f t="shared" si="94"/>
        <v>0</v>
      </c>
      <c r="T239" s="34"/>
      <c r="U239" s="34"/>
      <c r="V239" s="34">
        <f t="shared" si="95"/>
        <v>0</v>
      </c>
      <c r="W239" s="34"/>
      <c r="X239" s="34"/>
      <c r="Y239" s="34">
        <f t="shared" si="96"/>
        <v>0</v>
      </c>
      <c r="Z239" s="34"/>
      <c r="AA239" s="34"/>
      <c r="AB239" s="34">
        <f t="shared" si="97"/>
        <v>0</v>
      </c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  <c r="BC239" s="28"/>
      <c r="BD239" s="28"/>
      <c r="BE239" s="28"/>
      <c r="BF239" s="28"/>
      <c r="BG239" s="28"/>
      <c r="BH239" s="28"/>
      <c r="BI239" s="28"/>
      <c r="BJ239" s="28"/>
      <c r="BK239" s="28"/>
      <c r="BL239" s="28"/>
      <c r="BM239" s="28"/>
      <c r="BN239" s="28"/>
      <c r="BO239" s="28"/>
      <c r="BP239" s="28"/>
      <c r="BQ239" s="28"/>
      <c r="BR239" s="28"/>
      <c r="BS239" s="28"/>
      <c r="BT239" s="28"/>
      <c r="BU239" s="28"/>
      <c r="BV239" s="28"/>
      <c r="BW239" s="28"/>
      <c r="BX239" s="28"/>
      <c r="BY239" s="28"/>
      <c r="BZ239" s="28"/>
      <c r="CA239" s="28"/>
      <c r="CB239" s="28"/>
      <c r="CC239" s="28"/>
      <c r="CD239" s="28"/>
      <c r="CE239" s="28"/>
      <c r="CF239" s="28"/>
      <c r="CG239" s="28"/>
      <c r="CH239" s="28"/>
      <c r="CI239" s="28"/>
      <c r="CJ239" s="28"/>
      <c r="CK239" s="28"/>
      <c r="CL239" s="28"/>
      <c r="CM239" s="28"/>
      <c r="CN239" s="28"/>
      <c r="CO239" s="28"/>
      <c r="CP239" s="28"/>
      <c r="CQ239" s="28"/>
      <c r="CR239" s="28"/>
      <c r="CS239" s="28"/>
      <c r="CT239" s="28"/>
      <c r="CU239" s="28"/>
      <c r="CV239" s="28"/>
      <c r="CW239" s="28"/>
      <c r="CX239" s="28"/>
      <c r="CY239" s="28"/>
      <c r="CZ239" s="28"/>
      <c r="DA239" s="28"/>
      <c r="DB239" s="28"/>
      <c r="DC239" s="28"/>
      <c r="DD239" s="28"/>
      <c r="DE239" s="28"/>
      <c r="DF239" s="28"/>
      <c r="DG239" s="28"/>
      <c r="DH239" s="28"/>
      <c r="DI239" s="28"/>
      <c r="DJ239" s="28"/>
      <c r="DK239" s="28"/>
      <c r="DL239" s="28"/>
      <c r="DM239" s="28"/>
      <c r="DN239" s="28"/>
      <c r="DO239" s="28"/>
      <c r="DP239" s="28"/>
      <c r="DQ239" s="28"/>
      <c r="DR239" s="28"/>
      <c r="DS239" s="28"/>
      <c r="DT239" s="28"/>
      <c r="DU239" s="28"/>
      <c r="DV239" s="28"/>
      <c r="DW239" s="28"/>
      <c r="DX239" s="28"/>
      <c r="DY239" s="28"/>
      <c r="DZ239" s="28"/>
      <c r="EA239" s="28"/>
      <c r="EB239" s="28"/>
      <c r="EC239" s="28"/>
      <c r="ED239" s="28"/>
      <c r="EE239" s="28"/>
      <c r="EF239" s="28"/>
      <c r="EG239" s="28"/>
      <c r="EH239" s="28"/>
      <c r="EI239" s="28"/>
      <c r="EJ239" s="28"/>
      <c r="EK239" s="28"/>
      <c r="EL239" s="28"/>
      <c r="EM239" s="28"/>
      <c r="EN239" s="28"/>
      <c r="EO239" s="28"/>
      <c r="EP239" s="28"/>
      <c r="EQ239" s="28"/>
      <c r="ER239" s="28"/>
      <c r="ES239" s="28"/>
      <c r="ET239" s="28"/>
      <c r="EU239" s="28"/>
      <c r="EV239" s="28"/>
      <c r="EW239" s="28"/>
      <c r="EX239" s="28"/>
      <c r="EY239" s="28"/>
      <c r="EZ239" s="28"/>
      <c r="FA239" s="28"/>
      <c r="FB239" s="28"/>
      <c r="FC239" s="28"/>
      <c r="FD239" s="28"/>
      <c r="FE239" s="28"/>
      <c r="FF239" s="28"/>
      <c r="FG239" s="28"/>
      <c r="FH239" s="28"/>
      <c r="FI239" s="28"/>
      <c r="FJ239" s="28"/>
      <c r="FK239" s="28"/>
      <c r="FL239" s="28"/>
      <c r="FM239" s="28"/>
      <c r="FN239" s="28"/>
      <c r="FO239" s="28"/>
      <c r="FP239" s="28"/>
      <c r="FQ239" s="28"/>
      <c r="FR239" s="28"/>
      <c r="FS239" s="28"/>
      <c r="FT239" s="28"/>
      <c r="FU239" s="28"/>
      <c r="FV239" s="28"/>
      <c r="FW239" s="28"/>
      <c r="FX239" s="28"/>
      <c r="FY239" s="28"/>
      <c r="FZ239" s="28"/>
      <c r="GA239" s="28"/>
      <c r="GB239" s="28"/>
      <c r="GC239" s="28"/>
      <c r="GD239" s="28"/>
      <c r="GE239" s="28"/>
      <c r="GF239" s="28"/>
      <c r="GG239" s="28"/>
    </row>
    <row r="240" spans="1:189" s="25" customFormat="1" x14ac:dyDescent="0.25">
      <c r="A240" s="33" t="s">
        <v>223</v>
      </c>
      <c r="B240" s="34">
        <f t="shared" si="168"/>
        <v>3580</v>
      </c>
      <c r="C240" s="34">
        <f t="shared" si="168"/>
        <v>3580</v>
      </c>
      <c r="D240" s="34">
        <f t="shared" si="168"/>
        <v>0</v>
      </c>
      <c r="E240" s="34"/>
      <c r="F240" s="34"/>
      <c r="G240" s="34">
        <f t="shared" si="177"/>
        <v>0</v>
      </c>
      <c r="H240" s="34"/>
      <c r="I240" s="34"/>
      <c r="J240" s="34">
        <f t="shared" si="91"/>
        <v>0</v>
      </c>
      <c r="K240" s="34">
        <v>3580</v>
      </c>
      <c r="L240" s="34">
        <v>3580</v>
      </c>
      <c r="M240" s="34">
        <f t="shared" si="92"/>
        <v>0</v>
      </c>
      <c r="N240" s="34"/>
      <c r="O240" s="34"/>
      <c r="P240" s="34">
        <f t="shared" si="93"/>
        <v>0</v>
      </c>
      <c r="Q240" s="34"/>
      <c r="R240" s="34"/>
      <c r="S240" s="34">
        <f t="shared" si="94"/>
        <v>0</v>
      </c>
      <c r="T240" s="34"/>
      <c r="U240" s="34"/>
      <c r="V240" s="34">
        <f t="shared" si="95"/>
        <v>0</v>
      </c>
      <c r="W240" s="34"/>
      <c r="X240" s="34"/>
      <c r="Y240" s="34">
        <f t="shared" si="96"/>
        <v>0</v>
      </c>
      <c r="Z240" s="34"/>
      <c r="AA240" s="34"/>
      <c r="AB240" s="34">
        <f t="shared" si="97"/>
        <v>0</v>
      </c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8"/>
      <c r="BF240" s="28"/>
      <c r="BG240" s="28"/>
      <c r="BH240" s="28"/>
      <c r="BI240" s="28"/>
      <c r="BJ240" s="28"/>
      <c r="BK240" s="28"/>
      <c r="BL240" s="28"/>
      <c r="BM240" s="28"/>
      <c r="BN240" s="28"/>
      <c r="BO240" s="28"/>
      <c r="BP240" s="28"/>
      <c r="BQ240" s="28"/>
      <c r="BR240" s="28"/>
      <c r="BS240" s="28"/>
      <c r="BT240" s="28"/>
      <c r="BU240" s="28"/>
      <c r="BV240" s="28"/>
      <c r="BW240" s="28"/>
      <c r="BX240" s="28"/>
      <c r="BY240" s="28"/>
      <c r="BZ240" s="28"/>
      <c r="CA240" s="28"/>
      <c r="CB240" s="28"/>
      <c r="CC240" s="28"/>
      <c r="CD240" s="28"/>
      <c r="CE240" s="28"/>
      <c r="CF240" s="28"/>
      <c r="CG240" s="28"/>
      <c r="CH240" s="28"/>
      <c r="CI240" s="28"/>
      <c r="CJ240" s="28"/>
      <c r="CK240" s="28"/>
      <c r="CL240" s="28"/>
      <c r="CM240" s="28"/>
      <c r="CN240" s="28"/>
      <c r="CO240" s="28"/>
      <c r="CP240" s="28"/>
      <c r="CQ240" s="28"/>
      <c r="CR240" s="28"/>
      <c r="CS240" s="28"/>
      <c r="CT240" s="28"/>
      <c r="CU240" s="28"/>
      <c r="CV240" s="28"/>
      <c r="CW240" s="28"/>
      <c r="CX240" s="28"/>
      <c r="CY240" s="28"/>
      <c r="CZ240" s="28"/>
      <c r="DA240" s="28"/>
      <c r="DB240" s="28"/>
      <c r="DC240" s="28"/>
      <c r="DD240" s="28"/>
      <c r="DE240" s="28"/>
      <c r="DF240" s="28"/>
      <c r="DG240" s="28"/>
      <c r="DH240" s="28"/>
      <c r="DI240" s="28"/>
      <c r="DJ240" s="28"/>
      <c r="DK240" s="28"/>
      <c r="DL240" s="28"/>
      <c r="DM240" s="28"/>
      <c r="DN240" s="28"/>
      <c r="DO240" s="28"/>
      <c r="DP240" s="28"/>
      <c r="DQ240" s="28"/>
      <c r="DR240" s="28"/>
      <c r="DS240" s="28"/>
      <c r="DT240" s="28"/>
      <c r="DU240" s="28"/>
      <c r="DV240" s="28"/>
      <c r="DW240" s="28"/>
      <c r="DX240" s="28"/>
      <c r="DY240" s="28"/>
      <c r="DZ240" s="28"/>
      <c r="EA240" s="28"/>
      <c r="EB240" s="28"/>
      <c r="EC240" s="28"/>
      <c r="ED240" s="28"/>
      <c r="EE240" s="28"/>
      <c r="EF240" s="28"/>
      <c r="EG240" s="28"/>
      <c r="EH240" s="28"/>
      <c r="EI240" s="28"/>
      <c r="EJ240" s="28"/>
      <c r="EK240" s="28"/>
      <c r="EL240" s="28"/>
      <c r="EM240" s="28"/>
      <c r="EN240" s="28"/>
      <c r="EO240" s="28"/>
      <c r="EP240" s="28"/>
      <c r="EQ240" s="28"/>
      <c r="ER240" s="28"/>
      <c r="ES240" s="28"/>
      <c r="ET240" s="28"/>
      <c r="EU240" s="28"/>
      <c r="EV240" s="28"/>
      <c r="EW240" s="28"/>
      <c r="EX240" s="28"/>
      <c r="EY240" s="28"/>
      <c r="EZ240" s="28"/>
      <c r="FA240" s="28"/>
      <c r="FB240" s="28"/>
      <c r="FC240" s="28"/>
      <c r="FD240" s="28"/>
      <c r="FE240" s="28"/>
      <c r="FF240" s="28"/>
      <c r="FG240" s="28"/>
      <c r="FH240" s="28"/>
      <c r="FI240" s="28"/>
      <c r="FJ240" s="28"/>
      <c r="FK240" s="28"/>
      <c r="FL240" s="28"/>
      <c r="FM240" s="28"/>
      <c r="FN240" s="28"/>
      <c r="FO240" s="28"/>
      <c r="FP240" s="28"/>
      <c r="FQ240" s="28"/>
      <c r="FR240" s="28"/>
      <c r="FS240" s="28"/>
      <c r="FT240" s="28"/>
      <c r="FU240" s="28"/>
      <c r="FV240" s="28"/>
      <c r="FW240" s="28"/>
      <c r="FX240" s="28"/>
      <c r="FY240" s="28"/>
      <c r="FZ240" s="28"/>
      <c r="GA240" s="28"/>
      <c r="GB240" s="28"/>
      <c r="GC240" s="28"/>
      <c r="GD240" s="28"/>
      <c r="GE240" s="28"/>
      <c r="GF240" s="28"/>
      <c r="GG240" s="28"/>
    </row>
    <row r="241" spans="1:189" s="28" customFormat="1" x14ac:dyDescent="0.25">
      <c r="A241" s="33" t="s">
        <v>224</v>
      </c>
      <c r="B241" s="34">
        <f t="shared" si="168"/>
        <v>4970</v>
      </c>
      <c r="C241" s="34">
        <f t="shared" si="168"/>
        <v>4970</v>
      </c>
      <c r="D241" s="34">
        <f t="shared" si="168"/>
        <v>0</v>
      </c>
      <c r="E241" s="34"/>
      <c r="F241" s="34"/>
      <c r="G241" s="34">
        <f t="shared" si="177"/>
        <v>0</v>
      </c>
      <c r="H241" s="34"/>
      <c r="I241" s="34"/>
      <c r="J241" s="34">
        <f t="shared" si="91"/>
        <v>0</v>
      </c>
      <c r="K241" s="34">
        <f>4970-2500</f>
        <v>2470</v>
      </c>
      <c r="L241" s="34">
        <f>4970-2500</f>
        <v>2470</v>
      </c>
      <c r="M241" s="34">
        <f t="shared" si="92"/>
        <v>0</v>
      </c>
      <c r="N241" s="34"/>
      <c r="O241" s="34"/>
      <c r="P241" s="34">
        <f t="shared" si="93"/>
        <v>0</v>
      </c>
      <c r="Q241" s="34"/>
      <c r="R241" s="34"/>
      <c r="S241" s="34">
        <f t="shared" si="94"/>
        <v>0</v>
      </c>
      <c r="T241" s="34"/>
      <c r="U241" s="34"/>
      <c r="V241" s="34">
        <f t="shared" si="95"/>
        <v>0</v>
      </c>
      <c r="W241" s="34">
        <v>2500</v>
      </c>
      <c r="X241" s="34">
        <v>2500</v>
      </c>
      <c r="Y241" s="34">
        <f t="shared" si="96"/>
        <v>0</v>
      </c>
      <c r="Z241" s="34"/>
      <c r="AA241" s="34"/>
      <c r="AB241" s="34">
        <f t="shared" si="97"/>
        <v>0</v>
      </c>
    </row>
    <row r="242" spans="1:189" s="28" customFormat="1" ht="31.5" x14ac:dyDescent="0.25">
      <c r="A242" s="33" t="s">
        <v>225</v>
      </c>
      <c r="B242" s="34">
        <f t="shared" si="168"/>
        <v>5790</v>
      </c>
      <c r="C242" s="34">
        <f t="shared" si="168"/>
        <v>5790</v>
      </c>
      <c r="D242" s="34">
        <f t="shared" si="168"/>
        <v>0</v>
      </c>
      <c r="E242" s="34"/>
      <c r="F242" s="34"/>
      <c r="G242" s="34">
        <f t="shared" si="177"/>
        <v>0</v>
      </c>
      <c r="H242" s="34"/>
      <c r="I242" s="34"/>
      <c r="J242" s="34">
        <f t="shared" si="91"/>
        <v>0</v>
      </c>
      <c r="K242" s="34">
        <v>3290</v>
      </c>
      <c r="L242" s="34">
        <v>3290</v>
      </c>
      <c r="M242" s="34">
        <f t="shared" si="92"/>
        <v>0</v>
      </c>
      <c r="N242" s="34"/>
      <c r="O242" s="34"/>
      <c r="P242" s="34">
        <f t="shared" si="93"/>
        <v>0</v>
      </c>
      <c r="Q242" s="34"/>
      <c r="R242" s="34"/>
      <c r="S242" s="34">
        <f t="shared" si="94"/>
        <v>0</v>
      </c>
      <c r="T242" s="34"/>
      <c r="U242" s="34"/>
      <c r="V242" s="34">
        <f t="shared" si="95"/>
        <v>0</v>
      </c>
      <c r="W242" s="34">
        <v>2500</v>
      </c>
      <c r="X242" s="34">
        <v>2500</v>
      </c>
      <c r="Y242" s="34">
        <f t="shared" si="96"/>
        <v>0</v>
      </c>
      <c r="Z242" s="34"/>
      <c r="AA242" s="34"/>
      <c r="AB242" s="34">
        <f t="shared" si="97"/>
        <v>0</v>
      </c>
    </row>
    <row r="243" spans="1:189" s="28" customFormat="1" ht="31.5" x14ac:dyDescent="0.25">
      <c r="A243" s="33" t="s">
        <v>226</v>
      </c>
      <c r="B243" s="34">
        <f t="shared" si="168"/>
        <v>5261</v>
      </c>
      <c r="C243" s="34">
        <f t="shared" si="168"/>
        <v>6894</v>
      </c>
      <c r="D243" s="34">
        <f t="shared" si="168"/>
        <v>1633</v>
      </c>
      <c r="E243" s="34"/>
      <c r="F243" s="34"/>
      <c r="G243" s="34">
        <f t="shared" si="177"/>
        <v>0</v>
      </c>
      <c r="H243" s="34"/>
      <c r="I243" s="34"/>
      <c r="J243" s="34">
        <f t="shared" si="91"/>
        <v>0</v>
      </c>
      <c r="K243" s="34">
        <v>5261</v>
      </c>
      <c r="L243" s="34">
        <f>5261+1633</f>
        <v>6894</v>
      </c>
      <c r="M243" s="34">
        <f t="shared" si="92"/>
        <v>1633</v>
      </c>
      <c r="N243" s="34"/>
      <c r="O243" s="34"/>
      <c r="P243" s="34">
        <f t="shared" si="93"/>
        <v>0</v>
      </c>
      <c r="Q243" s="34"/>
      <c r="R243" s="34"/>
      <c r="S243" s="34">
        <f t="shared" si="94"/>
        <v>0</v>
      </c>
      <c r="T243" s="34"/>
      <c r="U243" s="34"/>
      <c r="V243" s="34">
        <f t="shared" si="95"/>
        <v>0</v>
      </c>
      <c r="W243" s="34"/>
      <c r="X243" s="34"/>
      <c r="Y243" s="34">
        <f t="shared" si="96"/>
        <v>0</v>
      </c>
      <c r="Z243" s="34"/>
      <c r="AA243" s="34"/>
      <c r="AB243" s="34">
        <f t="shared" si="97"/>
        <v>0</v>
      </c>
    </row>
    <row r="244" spans="1:189" s="28" customFormat="1" x14ac:dyDescent="0.25">
      <c r="A244" s="33" t="s">
        <v>227</v>
      </c>
      <c r="B244" s="34">
        <f t="shared" si="168"/>
        <v>4829</v>
      </c>
      <c r="C244" s="34">
        <f t="shared" si="168"/>
        <v>4829</v>
      </c>
      <c r="D244" s="34">
        <f t="shared" si="168"/>
        <v>0</v>
      </c>
      <c r="E244" s="34"/>
      <c r="F244" s="34"/>
      <c r="G244" s="34">
        <f t="shared" si="177"/>
        <v>0</v>
      </c>
      <c r="H244" s="34"/>
      <c r="I244" s="34"/>
      <c r="J244" s="34">
        <f t="shared" si="91"/>
        <v>0</v>
      </c>
      <c r="K244" s="34">
        <v>2349</v>
      </c>
      <c r="L244" s="34">
        <v>2349</v>
      </c>
      <c r="M244" s="34">
        <f t="shared" si="92"/>
        <v>0</v>
      </c>
      <c r="N244" s="34"/>
      <c r="O244" s="34"/>
      <c r="P244" s="34">
        <f t="shared" si="93"/>
        <v>0</v>
      </c>
      <c r="Q244" s="34"/>
      <c r="R244" s="34"/>
      <c r="S244" s="34">
        <f t="shared" si="94"/>
        <v>0</v>
      </c>
      <c r="T244" s="34"/>
      <c r="U244" s="34"/>
      <c r="V244" s="34">
        <f t="shared" si="95"/>
        <v>0</v>
      </c>
      <c r="W244" s="34">
        <f>4829-2349</f>
        <v>2480</v>
      </c>
      <c r="X244" s="34">
        <f>4829-2349</f>
        <v>2480</v>
      </c>
      <c r="Y244" s="34">
        <f t="shared" si="96"/>
        <v>0</v>
      </c>
      <c r="Z244" s="34"/>
      <c r="AA244" s="34"/>
      <c r="AB244" s="34">
        <f t="shared" si="97"/>
        <v>0</v>
      </c>
    </row>
    <row r="245" spans="1:189" s="28" customFormat="1" ht="31.5" x14ac:dyDescent="0.25">
      <c r="A245" s="33" t="s">
        <v>228</v>
      </c>
      <c r="B245" s="34">
        <f t="shared" si="168"/>
        <v>2754</v>
      </c>
      <c r="C245" s="34">
        <f t="shared" si="168"/>
        <v>2754</v>
      </c>
      <c r="D245" s="34">
        <f t="shared" si="168"/>
        <v>0</v>
      </c>
      <c r="E245" s="34"/>
      <c r="F245" s="34"/>
      <c r="G245" s="34">
        <f t="shared" si="177"/>
        <v>0</v>
      </c>
      <c r="H245" s="34"/>
      <c r="I245" s="34"/>
      <c r="J245" s="34">
        <f t="shared" si="91"/>
        <v>0</v>
      </c>
      <c r="K245" s="34">
        <v>2754</v>
      </c>
      <c r="L245" s="34">
        <v>2754</v>
      </c>
      <c r="M245" s="34">
        <f t="shared" si="92"/>
        <v>0</v>
      </c>
      <c r="N245" s="34"/>
      <c r="O245" s="34"/>
      <c r="P245" s="34">
        <f t="shared" si="93"/>
        <v>0</v>
      </c>
      <c r="Q245" s="34"/>
      <c r="R245" s="34"/>
      <c r="S245" s="34">
        <f t="shared" si="94"/>
        <v>0</v>
      </c>
      <c r="T245" s="34"/>
      <c r="U245" s="34"/>
      <c r="V245" s="34">
        <f t="shared" si="95"/>
        <v>0</v>
      </c>
      <c r="W245" s="34"/>
      <c r="X245" s="34"/>
      <c r="Y245" s="34">
        <f t="shared" si="96"/>
        <v>0</v>
      </c>
      <c r="Z245" s="34"/>
      <c r="AA245" s="34"/>
      <c r="AB245" s="34">
        <f t="shared" si="97"/>
        <v>0</v>
      </c>
    </row>
    <row r="246" spans="1:189" s="28" customFormat="1" ht="31.5" x14ac:dyDescent="0.25">
      <c r="A246" s="33" t="s">
        <v>229</v>
      </c>
      <c r="B246" s="34">
        <f t="shared" si="168"/>
        <v>1896</v>
      </c>
      <c r="C246" s="34">
        <f t="shared" si="168"/>
        <v>1896</v>
      </c>
      <c r="D246" s="34">
        <f t="shared" si="168"/>
        <v>0</v>
      </c>
      <c r="E246" s="34"/>
      <c r="F246" s="34"/>
      <c r="G246" s="34">
        <f t="shared" si="177"/>
        <v>0</v>
      </c>
      <c r="H246" s="34"/>
      <c r="I246" s="34"/>
      <c r="J246" s="34">
        <f t="shared" si="91"/>
        <v>0</v>
      </c>
      <c r="K246" s="34">
        <v>1896</v>
      </c>
      <c r="L246" s="34">
        <v>1896</v>
      </c>
      <c r="M246" s="34">
        <f t="shared" si="92"/>
        <v>0</v>
      </c>
      <c r="N246" s="34"/>
      <c r="O246" s="34"/>
      <c r="P246" s="34">
        <f t="shared" si="93"/>
        <v>0</v>
      </c>
      <c r="Q246" s="34"/>
      <c r="R246" s="34"/>
      <c r="S246" s="34">
        <f t="shared" si="94"/>
        <v>0</v>
      </c>
      <c r="T246" s="34"/>
      <c r="U246" s="34"/>
      <c r="V246" s="34">
        <f t="shared" si="95"/>
        <v>0</v>
      </c>
      <c r="W246" s="34"/>
      <c r="X246" s="34"/>
      <c r="Y246" s="34">
        <f t="shared" si="96"/>
        <v>0</v>
      </c>
      <c r="Z246" s="34"/>
      <c r="AA246" s="34"/>
      <c r="AB246" s="34">
        <f t="shared" si="97"/>
        <v>0</v>
      </c>
    </row>
    <row r="247" spans="1:189" s="28" customFormat="1" ht="31.5" x14ac:dyDescent="0.25">
      <c r="A247" s="33" t="s">
        <v>230</v>
      </c>
      <c r="B247" s="34">
        <f t="shared" si="168"/>
        <v>5131</v>
      </c>
      <c r="C247" s="34">
        <f t="shared" si="168"/>
        <v>5131</v>
      </c>
      <c r="D247" s="34">
        <f t="shared" si="168"/>
        <v>0</v>
      </c>
      <c r="E247" s="34"/>
      <c r="F247" s="34"/>
      <c r="G247" s="34">
        <f t="shared" si="177"/>
        <v>0</v>
      </c>
      <c r="H247" s="34"/>
      <c r="I247" s="34"/>
      <c r="J247" s="34">
        <f t="shared" si="91"/>
        <v>0</v>
      </c>
      <c r="K247" s="34">
        <v>0</v>
      </c>
      <c r="L247" s="34">
        <v>0</v>
      </c>
      <c r="M247" s="34">
        <f t="shared" si="92"/>
        <v>0</v>
      </c>
      <c r="N247" s="34"/>
      <c r="O247" s="34"/>
      <c r="P247" s="34">
        <f t="shared" si="93"/>
        <v>0</v>
      </c>
      <c r="Q247" s="34"/>
      <c r="R247" s="34"/>
      <c r="S247" s="34">
        <f t="shared" si="94"/>
        <v>0</v>
      </c>
      <c r="T247" s="34"/>
      <c r="U247" s="34"/>
      <c r="V247" s="34">
        <f t="shared" si="95"/>
        <v>0</v>
      </c>
      <c r="W247" s="34">
        <v>5131</v>
      </c>
      <c r="X247" s="34">
        <v>5131</v>
      </c>
      <c r="Y247" s="34">
        <f t="shared" si="96"/>
        <v>0</v>
      </c>
      <c r="Z247" s="34"/>
      <c r="AA247" s="34"/>
      <c r="AB247" s="34">
        <f t="shared" si="97"/>
        <v>0</v>
      </c>
    </row>
    <row r="248" spans="1:189" s="28" customFormat="1" ht="31.5" x14ac:dyDescent="0.25">
      <c r="A248" s="33" t="s">
        <v>231</v>
      </c>
      <c r="B248" s="34">
        <f t="shared" si="168"/>
        <v>5374</v>
      </c>
      <c r="C248" s="34">
        <f t="shared" si="168"/>
        <v>5374</v>
      </c>
      <c r="D248" s="34">
        <f t="shared" si="168"/>
        <v>0</v>
      </c>
      <c r="E248" s="34"/>
      <c r="F248" s="34"/>
      <c r="G248" s="34">
        <f t="shared" si="177"/>
        <v>0</v>
      </c>
      <c r="H248" s="34"/>
      <c r="I248" s="34"/>
      <c r="J248" s="34">
        <f t="shared" si="91"/>
        <v>0</v>
      </c>
      <c r="K248" s="34">
        <v>0</v>
      </c>
      <c r="L248" s="34">
        <v>0</v>
      </c>
      <c r="M248" s="34">
        <f t="shared" si="92"/>
        <v>0</v>
      </c>
      <c r="N248" s="34"/>
      <c r="O248" s="34"/>
      <c r="P248" s="34">
        <f t="shared" si="93"/>
        <v>0</v>
      </c>
      <c r="Q248" s="34">
        <v>5374</v>
      </c>
      <c r="R248" s="34">
        <v>5374</v>
      </c>
      <c r="S248" s="34">
        <f t="shared" si="94"/>
        <v>0</v>
      </c>
      <c r="T248" s="34"/>
      <c r="U248" s="34"/>
      <c r="V248" s="34">
        <f t="shared" si="95"/>
        <v>0</v>
      </c>
      <c r="W248" s="34">
        <v>0</v>
      </c>
      <c r="X248" s="34">
        <v>0</v>
      </c>
      <c r="Y248" s="34">
        <f t="shared" si="96"/>
        <v>0</v>
      </c>
      <c r="Z248" s="34"/>
      <c r="AA248" s="34"/>
      <c r="AB248" s="34">
        <f t="shared" si="97"/>
        <v>0</v>
      </c>
    </row>
    <row r="249" spans="1:189" s="28" customFormat="1" x14ac:dyDescent="0.25">
      <c r="A249" s="33" t="s">
        <v>232</v>
      </c>
      <c r="B249" s="34">
        <f t="shared" si="168"/>
        <v>4550</v>
      </c>
      <c r="C249" s="34">
        <f t="shared" si="168"/>
        <v>4550</v>
      </c>
      <c r="D249" s="34">
        <f t="shared" si="168"/>
        <v>0</v>
      </c>
      <c r="E249" s="34"/>
      <c r="F249" s="34"/>
      <c r="G249" s="34">
        <f t="shared" si="177"/>
        <v>0</v>
      </c>
      <c r="H249" s="34"/>
      <c r="I249" s="34"/>
      <c r="J249" s="34">
        <f t="shared" si="91"/>
        <v>0</v>
      </c>
      <c r="K249" s="34"/>
      <c r="L249" s="34"/>
      <c r="M249" s="34">
        <f t="shared" si="92"/>
        <v>0</v>
      </c>
      <c r="N249" s="34"/>
      <c r="O249" s="34"/>
      <c r="P249" s="34">
        <f t="shared" si="93"/>
        <v>0</v>
      </c>
      <c r="Q249" s="34">
        <v>4550</v>
      </c>
      <c r="R249" s="34">
        <v>4550</v>
      </c>
      <c r="S249" s="34">
        <f t="shared" si="94"/>
        <v>0</v>
      </c>
      <c r="T249" s="34"/>
      <c r="U249" s="34"/>
      <c r="V249" s="34">
        <f t="shared" si="95"/>
        <v>0</v>
      </c>
      <c r="W249" s="34"/>
      <c r="X249" s="34"/>
      <c r="Y249" s="34">
        <f t="shared" si="96"/>
        <v>0</v>
      </c>
      <c r="Z249" s="34"/>
      <c r="AA249" s="34"/>
      <c r="AB249" s="34">
        <f t="shared" si="97"/>
        <v>0</v>
      </c>
    </row>
    <row r="250" spans="1:189" s="28" customFormat="1" x14ac:dyDescent="0.25">
      <c r="A250" s="33" t="s">
        <v>233</v>
      </c>
      <c r="B250" s="34">
        <f t="shared" si="168"/>
        <v>2204</v>
      </c>
      <c r="C250" s="34">
        <f t="shared" si="168"/>
        <v>2204</v>
      </c>
      <c r="D250" s="34">
        <f t="shared" si="168"/>
        <v>0</v>
      </c>
      <c r="E250" s="34"/>
      <c r="F250" s="34"/>
      <c r="G250" s="34">
        <f t="shared" si="177"/>
        <v>0</v>
      </c>
      <c r="H250" s="34"/>
      <c r="I250" s="34"/>
      <c r="J250" s="34">
        <f t="shared" si="91"/>
        <v>0</v>
      </c>
      <c r="K250" s="34">
        <v>2204</v>
      </c>
      <c r="L250" s="34">
        <v>2204</v>
      </c>
      <c r="M250" s="34">
        <f t="shared" si="92"/>
        <v>0</v>
      </c>
      <c r="N250" s="34"/>
      <c r="O250" s="34"/>
      <c r="P250" s="34">
        <f t="shared" si="93"/>
        <v>0</v>
      </c>
      <c r="Q250" s="34"/>
      <c r="R250" s="34"/>
      <c r="S250" s="34">
        <f t="shared" si="94"/>
        <v>0</v>
      </c>
      <c r="T250" s="34"/>
      <c r="U250" s="34"/>
      <c r="V250" s="34">
        <f t="shared" si="95"/>
        <v>0</v>
      </c>
      <c r="W250" s="34"/>
      <c r="X250" s="34"/>
      <c r="Y250" s="34">
        <f t="shared" si="96"/>
        <v>0</v>
      </c>
      <c r="Z250" s="34"/>
      <c r="AA250" s="34"/>
      <c r="AB250" s="34">
        <f t="shared" si="97"/>
        <v>0</v>
      </c>
    </row>
    <row r="251" spans="1:189" s="28" customFormat="1" ht="31.5" x14ac:dyDescent="0.25">
      <c r="A251" s="33" t="s">
        <v>234</v>
      </c>
      <c r="B251" s="34">
        <f t="shared" si="168"/>
        <v>15000</v>
      </c>
      <c r="C251" s="34">
        <f t="shared" si="168"/>
        <v>15000</v>
      </c>
      <c r="D251" s="34">
        <f t="shared" si="168"/>
        <v>0</v>
      </c>
      <c r="E251" s="34"/>
      <c r="F251" s="34"/>
      <c r="G251" s="34">
        <f t="shared" si="177"/>
        <v>0</v>
      </c>
      <c r="H251" s="34"/>
      <c r="I251" s="34"/>
      <c r="J251" s="34">
        <f t="shared" si="91"/>
        <v>0</v>
      </c>
      <c r="K251" s="34">
        <v>15000</v>
      </c>
      <c r="L251" s="34">
        <v>15000</v>
      </c>
      <c r="M251" s="34">
        <f t="shared" si="92"/>
        <v>0</v>
      </c>
      <c r="N251" s="34"/>
      <c r="O251" s="34"/>
      <c r="P251" s="34">
        <f t="shared" si="93"/>
        <v>0</v>
      </c>
      <c r="Q251" s="34"/>
      <c r="R251" s="34"/>
      <c r="S251" s="34">
        <f t="shared" si="94"/>
        <v>0</v>
      </c>
      <c r="T251" s="34"/>
      <c r="U251" s="34"/>
      <c r="V251" s="34">
        <f t="shared" si="95"/>
        <v>0</v>
      </c>
      <c r="W251" s="34"/>
      <c r="X251" s="34"/>
      <c r="Y251" s="34">
        <f t="shared" si="96"/>
        <v>0</v>
      </c>
      <c r="Z251" s="34"/>
      <c r="AA251" s="34"/>
      <c r="AB251" s="34">
        <f t="shared" si="97"/>
        <v>0</v>
      </c>
    </row>
    <row r="252" spans="1:189" s="28" customFormat="1" x14ac:dyDescent="0.25">
      <c r="A252" s="26" t="s">
        <v>184</v>
      </c>
      <c r="B252" s="27">
        <f t="shared" si="168"/>
        <v>93497</v>
      </c>
      <c r="C252" s="27">
        <f t="shared" si="168"/>
        <v>93497</v>
      </c>
      <c r="D252" s="27">
        <f t="shared" si="168"/>
        <v>0</v>
      </c>
      <c r="E252" s="27">
        <f>SUM(E253:E264)</f>
        <v>0</v>
      </c>
      <c r="F252" s="27">
        <f>SUM(F253:F264)</f>
        <v>0</v>
      </c>
      <c r="G252" s="27">
        <f t="shared" si="177"/>
        <v>0</v>
      </c>
      <c r="H252" s="27">
        <f t="shared" ref="H252:I252" si="185">SUM(H253:H264)</f>
        <v>0</v>
      </c>
      <c r="I252" s="27">
        <f t="shared" si="185"/>
        <v>0</v>
      </c>
      <c r="J252" s="27">
        <f t="shared" si="91"/>
        <v>0</v>
      </c>
      <c r="K252" s="27">
        <f t="shared" ref="K252:L252" si="186">SUM(K253:K264)</f>
        <v>67137</v>
      </c>
      <c r="L252" s="27">
        <f t="shared" si="186"/>
        <v>67137</v>
      </c>
      <c r="M252" s="27">
        <f t="shared" si="92"/>
        <v>0</v>
      </c>
      <c r="N252" s="27">
        <f t="shared" ref="N252:O252" si="187">SUM(N253:N264)</f>
        <v>1663</v>
      </c>
      <c r="O252" s="27">
        <f t="shared" si="187"/>
        <v>1663</v>
      </c>
      <c r="P252" s="27">
        <f t="shared" si="93"/>
        <v>0</v>
      </c>
      <c r="Q252" s="27">
        <f t="shared" ref="Q252:R252" si="188">SUM(Q253:Q264)</f>
        <v>24697</v>
      </c>
      <c r="R252" s="27">
        <f t="shared" si="188"/>
        <v>24697</v>
      </c>
      <c r="S252" s="27">
        <f t="shared" si="94"/>
        <v>0</v>
      </c>
      <c r="T252" s="27">
        <f t="shared" ref="T252:U252" si="189">SUM(T253:T264)</f>
        <v>0</v>
      </c>
      <c r="U252" s="27">
        <f t="shared" si="189"/>
        <v>0</v>
      </c>
      <c r="V252" s="27">
        <f t="shared" si="95"/>
        <v>0</v>
      </c>
      <c r="W252" s="27">
        <f t="shared" ref="W252:X252" si="190">SUM(W253:W264)</f>
        <v>0</v>
      </c>
      <c r="X252" s="27">
        <f t="shared" si="190"/>
        <v>0</v>
      </c>
      <c r="Y252" s="27">
        <f t="shared" si="96"/>
        <v>0</v>
      </c>
      <c r="Z252" s="27">
        <f t="shared" ref="Z252:AA252" si="191">SUM(Z253:Z264)</f>
        <v>0</v>
      </c>
      <c r="AA252" s="27">
        <f t="shared" si="191"/>
        <v>0</v>
      </c>
      <c r="AB252" s="27">
        <f t="shared" si="97"/>
        <v>0</v>
      </c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  <c r="CL252" s="25"/>
      <c r="CM252" s="25"/>
      <c r="CN252" s="25"/>
      <c r="CO252" s="25"/>
      <c r="CP252" s="25"/>
      <c r="CQ252" s="25"/>
      <c r="CR252" s="25"/>
      <c r="CS252" s="25"/>
      <c r="CT252" s="25"/>
      <c r="CU252" s="25"/>
      <c r="CV252" s="25"/>
      <c r="CW252" s="25"/>
      <c r="CX252" s="25"/>
      <c r="CY252" s="25"/>
      <c r="CZ252" s="25"/>
      <c r="DA252" s="25"/>
      <c r="DB252" s="25"/>
      <c r="DC252" s="25"/>
      <c r="DD252" s="25"/>
      <c r="DE252" s="25"/>
      <c r="DF252" s="25"/>
      <c r="DG252" s="25"/>
      <c r="DH252" s="25"/>
      <c r="DI252" s="25"/>
      <c r="DJ252" s="25"/>
      <c r="DK252" s="25"/>
      <c r="DL252" s="25"/>
      <c r="DM252" s="25"/>
      <c r="DN252" s="25"/>
      <c r="DO252" s="25"/>
      <c r="DP252" s="25"/>
      <c r="DQ252" s="25"/>
      <c r="DR252" s="25"/>
      <c r="DS252" s="25"/>
      <c r="DT252" s="25"/>
      <c r="DU252" s="25"/>
      <c r="DV252" s="25"/>
      <c r="DW252" s="25"/>
      <c r="DX252" s="25"/>
      <c r="DY252" s="25"/>
      <c r="DZ252" s="25"/>
      <c r="EA252" s="25"/>
      <c r="EB252" s="25"/>
      <c r="EC252" s="25"/>
      <c r="ED252" s="25"/>
      <c r="EE252" s="25"/>
      <c r="EF252" s="25"/>
      <c r="EG252" s="25"/>
      <c r="EH252" s="25"/>
      <c r="EI252" s="25"/>
      <c r="EJ252" s="25"/>
      <c r="EK252" s="25"/>
      <c r="EL252" s="25"/>
      <c r="EM252" s="25"/>
      <c r="EN252" s="25"/>
      <c r="EO252" s="25"/>
      <c r="EP252" s="25"/>
      <c r="EQ252" s="25"/>
      <c r="ER252" s="25"/>
      <c r="ES252" s="25"/>
      <c r="ET252" s="25"/>
      <c r="EU252" s="25"/>
      <c r="EV252" s="25"/>
      <c r="EW252" s="25"/>
      <c r="EX252" s="25"/>
      <c r="EY252" s="25"/>
      <c r="EZ252" s="25"/>
      <c r="FA252" s="25"/>
      <c r="FB252" s="25"/>
      <c r="FC252" s="25"/>
      <c r="FD252" s="25"/>
      <c r="FE252" s="25"/>
      <c r="FF252" s="25"/>
      <c r="FG252" s="25"/>
      <c r="FH252" s="25"/>
      <c r="FI252" s="25"/>
      <c r="FJ252" s="25"/>
      <c r="FK252" s="25"/>
      <c r="FL252" s="25"/>
      <c r="FM252" s="25"/>
      <c r="FN252" s="25"/>
      <c r="FO252" s="25"/>
      <c r="FP252" s="25"/>
      <c r="FQ252" s="25"/>
      <c r="FR252" s="25"/>
      <c r="FS252" s="25"/>
      <c r="FT252" s="25"/>
      <c r="FU252" s="25"/>
      <c r="FV252" s="25"/>
      <c r="FW252" s="25"/>
      <c r="FX252" s="25"/>
      <c r="FY252" s="25"/>
      <c r="FZ252" s="25"/>
      <c r="GA252" s="25"/>
      <c r="GB252" s="25"/>
      <c r="GC252" s="25"/>
      <c r="GD252" s="25"/>
      <c r="GE252" s="25"/>
      <c r="GF252" s="25"/>
      <c r="GG252" s="25"/>
    </row>
    <row r="253" spans="1:189" s="28" customFormat="1" ht="31.5" x14ac:dyDescent="0.25">
      <c r="A253" s="33" t="s">
        <v>235</v>
      </c>
      <c r="B253" s="34">
        <f t="shared" si="168"/>
        <v>7970</v>
      </c>
      <c r="C253" s="34">
        <f t="shared" si="168"/>
        <v>7970</v>
      </c>
      <c r="D253" s="34">
        <f t="shared" si="168"/>
        <v>0</v>
      </c>
      <c r="E253" s="34"/>
      <c r="F253" s="34"/>
      <c r="G253" s="34">
        <f t="shared" si="177"/>
        <v>0</v>
      </c>
      <c r="H253" s="34"/>
      <c r="I253" s="34"/>
      <c r="J253" s="34">
        <f t="shared" si="91"/>
        <v>0</v>
      </c>
      <c r="K253" s="34">
        <v>7970</v>
      </c>
      <c r="L253" s="34">
        <v>7970</v>
      </c>
      <c r="M253" s="34">
        <f t="shared" si="92"/>
        <v>0</v>
      </c>
      <c r="N253" s="34"/>
      <c r="O253" s="34"/>
      <c r="P253" s="34">
        <f t="shared" si="93"/>
        <v>0</v>
      </c>
      <c r="Q253" s="34"/>
      <c r="R253" s="34"/>
      <c r="S253" s="34">
        <f t="shared" si="94"/>
        <v>0</v>
      </c>
      <c r="T253" s="34"/>
      <c r="U253" s="34"/>
      <c r="V253" s="34">
        <f t="shared" si="95"/>
        <v>0</v>
      </c>
      <c r="W253" s="34"/>
      <c r="X253" s="34"/>
      <c r="Y253" s="34">
        <f t="shared" si="96"/>
        <v>0</v>
      </c>
      <c r="Z253" s="34"/>
      <c r="AA253" s="34"/>
      <c r="AB253" s="34">
        <f t="shared" si="97"/>
        <v>0</v>
      </c>
    </row>
    <row r="254" spans="1:189" s="28" customFormat="1" x14ac:dyDescent="0.25">
      <c r="A254" s="36" t="s">
        <v>236</v>
      </c>
      <c r="B254" s="34">
        <f t="shared" si="168"/>
        <v>4920</v>
      </c>
      <c r="C254" s="34">
        <f t="shared" si="168"/>
        <v>4920</v>
      </c>
      <c r="D254" s="34">
        <f t="shared" si="168"/>
        <v>0</v>
      </c>
      <c r="E254" s="34"/>
      <c r="F254" s="34"/>
      <c r="G254" s="34">
        <f t="shared" si="177"/>
        <v>0</v>
      </c>
      <c r="H254" s="34"/>
      <c r="I254" s="34"/>
      <c r="J254" s="34">
        <f t="shared" si="91"/>
        <v>0</v>
      </c>
      <c r="K254" s="34">
        <v>4920</v>
      </c>
      <c r="L254" s="34">
        <v>4920</v>
      </c>
      <c r="M254" s="34">
        <f t="shared" si="92"/>
        <v>0</v>
      </c>
      <c r="N254" s="34"/>
      <c r="O254" s="34"/>
      <c r="P254" s="34">
        <f t="shared" si="93"/>
        <v>0</v>
      </c>
      <c r="Q254" s="34"/>
      <c r="R254" s="34"/>
      <c r="S254" s="34">
        <f t="shared" si="94"/>
        <v>0</v>
      </c>
      <c r="T254" s="34"/>
      <c r="U254" s="34"/>
      <c r="V254" s="34">
        <f t="shared" si="95"/>
        <v>0</v>
      </c>
      <c r="W254" s="34"/>
      <c r="X254" s="34"/>
      <c r="Y254" s="34">
        <f t="shared" si="96"/>
        <v>0</v>
      </c>
      <c r="Z254" s="34"/>
      <c r="AA254" s="34"/>
      <c r="AB254" s="34">
        <f t="shared" si="97"/>
        <v>0</v>
      </c>
    </row>
    <row r="255" spans="1:189" s="28" customFormat="1" x14ac:dyDescent="0.25">
      <c r="A255" s="36" t="s">
        <v>237</v>
      </c>
      <c r="B255" s="34">
        <f t="shared" si="168"/>
        <v>4920</v>
      </c>
      <c r="C255" s="34">
        <f t="shared" si="168"/>
        <v>4920</v>
      </c>
      <c r="D255" s="34">
        <f t="shared" si="168"/>
        <v>0</v>
      </c>
      <c r="E255" s="34"/>
      <c r="F255" s="34"/>
      <c r="G255" s="34">
        <f t="shared" si="177"/>
        <v>0</v>
      </c>
      <c r="H255" s="34"/>
      <c r="I255" s="34"/>
      <c r="J255" s="34">
        <f t="shared" si="91"/>
        <v>0</v>
      </c>
      <c r="K255" s="34">
        <v>4920</v>
      </c>
      <c r="L255" s="34">
        <v>4920</v>
      </c>
      <c r="M255" s="34">
        <f t="shared" si="92"/>
        <v>0</v>
      </c>
      <c r="N255" s="34"/>
      <c r="O255" s="34"/>
      <c r="P255" s="34">
        <f t="shared" si="93"/>
        <v>0</v>
      </c>
      <c r="Q255" s="34"/>
      <c r="R255" s="34"/>
      <c r="S255" s="34">
        <f t="shared" si="94"/>
        <v>0</v>
      </c>
      <c r="T255" s="34"/>
      <c r="U255" s="34"/>
      <c r="V255" s="34">
        <f t="shared" si="95"/>
        <v>0</v>
      </c>
      <c r="W255" s="34"/>
      <c r="X255" s="34"/>
      <c r="Y255" s="34">
        <f t="shared" si="96"/>
        <v>0</v>
      </c>
      <c r="Z255" s="34"/>
      <c r="AA255" s="34"/>
      <c r="AB255" s="34">
        <f t="shared" si="97"/>
        <v>0</v>
      </c>
    </row>
    <row r="256" spans="1:189" s="28" customFormat="1" x14ac:dyDescent="0.25">
      <c r="A256" s="36" t="s">
        <v>238</v>
      </c>
      <c r="B256" s="34">
        <f t="shared" si="168"/>
        <v>4920</v>
      </c>
      <c r="C256" s="34">
        <f t="shared" si="168"/>
        <v>4920</v>
      </c>
      <c r="D256" s="34">
        <f t="shared" si="168"/>
        <v>0</v>
      </c>
      <c r="E256" s="34"/>
      <c r="F256" s="34"/>
      <c r="G256" s="34">
        <f t="shared" si="177"/>
        <v>0</v>
      </c>
      <c r="H256" s="34"/>
      <c r="I256" s="34"/>
      <c r="J256" s="34">
        <f t="shared" si="91"/>
        <v>0</v>
      </c>
      <c r="K256" s="34">
        <v>4920</v>
      </c>
      <c r="L256" s="34">
        <v>4920</v>
      </c>
      <c r="M256" s="34">
        <f t="shared" si="92"/>
        <v>0</v>
      </c>
      <c r="N256" s="34"/>
      <c r="O256" s="34"/>
      <c r="P256" s="34">
        <f t="shared" si="93"/>
        <v>0</v>
      </c>
      <c r="Q256" s="34"/>
      <c r="R256" s="34"/>
      <c r="S256" s="34">
        <f t="shared" si="94"/>
        <v>0</v>
      </c>
      <c r="T256" s="34"/>
      <c r="U256" s="34"/>
      <c r="V256" s="34">
        <f t="shared" si="95"/>
        <v>0</v>
      </c>
      <c r="W256" s="34"/>
      <c r="X256" s="34"/>
      <c r="Y256" s="34">
        <f t="shared" si="96"/>
        <v>0</v>
      </c>
      <c r="Z256" s="34"/>
      <c r="AA256" s="34"/>
      <c r="AB256" s="34">
        <f t="shared" si="97"/>
        <v>0</v>
      </c>
    </row>
    <row r="257" spans="1:28" s="28" customFormat="1" ht="31.5" x14ac:dyDescent="0.25">
      <c r="A257" s="36" t="s">
        <v>239</v>
      </c>
      <c r="B257" s="34">
        <f t="shared" si="168"/>
        <v>7066</v>
      </c>
      <c r="C257" s="34">
        <f t="shared" si="168"/>
        <v>7066</v>
      </c>
      <c r="D257" s="34">
        <f t="shared" si="168"/>
        <v>0</v>
      </c>
      <c r="E257" s="34"/>
      <c r="F257" s="34"/>
      <c r="G257" s="34">
        <f t="shared" si="177"/>
        <v>0</v>
      </c>
      <c r="H257" s="34"/>
      <c r="I257" s="34"/>
      <c r="J257" s="34">
        <f t="shared" si="91"/>
        <v>0</v>
      </c>
      <c r="K257" s="34">
        <v>7066</v>
      </c>
      <c r="L257" s="34">
        <v>7066</v>
      </c>
      <c r="M257" s="34">
        <f t="shared" si="92"/>
        <v>0</v>
      </c>
      <c r="N257" s="34"/>
      <c r="O257" s="34"/>
      <c r="P257" s="34">
        <f t="shared" si="93"/>
        <v>0</v>
      </c>
      <c r="Q257" s="34"/>
      <c r="R257" s="34"/>
      <c r="S257" s="34">
        <f t="shared" si="94"/>
        <v>0</v>
      </c>
      <c r="T257" s="34"/>
      <c r="U257" s="34"/>
      <c r="V257" s="34">
        <f t="shared" si="95"/>
        <v>0</v>
      </c>
      <c r="W257" s="34"/>
      <c r="X257" s="34"/>
      <c r="Y257" s="34">
        <f t="shared" si="96"/>
        <v>0</v>
      </c>
      <c r="Z257" s="34"/>
      <c r="AA257" s="34"/>
      <c r="AB257" s="34">
        <f t="shared" si="97"/>
        <v>0</v>
      </c>
    </row>
    <row r="258" spans="1:28" s="28" customFormat="1" x14ac:dyDescent="0.25">
      <c r="A258" s="33" t="s">
        <v>240</v>
      </c>
      <c r="B258" s="34">
        <f t="shared" si="168"/>
        <v>2115</v>
      </c>
      <c r="C258" s="34">
        <f t="shared" si="168"/>
        <v>2115</v>
      </c>
      <c r="D258" s="34">
        <f t="shared" si="168"/>
        <v>0</v>
      </c>
      <c r="E258" s="34"/>
      <c r="F258" s="34"/>
      <c r="G258" s="34">
        <f t="shared" si="177"/>
        <v>0</v>
      </c>
      <c r="H258" s="34"/>
      <c r="I258" s="34"/>
      <c r="J258" s="34">
        <f t="shared" si="91"/>
        <v>0</v>
      </c>
      <c r="K258" s="34">
        <v>2115</v>
      </c>
      <c r="L258" s="34">
        <v>2115</v>
      </c>
      <c r="M258" s="34">
        <f t="shared" si="92"/>
        <v>0</v>
      </c>
      <c r="N258" s="34"/>
      <c r="O258" s="34"/>
      <c r="P258" s="34">
        <f t="shared" si="93"/>
        <v>0</v>
      </c>
      <c r="Q258" s="34"/>
      <c r="R258" s="34"/>
      <c r="S258" s="34">
        <f t="shared" si="94"/>
        <v>0</v>
      </c>
      <c r="T258" s="34"/>
      <c r="U258" s="34"/>
      <c r="V258" s="34">
        <f t="shared" si="95"/>
        <v>0</v>
      </c>
      <c r="W258" s="34"/>
      <c r="X258" s="34"/>
      <c r="Y258" s="34">
        <f t="shared" si="96"/>
        <v>0</v>
      </c>
      <c r="Z258" s="34"/>
      <c r="AA258" s="34"/>
      <c r="AB258" s="34">
        <f t="shared" si="97"/>
        <v>0</v>
      </c>
    </row>
    <row r="259" spans="1:28" s="28" customFormat="1" ht="31.5" x14ac:dyDescent="0.25">
      <c r="A259" s="33" t="s">
        <v>241</v>
      </c>
      <c r="B259" s="34">
        <f t="shared" si="168"/>
        <v>1663</v>
      </c>
      <c r="C259" s="34">
        <f t="shared" si="168"/>
        <v>1663</v>
      </c>
      <c r="D259" s="34">
        <f t="shared" si="168"/>
        <v>0</v>
      </c>
      <c r="E259" s="34"/>
      <c r="F259" s="34"/>
      <c r="G259" s="34">
        <f t="shared" si="177"/>
        <v>0</v>
      </c>
      <c r="H259" s="34"/>
      <c r="I259" s="34"/>
      <c r="J259" s="34">
        <f t="shared" si="91"/>
        <v>0</v>
      </c>
      <c r="K259" s="34"/>
      <c r="L259" s="34"/>
      <c r="M259" s="34">
        <f t="shared" si="92"/>
        <v>0</v>
      </c>
      <c r="N259" s="34">
        <v>1663</v>
      </c>
      <c r="O259" s="34">
        <v>1663</v>
      </c>
      <c r="P259" s="34">
        <f t="shared" si="93"/>
        <v>0</v>
      </c>
      <c r="Q259" s="34"/>
      <c r="R259" s="34"/>
      <c r="S259" s="34">
        <f t="shared" si="94"/>
        <v>0</v>
      </c>
      <c r="T259" s="34"/>
      <c r="U259" s="34"/>
      <c r="V259" s="34">
        <f t="shared" si="95"/>
        <v>0</v>
      </c>
      <c r="W259" s="34"/>
      <c r="X259" s="34"/>
      <c r="Y259" s="34">
        <f t="shared" si="96"/>
        <v>0</v>
      </c>
      <c r="Z259" s="34"/>
      <c r="AA259" s="34"/>
      <c r="AB259" s="34">
        <f t="shared" si="97"/>
        <v>0</v>
      </c>
    </row>
    <row r="260" spans="1:28" s="28" customFormat="1" ht="31.5" x14ac:dyDescent="0.25">
      <c r="A260" s="33" t="s">
        <v>242</v>
      </c>
      <c r="B260" s="34">
        <f t="shared" si="168"/>
        <v>2562</v>
      </c>
      <c r="C260" s="34">
        <f t="shared" si="168"/>
        <v>2562</v>
      </c>
      <c r="D260" s="34">
        <f t="shared" si="168"/>
        <v>0</v>
      </c>
      <c r="E260" s="34"/>
      <c r="F260" s="34"/>
      <c r="G260" s="34">
        <f t="shared" si="177"/>
        <v>0</v>
      </c>
      <c r="H260" s="34"/>
      <c r="I260" s="34"/>
      <c r="J260" s="34">
        <f t="shared" si="91"/>
        <v>0</v>
      </c>
      <c r="K260" s="34">
        <v>2562</v>
      </c>
      <c r="L260" s="34">
        <v>2562</v>
      </c>
      <c r="M260" s="34">
        <f t="shared" si="92"/>
        <v>0</v>
      </c>
      <c r="N260" s="34"/>
      <c r="O260" s="34"/>
      <c r="P260" s="34">
        <f t="shared" si="93"/>
        <v>0</v>
      </c>
      <c r="Q260" s="34"/>
      <c r="R260" s="34"/>
      <c r="S260" s="34">
        <f t="shared" si="94"/>
        <v>0</v>
      </c>
      <c r="T260" s="34"/>
      <c r="U260" s="34"/>
      <c r="V260" s="34">
        <f t="shared" si="95"/>
        <v>0</v>
      </c>
      <c r="W260" s="34"/>
      <c r="X260" s="34"/>
      <c r="Y260" s="34">
        <f t="shared" si="96"/>
        <v>0</v>
      </c>
      <c r="Z260" s="34"/>
      <c r="AA260" s="34"/>
      <c r="AB260" s="34">
        <f t="shared" si="97"/>
        <v>0</v>
      </c>
    </row>
    <row r="261" spans="1:28" s="28" customFormat="1" x14ac:dyDescent="0.25">
      <c r="A261" s="33" t="s">
        <v>243</v>
      </c>
      <c r="B261" s="34">
        <f t="shared" si="168"/>
        <v>3935</v>
      </c>
      <c r="C261" s="34">
        <f t="shared" si="168"/>
        <v>3935</v>
      </c>
      <c r="D261" s="34">
        <f t="shared" si="168"/>
        <v>0</v>
      </c>
      <c r="E261" s="34"/>
      <c r="F261" s="34"/>
      <c r="G261" s="34">
        <f t="shared" si="177"/>
        <v>0</v>
      </c>
      <c r="H261" s="34"/>
      <c r="I261" s="34"/>
      <c r="J261" s="34">
        <f t="shared" si="91"/>
        <v>0</v>
      </c>
      <c r="K261" s="34">
        <v>3935</v>
      </c>
      <c r="L261" s="34">
        <v>3935</v>
      </c>
      <c r="M261" s="34">
        <f t="shared" si="92"/>
        <v>0</v>
      </c>
      <c r="N261" s="34"/>
      <c r="O261" s="34"/>
      <c r="P261" s="34">
        <f t="shared" si="93"/>
        <v>0</v>
      </c>
      <c r="Q261" s="34"/>
      <c r="R261" s="34"/>
      <c r="S261" s="34">
        <f t="shared" si="94"/>
        <v>0</v>
      </c>
      <c r="T261" s="34"/>
      <c r="U261" s="34"/>
      <c r="V261" s="34">
        <f t="shared" si="95"/>
        <v>0</v>
      </c>
      <c r="W261" s="34"/>
      <c r="X261" s="34"/>
      <c r="Y261" s="34">
        <f t="shared" si="96"/>
        <v>0</v>
      </c>
      <c r="Z261" s="34"/>
      <c r="AA261" s="34"/>
      <c r="AB261" s="34">
        <f t="shared" si="97"/>
        <v>0</v>
      </c>
    </row>
    <row r="262" spans="1:28" s="28" customFormat="1" ht="47.25" x14ac:dyDescent="0.25">
      <c r="A262" s="33" t="s">
        <v>244</v>
      </c>
      <c r="B262" s="34">
        <f t="shared" si="168"/>
        <v>13847</v>
      </c>
      <c r="C262" s="34">
        <f t="shared" si="168"/>
        <v>13847</v>
      </c>
      <c r="D262" s="34">
        <f t="shared" si="168"/>
        <v>0</v>
      </c>
      <c r="E262" s="34"/>
      <c r="F262" s="34"/>
      <c r="G262" s="34">
        <f t="shared" si="177"/>
        <v>0</v>
      </c>
      <c r="H262" s="34"/>
      <c r="I262" s="34"/>
      <c r="J262" s="34">
        <f t="shared" si="91"/>
        <v>0</v>
      </c>
      <c r="K262" s="34">
        <v>13847</v>
      </c>
      <c r="L262" s="34">
        <v>13847</v>
      </c>
      <c r="M262" s="34">
        <f t="shared" si="92"/>
        <v>0</v>
      </c>
      <c r="N262" s="34"/>
      <c r="O262" s="34"/>
      <c r="P262" s="34">
        <f t="shared" si="93"/>
        <v>0</v>
      </c>
      <c r="Q262" s="34"/>
      <c r="R262" s="34"/>
      <c r="S262" s="34">
        <f t="shared" si="94"/>
        <v>0</v>
      </c>
      <c r="T262" s="34"/>
      <c r="U262" s="34"/>
      <c r="V262" s="34">
        <f t="shared" si="95"/>
        <v>0</v>
      </c>
      <c r="W262" s="34"/>
      <c r="X262" s="34"/>
      <c r="Y262" s="34">
        <f t="shared" si="96"/>
        <v>0</v>
      </c>
      <c r="Z262" s="34"/>
      <c r="AA262" s="34"/>
      <c r="AB262" s="34">
        <f t="shared" si="97"/>
        <v>0</v>
      </c>
    </row>
    <row r="263" spans="1:28" s="28" customFormat="1" ht="31.5" x14ac:dyDescent="0.25">
      <c r="A263" s="33" t="s">
        <v>245</v>
      </c>
      <c r="B263" s="34">
        <f t="shared" si="168"/>
        <v>14882</v>
      </c>
      <c r="C263" s="34">
        <f t="shared" si="168"/>
        <v>14882</v>
      </c>
      <c r="D263" s="34">
        <f t="shared" si="168"/>
        <v>0</v>
      </c>
      <c r="E263" s="34"/>
      <c r="F263" s="34"/>
      <c r="G263" s="34">
        <f t="shared" si="177"/>
        <v>0</v>
      </c>
      <c r="H263" s="34"/>
      <c r="I263" s="34"/>
      <c r="J263" s="34">
        <f t="shared" si="91"/>
        <v>0</v>
      </c>
      <c r="K263" s="34">
        <v>14882</v>
      </c>
      <c r="L263" s="34">
        <v>14882</v>
      </c>
      <c r="M263" s="34">
        <f t="shared" si="92"/>
        <v>0</v>
      </c>
      <c r="N263" s="34"/>
      <c r="O263" s="34"/>
      <c r="P263" s="34">
        <f t="shared" si="93"/>
        <v>0</v>
      </c>
      <c r="Q263" s="34"/>
      <c r="R263" s="34"/>
      <c r="S263" s="34">
        <f t="shared" si="94"/>
        <v>0</v>
      </c>
      <c r="T263" s="34"/>
      <c r="U263" s="34"/>
      <c r="V263" s="34">
        <f t="shared" si="95"/>
        <v>0</v>
      </c>
      <c r="W263" s="34"/>
      <c r="X263" s="34"/>
      <c r="Y263" s="34">
        <f t="shared" si="96"/>
        <v>0</v>
      </c>
      <c r="Z263" s="34"/>
      <c r="AA263" s="34"/>
      <c r="AB263" s="34">
        <f t="shared" si="97"/>
        <v>0</v>
      </c>
    </row>
    <row r="264" spans="1:28" s="28" customFormat="1" ht="31.5" x14ac:dyDescent="0.25">
      <c r="A264" s="33" t="s">
        <v>246</v>
      </c>
      <c r="B264" s="34">
        <f t="shared" si="168"/>
        <v>24697</v>
      </c>
      <c r="C264" s="34">
        <f t="shared" si="168"/>
        <v>24697</v>
      </c>
      <c r="D264" s="34">
        <f t="shared" si="168"/>
        <v>0</v>
      </c>
      <c r="E264" s="34"/>
      <c r="F264" s="34"/>
      <c r="G264" s="34">
        <f t="shared" si="177"/>
        <v>0</v>
      </c>
      <c r="H264" s="34"/>
      <c r="I264" s="34"/>
      <c r="J264" s="34">
        <f t="shared" si="91"/>
        <v>0</v>
      </c>
      <c r="K264" s="34"/>
      <c r="L264" s="34"/>
      <c r="M264" s="34">
        <f t="shared" si="92"/>
        <v>0</v>
      </c>
      <c r="N264" s="34"/>
      <c r="O264" s="34"/>
      <c r="P264" s="34">
        <f t="shared" si="93"/>
        <v>0</v>
      </c>
      <c r="Q264" s="34">
        <f>25000-20000+19697</f>
        <v>24697</v>
      </c>
      <c r="R264" s="34">
        <f>25000-20000+19697</f>
        <v>24697</v>
      </c>
      <c r="S264" s="34">
        <f t="shared" si="94"/>
        <v>0</v>
      </c>
      <c r="T264" s="34"/>
      <c r="U264" s="34"/>
      <c r="V264" s="34">
        <f t="shared" si="95"/>
        <v>0</v>
      </c>
      <c r="W264" s="34"/>
      <c r="X264" s="34"/>
      <c r="Y264" s="34">
        <f t="shared" si="96"/>
        <v>0</v>
      </c>
      <c r="Z264" s="34"/>
      <c r="AA264" s="34"/>
      <c r="AB264" s="34">
        <f t="shared" si="97"/>
        <v>0</v>
      </c>
    </row>
    <row r="265" spans="1:28" s="28" customFormat="1" x14ac:dyDescent="0.25">
      <c r="A265" s="26" t="s">
        <v>59</v>
      </c>
      <c r="B265" s="27">
        <f t="shared" si="168"/>
        <v>138182</v>
      </c>
      <c r="C265" s="27">
        <f t="shared" si="168"/>
        <v>140498</v>
      </c>
      <c r="D265" s="27">
        <f t="shared" si="168"/>
        <v>2316</v>
      </c>
      <c r="E265" s="27">
        <f>SUM(E266,E271,E277,E279)</f>
        <v>0</v>
      </c>
      <c r="F265" s="27">
        <f>SUM(F266,F271,F277,F279)</f>
        <v>0</v>
      </c>
      <c r="G265" s="27">
        <f t="shared" si="177"/>
        <v>0</v>
      </c>
      <c r="H265" s="27">
        <f t="shared" ref="H265:I265" si="192">SUM(H266,H271,H277,H279)</f>
        <v>0</v>
      </c>
      <c r="I265" s="27">
        <f t="shared" si="192"/>
        <v>0</v>
      </c>
      <c r="J265" s="27">
        <f t="shared" si="91"/>
        <v>0</v>
      </c>
      <c r="K265" s="27">
        <f t="shared" ref="K265:L265" si="193">SUM(K266,K271,K277,K279)</f>
        <v>0</v>
      </c>
      <c r="L265" s="27">
        <f t="shared" si="193"/>
        <v>0</v>
      </c>
      <c r="M265" s="27">
        <f t="shared" si="92"/>
        <v>0</v>
      </c>
      <c r="N265" s="27">
        <f t="shared" ref="N265:O265" si="194">SUM(N266,N271,N277,N279)</f>
        <v>0</v>
      </c>
      <c r="O265" s="27">
        <f t="shared" si="194"/>
        <v>0</v>
      </c>
      <c r="P265" s="27">
        <f t="shared" si="93"/>
        <v>0</v>
      </c>
      <c r="Q265" s="27">
        <f t="shared" ref="Q265:R265" si="195">SUM(Q266,Q271,Q277,Q279)</f>
        <v>138182</v>
      </c>
      <c r="R265" s="27">
        <f t="shared" si="195"/>
        <v>140498</v>
      </c>
      <c r="S265" s="27">
        <f t="shared" si="94"/>
        <v>2316</v>
      </c>
      <c r="T265" s="27">
        <f t="shared" ref="T265:U265" si="196">SUM(T266,T271,T277,T279)</f>
        <v>0</v>
      </c>
      <c r="U265" s="27">
        <f t="shared" si="196"/>
        <v>0</v>
      </c>
      <c r="V265" s="27">
        <f t="shared" si="95"/>
        <v>0</v>
      </c>
      <c r="W265" s="27">
        <f t="shared" ref="W265:X265" si="197">SUM(W266,W271,W277,W279)</f>
        <v>0</v>
      </c>
      <c r="X265" s="27">
        <f t="shared" si="197"/>
        <v>0</v>
      </c>
      <c r="Y265" s="27">
        <f t="shared" si="96"/>
        <v>0</v>
      </c>
      <c r="Z265" s="27">
        <f t="shared" ref="Z265:AA265" si="198">SUM(Z266,Z271,Z277,Z279)</f>
        <v>0</v>
      </c>
      <c r="AA265" s="27">
        <f t="shared" si="198"/>
        <v>0</v>
      </c>
      <c r="AB265" s="27">
        <f t="shared" si="97"/>
        <v>0</v>
      </c>
    </row>
    <row r="266" spans="1:28" s="28" customFormat="1" x14ac:dyDescent="0.25">
      <c r="A266" s="26" t="s">
        <v>169</v>
      </c>
      <c r="B266" s="27">
        <f t="shared" si="168"/>
        <v>11336</v>
      </c>
      <c r="C266" s="27">
        <f t="shared" si="168"/>
        <v>11798</v>
      </c>
      <c r="D266" s="27">
        <f t="shared" si="168"/>
        <v>462</v>
      </c>
      <c r="E266" s="27">
        <f>SUM(E267:E270)</f>
        <v>0</v>
      </c>
      <c r="F266" s="27">
        <f>SUM(F267:F270)</f>
        <v>0</v>
      </c>
      <c r="G266" s="27">
        <f t="shared" si="177"/>
        <v>0</v>
      </c>
      <c r="H266" s="27">
        <f t="shared" ref="H266:I266" si="199">SUM(H267:H270)</f>
        <v>0</v>
      </c>
      <c r="I266" s="27">
        <f t="shared" si="199"/>
        <v>0</v>
      </c>
      <c r="J266" s="27">
        <f t="shared" si="91"/>
        <v>0</v>
      </c>
      <c r="K266" s="27">
        <f t="shared" ref="K266:L266" si="200">SUM(K267:K270)</f>
        <v>0</v>
      </c>
      <c r="L266" s="27">
        <f t="shared" si="200"/>
        <v>0</v>
      </c>
      <c r="M266" s="27">
        <f t="shared" si="92"/>
        <v>0</v>
      </c>
      <c r="N266" s="27">
        <f t="shared" ref="N266:O266" si="201">SUM(N267:N270)</f>
        <v>0</v>
      </c>
      <c r="O266" s="27">
        <f t="shared" si="201"/>
        <v>0</v>
      </c>
      <c r="P266" s="27">
        <f t="shared" si="93"/>
        <v>0</v>
      </c>
      <c r="Q266" s="27">
        <f t="shared" ref="Q266:R266" si="202">SUM(Q267:Q270)</f>
        <v>11336</v>
      </c>
      <c r="R266" s="27">
        <f t="shared" si="202"/>
        <v>11798</v>
      </c>
      <c r="S266" s="27">
        <f t="shared" si="94"/>
        <v>462</v>
      </c>
      <c r="T266" s="27">
        <f t="shared" ref="T266:U266" si="203">SUM(T267:T270)</f>
        <v>0</v>
      </c>
      <c r="U266" s="27">
        <f t="shared" si="203"/>
        <v>0</v>
      </c>
      <c r="V266" s="27">
        <f t="shared" si="95"/>
        <v>0</v>
      </c>
      <c r="W266" s="27">
        <f t="shared" ref="W266:X266" si="204">SUM(W267:W270)</f>
        <v>0</v>
      </c>
      <c r="X266" s="27">
        <f t="shared" si="204"/>
        <v>0</v>
      </c>
      <c r="Y266" s="27">
        <f t="shared" si="96"/>
        <v>0</v>
      </c>
      <c r="Z266" s="27">
        <f t="shared" ref="Z266:AA266" si="205">SUM(Z267:Z270)</f>
        <v>0</v>
      </c>
      <c r="AA266" s="27">
        <f t="shared" si="205"/>
        <v>0</v>
      </c>
      <c r="AB266" s="27">
        <f t="shared" si="97"/>
        <v>0</v>
      </c>
    </row>
    <row r="267" spans="1:28" s="28" customFormat="1" x14ac:dyDescent="0.25">
      <c r="A267" s="33" t="s">
        <v>247</v>
      </c>
      <c r="B267" s="34">
        <f t="shared" si="168"/>
        <v>1944</v>
      </c>
      <c r="C267" s="34">
        <f t="shared" si="168"/>
        <v>1944</v>
      </c>
      <c r="D267" s="34">
        <f t="shared" si="168"/>
        <v>0</v>
      </c>
      <c r="E267" s="34"/>
      <c r="F267" s="34"/>
      <c r="G267" s="34">
        <f t="shared" si="177"/>
        <v>0</v>
      </c>
      <c r="H267" s="34"/>
      <c r="I267" s="34"/>
      <c r="J267" s="34">
        <f t="shared" si="91"/>
        <v>0</v>
      </c>
      <c r="K267" s="34"/>
      <c r="L267" s="34"/>
      <c r="M267" s="34">
        <f t="shared" si="92"/>
        <v>0</v>
      </c>
      <c r="N267" s="34"/>
      <c r="O267" s="34"/>
      <c r="P267" s="34">
        <f t="shared" si="93"/>
        <v>0</v>
      </c>
      <c r="Q267" s="34">
        <v>1944</v>
      </c>
      <c r="R267" s="34">
        <v>1944</v>
      </c>
      <c r="S267" s="34">
        <f t="shared" si="94"/>
        <v>0</v>
      </c>
      <c r="T267" s="34"/>
      <c r="U267" s="34"/>
      <c r="V267" s="34">
        <f t="shared" si="95"/>
        <v>0</v>
      </c>
      <c r="W267" s="34"/>
      <c r="X267" s="34"/>
      <c r="Y267" s="34">
        <f t="shared" si="96"/>
        <v>0</v>
      </c>
      <c r="Z267" s="34"/>
      <c r="AA267" s="34"/>
      <c r="AB267" s="34">
        <f t="shared" si="97"/>
        <v>0</v>
      </c>
    </row>
    <row r="268" spans="1:28" s="28" customFormat="1" x14ac:dyDescent="0.25">
      <c r="A268" s="33" t="s">
        <v>248</v>
      </c>
      <c r="B268" s="34">
        <f t="shared" si="168"/>
        <v>1198</v>
      </c>
      <c r="C268" s="34">
        <f t="shared" si="168"/>
        <v>1660</v>
      </c>
      <c r="D268" s="34">
        <f t="shared" si="168"/>
        <v>462</v>
      </c>
      <c r="E268" s="34"/>
      <c r="F268" s="34"/>
      <c r="G268" s="34">
        <f t="shared" si="177"/>
        <v>0</v>
      </c>
      <c r="H268" s="34"/>
      <c r="I268" s="34"/>
      <c r="J268" s="34">
        <f t="shared" si="91"/>
        <v>0</v>
      </c>
      <c r="K268" s="34"/>
      <c r="L268" s="34"/>
      <c r="M268" s="34">
        <f t="shared" si="92"/>
        <v>0</v>
      </c>
      <c r="N268" s="34"/>
      <c r="O268" s="34"/>
      <c r="P268" s="34">
        <f t="shared" si="93"/>
        <v>0</v>
      </c>
      <c r="Q268" s="34">
        <v>1198</v>
      </c>
      <c r="R268" s="34">
        <f>1198+462</f>
        <v>1660</v>
      </c>
      <c r="S268" s="34">
        <f t="shared" si="94"/>
        <v>462</v>
      </c>
      <c r="T268" s="34"/>
      <c r="U268" s="34"/>
      <c r="V268" s="34">
        <f t="shared" si="95"/>
        <v>0</v>
      </c>
      <c r="W268" s="34"/>
      <c r="X268" s="34"/>
      <c r="Y268" s="34">
        <f t="shared" si="96"/>
        <v>0</v>
      </c>
      <c r="Z268" s="34"/>
      <c r="AA268" s="34"/>
      <c r="AB268" s="34">
        <f t="shared" si="97"/>
        <v>0</v>
      </c>
    </row>
    <row r="269" spans="1:28" s="28" customFormat="1" x14ac:dyDescent="0.25">
      <c r="A269" s="33" t="s">
        <v>249</v>
      </c>
      <c r="B269" s="34">
        <f t="shared" si="168"/>
        <v>1500</v>
      </c>
      <c r="C269" s="34">
        <f t="shared" si="168"/>
        <v>1500</v>
      </c>
      <c r="D269" s="34">
        <f t="shared" si="168"/>
        <v>0</v>
      </c>
      <c r="E269" s="34"/>
      <c r="F269" s="34"/>
      <c r="G269" s="34">
        <f t="shared" si="177"/>
        <v>0</v>
      </c>
      <c r="H269" s="34"/>
      <c r="I269" s="34"/>
      <c r="J269" s="34">
        <f t="shared" si="91"/>
        <v>0</v>
      </c>
      <c r="K269" s="34"/>
      <c r="L269" s="34"/>
      <c r="M269" s="34">
        <f t="shared" si="92"/>
        <v>0</v>
      </c>
      <c r="N269" s="34"/>
      <c r="O269" s="34"/>
      <c r="P269" s="34">
        <f t="shared" si="93"/>
        <v>0</v>
      </c>
      <c r="Q269" s="34">
        <v>1500</v>
      </c>
      <c r="R269" s="34">
        <v>1500</v>
      </c>
      <c r="S269" s="34">
        <f t="shared" si="94"/>
        <v>0</v>
      </c>
      <c r="T269" s="34"/>
      <c r="U269" s="34"/>
      <c r="V269" s="34">
        <f t="shared" si="95"/>
        <v>0</v>
      </c>
      <c r="W269" s="34"/>
      <c r="X269" s="34"/>
      <c r="Y269" s="34">
        <f t="shared" si="96"/>
        <v>0</v>
      </c>
      <c r="Z269" s="34"/>
      <c r="AA269" s="34"/>
      <c r="AB269" s="34">
        <f t="shared" si="97"/>
        <v>0</v>
      </c>
    </row>
    <row r="270" spans="1:28" s="28" customFormat="1" x14ac:dyDescent="0.25">
      <c r="A270" s="33" t="s">
        <v>250</v>
      </c>
      <c r="B270" s="34">
        <f t="shared" si="168"/>
        <v>6694</v>
      </c>
      <c r="C270" s="34">
        <f t="shared" si="168"/>
        <v>6694</v>
      </c>
      <c r="D270" s="34">
        <f t="shared" si="168"/>
        <v>0</v>
      </c>
      <c r="E270" s="34"/>
      <c r="F270" s="34"/>
      <c r="G270" s="34">
        <f t="shared" si="177"/>
        <v>0</v>
      </c>
      <c r="H270" s="34"/>
      <c r="I270" s="34"/>
      <c r="J270" s="34">
        <f t="shared" si="91"/>
        <v>0</v>
      </c>
      <c r="K270" s="34"/>
      <c r="L270" s="34"/>
      <c r="M270" s="34">
        <f t="shared" si="92"/>
        <v>0</v>
      </c>
      <c r="N270" s="34"/>
      <c r="O270" s="34"/>
      <c r="P270" s="34">
        <f t="shared" si="93"/>
        <v>0</v>
      </c>
      <c r="Q270" s="34">
        <f>6642+52</f>
        <v>6694</v>
      </c>
      <c r="R270" s="34">
        <f>6642+52</f>
        <v>6694</v>
      </c>
      <c r="S270" s="34">
        <f t="shared" si="94"/>
        <v>0</v>
      </c>
      <c r="T270" s="34"/>
      <c r="U270" s="34"/>
      <c r="V270" s="34">
        <f t="shared" si="95"/>
        <v>0</v>
      </c>
      <c r="W270" s="34"/>
      <c r="X270" s="34"/>
      <c r="Y270" s="34">
        <f t="shared" si="96"/>
        <v>0</v>
      </c>
      <c r="Z270" s="34"/>
      <c r="AA270" s="34"/>
      <c r="AB270" s="34">
        <f t="shared" si="97"/>
        <v>0</v>
      </c>
    </row>
    <row r="271" spans="1:28" s="28" customFormat="1" ht="31.5" x14ac:dyDescent="0.25">
      <c r="A271" s="26" t="s">
        <v>178</v>
      </c>
      <c r="B271" s="27">
        <f t="shared" si="168"/>
        <v>55524</v>
      </c>
      <c r="C271" s="27">
        <f t="shared" si="168"/>
        <v>55524</v>
      </c>
      <c r="D271" s="27">
        <f t="shared" si="168"/>
        <v>0</v>
      </c>
      <c r="E271" s="27">
        <f>SUM(E272:E276)</f>
        <v>0</v>
      </c>
      <c r="F271" s="27">
        <f>SUM(F272:F276)</f>
        <v>0</v>
      </c>
      <c r="G271" s="27">
        <f t="shared" si="177"/>
        <v>0</v>
      </c>
      <c r="H271" s="27">
        <f t="shared" ref="H271:I271" si="206">SUM(H272:H276)</f>
        <v>0</v>
      </c>
      <c r="I271" s="27">
        <f t="shared" si="206"/>
        <v>0</v>
      </c>
      <c r="J271" s="27">
        <f t="shared" si="91"/>
        <v>0</v>
      </c>
      <c r="K271" s="27">
        <f t="shared" ref="K271:L271" si="207">SUM(K272:K276)</f>
        <v>0</v>
      </c>
      <c r="L271" s="27">
        <f t="shared" si="207"/>
        <v>0</v>
      </c>
      <c r="M271" s="27">
        <f t="shared" si="92"/>
        <v>0</v>
      </c>
      <c r="N271" s="27">
        <f t="shared" ref="N271:O271" si="208">SUM(N272:N276)</f>
        <v>0</v>
      </c>
      <c r="O271" s="27">
        <f t="shared" si="208"/>
        <v>0</v>
      </c>
      <c r="P271" s="27">
        <f t="shared" si="93"/>
        <v>0</v>
      </c>
      <c r="Q271" s="27">
        <f t="shared" ref="Q271:R271" si="209">SUM(Q272:Q276)</f>
        <v>55524</v>
      </c>
      <c r="R271" s="27">
        <f t="shared" si="209"/>
        <v>55524</v>
      </c>
      <c r="S271" s="27">
        <f t="shared" si="94"/>
        <v>0</v>
      </c>
      <c r="T271" s="27">
        <f t="shared" ref="T271:U271" si="210">SUM(T272:T276)</f>
        <v>0</v>
      </c>
      <c r="U271" s="27">
        <f t="shared" si="210"/>
        <v>0</v>
      </c>
      <c r="V271" s="27">
        <f t="shared" si="95"/>
        <v>0</v>
      </c>
      <c r="W271" s="27">
        <f t="shared" ref="W271:X271" si="211">SUM(W272:W276)</f>
        <v>0</v>
      </c>
      <c r="X271" s="27">
        <f t="shared" si="211"/>
        <v>0</v>
      </c>
      <c r="Y271" s="27">
        <f t="shared" si="96"/>
        <v>0</v>
      </c>
      <c r="Z271" s="27">
        <f t="shared" ref="Z271:AA271" si="212">SUM(Z272:Z276)</f>
        <v>0</v>
      </c>
      <c r="AA271" s="27">
        <f t="shared" si="212"/>
        <v>0</v>
      </c>
      <c r="AB271" s="27">
        <f t="shared" si="97"/>
        <v>0</v>
      </c>
    </row>
    <row r="272" spans="1:28" s="28" customFormat="1" ht="31.5" x14ac:dyDescent="0.25">
      <c r="A272" s="33" t="s">
        <v>251</v>
      </c>
      <c r="B272" s="34">
        <f t="shared" si="168"/>
        <v>4434</v>
      </c>
      <c r="C272" s="34">
        <f t="shared" si="168"/>
        <v>4434</v>
      </c>
      <c r="D272" s="34">
        <f t="shared" si="168"/>
        <v>0</v>
      </c>
      <c r="E272" s="34"/>
      <c r="F272" s="34"/>
      <c r="G272" s="34">
        <f t="shared" si="177"/>
        <v>0</v>
      </c>
      <c r="H272" s="34"/>
      <c r="I272" s="34"/>
      <c r="J272" s="34">
        <f t="shared" si="91"/>
        <v>0</v>
      </c>
      <c r="K272" s="34"/>
      <c r="L272" s="34"/>
      <c r="M272" s="34">
        <f t="shared" si="92"/>
        <v>0</v>
      </c>
      <c r="N272" s="34"/>
      <c r="O272" s="34"/>
      <c r="P272" s="34">
        <f t="shared" si="93"/>
        <v>0</v>
      </c>
      <c r="Q272" s="34">
        <f>1065+3369</f>
        <v>4434</v>
      </c>
      <c r="R272" s="34">
        <f>1065+3369</f>
        <v>4434</v>
      </c>
      <c r="S272" s="34">
        <f t="shared" si="94"/>
        <v>0</v>
      </c>
      <c r="T272" s="34"/>
      <c r="U272" s="34"/>
      <c r="V272" s="34">
        <f t="shared" si="95"/>
        <v>0</v>
      </c>
      <c r="W272" s="34"/>
      <c r="X272" s="34"/>
      <c r="Y272" s="34">
        <f t="shared" si="96"/>
        <v>0</v>
      </c>
      <c r="Z272" s="34"/>
      <c r="AA272" s="34"/>
      <c r="AB272" s="34">
        <f t="shared" si="97"/>
        <v>0</v>
      </c>
    </row>
    <row r="273" spans="1:189" s="28" customFormat="1" ht="31.5" x14ac:dyDescent="0.25">
      <c r="A273" s="33" t="s">
        <v>252</v>
      </c>
      <c r="B273" s="34">
        <f t="shared" si="168"/>
        <v>23310</v>
      </c>
      <c r="C273" s="34">
        <f t="shared" si="168"/>
        <v>23310</v>
      </c>
      <c r="D273" s="34">
        <f t="shared" si="168"/>
        <v>0</v>
      </c>
      <c r="E273" s="34"/>
      <c r="F273" s="34"/>
      <c r="G273" s="34">
        <f t="shared" si="177"/>
        <v>0</v>
      </c>
      <c r="H273" s="34"/>
      <c r="I273" s="34"/>
      <c r="J273" s="34">
        <f t="shared" si="91"/>
        <v>0</v>
      </c>
      <c r="K273" s="34"/>
      <c r="L273" s="34"/>
      <c r="M273" s="34">
        <f t="shared" si="92"/>
        <v>0</v>
      </c>
      <c r="N273" s="34"/>
      <c r="O273" s="34"/>
      <c r="P273" s="34">
        <f t="shared" si="93"/>
        <v>0</v>
      </c>
      <c r="Q273" s="34">
        <v>23310</v>
      </c>
      <c r="R273" s="34">
        <v>23310</v>
      </c>
      <c r="S273" s="34">
        <f t="shared" si="94"/>
        <v>0</v>
      </c>
      <c r="T273" s="34"/>
      <c r="U273" s="34"/>
      <c r="V273" s="34">
        <f t="shared" si="95"/>
        <v>0</v>
      </c>
      <c r="W273" s="34"/>
      <c r="X273" s="34"/>
      <c r="Y273" s="34">
        <f t="shared" si="96"/>
        <v>0</v>
      </c>
      <c r="Z273" s="34"/>
      <c r="AA273" s="34"/>
      <c r="AB273" s="34">
        <f t="shared" si="97"/>
        <v>0</v>
      </c>
    </row>
    <row r="274" spans="1:189" s="28" customFormat="1" ht="31.5" x14ac:dyDescent="0.25">
      <c r="A274" s="33" t="s">
        <v>253</v>
      </c>
      <c r="B274" s="34">
        <f t="shared" si="168"/>
        <v>6600</v>
      </c>
      <c r="C274" s="34">
        <f t="shared" si="168"/>
        <v>6600</v>
      </c>
      <c r="D274" s="34">
        <f t="shared" si="168"/>
        <v>0</v>
      </c>
      <c r="E274" s="34"/>
      <c r="F274" s="34"/>
      <c r="G274" s="34">
        <f t="shared" si="177"/>
        <v>0</v>
      </c>
      <c r="H274" s="34"/>
      <c r="I274" s="34"/>
      <c r="J274" s="34">
        <f t="shared" si="91"/>
        <v>0</v>
      </c>
      <c r="K274" s="34"/>
      <c r="L274" s="34"/>
      <c r="M274" s="34">
        <f t="shared" si="92"/>
        <v>0</v>
      </c>
      <c r="N274" s="34"/>
      <c r="O274" s="34"/>
      <c r="P274" s="34">
        <f t="shared" si="93"/>
        <v>0</v>
      </c>
      <c r="Q274" s="34">
        <v>6600</v>
      </c>
      <c r="R274" s="34">
        <v>6600</v>
      </c>
      <c r="S274" s="34">
        <f t="shared" si="94"/>
        <v>0</v>
      </c>
      <c r="T274" s="34"/>
      <c r="U274" s="34"/>
      <c r="V274" s="34">
        <f t="shared" si="95"/>
        <v>0</v>
      </c>
      <c r="W274" s="34"/>
      <c r="X274" s="34"/>
      <c r="Y274" s="34">
        <f t="shared" si="96"/>
        <v>0</v>
      </c>
      <c r="Z274" s="34"/>
      <c r="AA274" s="34"/>
      <c r="AB274" s="34">
        <f t="shared" si="97"/>
        <v>0</v>
      </c>
    </row>
    <row r="275" spans="1:189" s="28" customFormat="1" x14ac:dyDescent="0.25">
      <c r="A275" s="33" t="s">
        <v>254</v>
      </c>
      <c r="B275" s="34">
        <f t="shared" si="168"/>
        <v>6499</v>
      </c>
      <c r="C275" s="34">
        <f t="shared" si="168"/>
        <v>6499</v>
      </c>
      <c r="D275" s="34">
        <f t="shared" si="168"/>
        <v>0</v>
      </c>
      <c r="E275" s="34"/>
      <c r="F275" s="34"/>
      <c r="G275" s="34">
        <f t="shared" si="177"/>
        <v>0</v>
      </c>
      <c r="H275" s="34"/>
      <c r="I275" s="34"/>
      <c r="J275" s="34">
        <f t="shared" si="91"/>
        <v>0</v>
      </c>
      <c r="K275" s="34"/>
      <c r="L275" s="34"/>
      <c r="M275" s="34">
        <f t="shared" si="92"/>
        <v>0</v>
      </c>
      <c r="N275" s="34"/>
      <c r="O275" s="34"/>
      <c r="P275" s="34">
        <f t="shared" si="93"/>
        <v>0</v>
      </c>
      <c r="Q275" s="34">
        <v>6499</v>
      </c>
      <c r="R275" s="34">
        <v>6499</v>
      </c>
      <c r="S275" s="34">
        <f t="shared" si="94"/>
        <v>0</v>
      </c>
      <c r="T275" s="34"/>
      <c r="U275" s="34"/>
      <c r="V275" s="34">
        <f t="shared" si="95"/>
        <v>0</v>
      </c>
      <c r="W275" s="34"/>
      <c r="X275" s="34"/>
      <c r="Y275" s="34">
        <f t="shared" si="96"/>
        <v>0</v>
      </c>
      <c r="Z275" s="34"/>
      <c r="AA275" s="34"/>
      <c r="AB275" s="34">
        <f t="shared" si="97"/>
        <v>0</v>
      </c>
    </row>
    <row r="276" spans="1:189" s="28" customFormat="1" x14ac:dyDescent="0.25">
      <c r="A276" s="33" t="s">
        <v>255</v>
      </c>
      <c r="B276" s="34">
        <f t="shared" si="168"/>
        <v>14681</v>
      </c>
      <c r="C276" s="34">
        <f t="shared" si="168"/>
        <v>14681</v>
      </c>
      <c r="D276" s="34">
        <f t="shared" si="168"/>
        <v>0</v>
      </c>
      <c r="E276" s="34"/>
      <c r="F276" s="34"/>
      <c r="G276" s="34">
        <f t="shared" si="177"/>
        <v>0</v>
      </c>
      <c r="H276" s="34"/>
      <c r="I276" s="34"/>
      <c r="J276" s="34">
        <f t="shared" si="91"/>
        <v>0</v>
      </c>
      <c r="K276" s="34"/>
      <c r="L276" s="34"/>
      <c r="M276" s="34">
        <f t="shared" si="92"/>
        <v>0</v>
      </c>
      <c r="N276" s="34"/>
      <c r="O276" s="34"/>
      <c r="P276" s="34">
        <f t="shared" si="93"/>
        <v>0</v>
      </c>
      <c r="Q276" s="34">
        <v>14681</v>
      </c>
      <c r="R276" s="34">
        <v>14681</v>
      </c>
      <c r="S276" s="34">
        <f t="shared" si="94"/>
        <v>0</v>
      </c>
      <c r="T276" s="34"/>
      <c r="U276" s="34"/>
      <c r="V276" s="34">
        <f t="shared" si="95"/>
        <v>0</v>
      </c>
      <c r="W276" s="34"/>
      <c r="X276" s="34"/>
      <c r="Y276" s="34">
        <f t="shared" si="96"/>
        <v>0</v>
      </c>
      <c r="Z276" s="34"/>
      <c r="AA276" s="34"/>
      <c r="AB276" s="34">
        <f t="shared" si="97"/>
        <v>0</v>
      </c>
    </row>
    <row r="277" spans="1:189" s="28" customFormat="1" x14ac:dyDescent="0.25">
      <c r="A277" s="26" t="s">
        <v>182</v>
      </c>
      <c r="B277" s="27">
        <f t="shared" si="168"/>
        <v>40000</v>
      </c>
      <c r="C277" s="27">
        <f t="shared" si="168"/>
        <v>40000</v>
      </c>
      <c r="D277" s="27">
        <f t="shared" si="168"/>
        <v>0</v>
      </c>
      <c r="E277" s="27">
        <f t="shared" ref="E277:AA277" si="213">SUM(E278)</f>
        <v>0</v>
      </c>
      <c r="F277" s="27">
        <f t="shared" si="213"/>
        <v>0</v>
      </c>
      <c r="G277" s="27">
        <f t="shared" si="177"/>
        <v>0</v>
      </c>
      <c r="H277" s="27">
        <f t="shared" si="213"/>
        <v>0</v>
      </c>
      <c r="I277" s="27">
        <f t="shared" si="213"/>
        <v>0</v>
      </c>
      <c r="J277" s="27">
        <f t="shared" si="91"/>
        <v>0</v>
      </c>
      <c r="K277" s="27">
        <f t="shared" si="213"/>
        <v>0</v>
      </c>
      <c r="L277" s="27">
        <f t="shared" si="213"/>
        <v>0</v>
      </c>
      <c r="M277" s="27">
        <f t="shared" si="92"/>
        <v>0</v>
      </c>
      <c r="N277" s="27">
        <f t="shared" si="213"/>
        <v>0</v>
      </c>
      <c r="O277" s="27">
        <f t="shared" si="213"/>
        <v>0</v>
      </c>
      <c r="P277" s="27">
        <f t="shared" si="93"/>
        <v>0</v>
      </c>
      <c r="Q277" s="27">
        <f t="shared" si="213"/>
        <v>40000</v>
      </c>
      <c r="R277" s="27">
        <f t="shared" si="213"/>
        <v>40000</v>
      </c>
      <c r="S277" s="27">
        <f t="shared" si="94"/>
        <v>0</v>
      </c>
      <c r="T277" s="27">
        <f t="shared" si="213"/>
        <v>0</v>
      </c>
      <c r="U277" s="27">
        <f t="shared" si="213"/>
        <v>0</v>
      </c>
      <c r="V277" s="27">
        <f t="shared" si="95"/>
        <v>0</v>
      </c>
      <c r="W277" s="27">
        <f t="shared" si="213"/>
        <v>0</v>
      </c>
      <c r="X277" s="27">
        <f t="shared" si="213"/>
        <v>0</v>
      </c>
      <c r="Y277" s="27">
        <f t="shared" si="96"/>
        <v>0</v>
      </c>
      <c r="Z277" s="27">
        <f t="shared" si="213"/>
        <v>0</v>
      </c>
      <c r="AA277" s="27">
        <f t="shared" si="213"/>
        <v>0</v>
      </c>
      <c r="AB277" s="27">
        <f t="shared" si="97"/>
        <v>0</v>
      </c>
    </row>
    <row r="278" spans="1:189" s="25" customFormat="1" x14ac:dyDescent="0.25">
      <c r="A278" s="38" t="s">
        <v>256</v>
      </c>
      <c r="B278" s="34">
        <f t="shared" si="168"/>
        <v>40000</v>
      </c>
      <c r="C278" s="34">
        <f t="shared" si="168"/>
        <v>40000</v>
      </c>
      <c r="D278" s="34">
        <f t="shared" si="168"/>
        <v>0</v>
      </c>
      <c r="E278" s="34"/>
      <c r="F278" s="34"/>
      <c r="G278" s="34">
        <f t="shared" si="177"/>
        <v>0</v>
      </c>
      <c r="H278" s="34"/>
      <c r="I278" s="34"/>
      <c r="J278" s="34">
        <f t="shared" si="91"/>
        <v>0</v>
      </c>
      <c r="K278" s="34"/>
      <c r="L278" s="34"/>
      <c r="M278" s="34">
        <f t="shared" si="92"/>
        <v>0</v>
      </c>
      <c r="N278" s="34"/>
      <c r="O278" s="34"/>
      <c r="P278" s="34">
        <f t="shared" si="93"/>
        <v>0</v>
      </c>
      <c r="Q278" s="34">
        <v>40000</v>
      </c>
      <c r="R278" s="34">
        <v>40000</v>
      </c>
      <c r="S278" s="34">
        <f t="shared" si="94"/>
        <v>0</v>
      </c>
      <c r="T278" s="34"/>
      <c r="U278" s="34"/>
      <c r="V278" s="34">
        <f t="shared" si="95"/>
        <v>0</v>
      </c>
      <c r="W278" s="34"/>
      <c r="X278" s="34"/>
      <c r="Y278" s="34">
        <f t="shared" si="96"/>
        <v>0</v>
      </c>
      <c r="Z278" s="34"/>
      <c r="AA278" s="34"/>
      <c r="AB278" s="34">
        <f t="shared" si="97"/>
        <v>0</v>
      </c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8"/>
      <c r="BA278" s="28"/>
      <c r="BB278" s="28"/>
      <c r="BC278" s="28"/>
      <c r="BD278" s="28"/>
      <c r="BE278" s="28"/>
      <c r="BF278" s="28"/>
      <c r="BG278" s="28"/>
      <c r="BH278" s="28"/>
      <c r="BI278" s="28"/>
      <c r="BJ278" s="28"/>
      <c r="BK278" s="28"/>
      <c r="BL278" s="28"/>
      <c r="BM278" s="28"/>
      <c r="BN278" s="28"/>
      <c r="BO278" s="28"/>
      <c r="BP278" s="28"/>
      <c r="BQ278" s="28"/>
      <c r="BR278" s="28"/>
      <c r="BS278" s="28"/>
      <c r="BT278" s="28"/>
      <c r="BU278" s="28"/>
      <c r="BV278" s="28"/>
      <c r="BW278" s="28"/>
      <c r="BX278" s="28"/>
      <c r="BY278" s="28"/>
      <c r="BZ278" s="28"/>
      <c r="CA278" s="28"/>
      <c r="CB278" s="28"/>
      <c r="CC278" s="28"/>
      <c r="CD278" s="28"/>
      <c r="CE278" s="28"/>
      <c r="CF278" s="28"/>
      <c r="CG278" s="28"/>
      <c r="CH278" s="28"/>
      <c r="CI278" s="28"/>
      <c r="CJ278" s="28"/>
      <c r="CK278" s="28"/>
      <c r="CL278" s="28"/>
      <c r="CM278" s="28"/>
      <c r="CN278" s="28"/>
      <c r="CO278" s="28"/>
      <c r="CP278" s="28"/>
      <c r="CQ278" s="28"/>
      <c r="CR278" s="28"/>
      <c r="CS278" s="28"/>
      <c r="CT278" s="28"/>
      <c r="CU278" s="28"/>
      <c r="CV278" s="28"/>
      <c r="CW278" s="28"/>
      <c r="CX278" s="28"/>
      <c r="CY278" s="28"/>
      <c r="CZ278" s="28"/>
      <c r="DA278" s="28"/>
      <c r="DB278" s="28"/>
      <c r="DC278" s="28"/>
      <c r="DD278" s="28"/>
      <c r="DE278" s="28"/>
      <c r="DF278" s="28"/>
      <c r="DG278" s="28"/>
      <c r="DH278" s="28"/>
      <c r="DI278" s="28"/>
      <c r="DJ278" s="28"/>
      <c r="DK278" s="28"/>
      <c r="DL278" s="28"/>
      <c r="DM278" s="28"/>
      <c r="DN278" s="28"/>
      <c r="DO278" s="28"/>
      <c r="DP278" s="28"/>
      <c r="DQ278" s="28"/>
      <c r="DR278" s="28"/>
      <c r="DS278" s="28"/>
      <c r="DT278" s="28"/>
      <c r="DU278" s="28"/>
      <c r="DV278" s="28"/>
      <c r="DW278" s="28"/>
      <c r="DX278" s="28"/>
      <c r="DY278" s="28"/>
      <c r="DZ278" s="28"/>
      <c r="EA278" s="28"/>
      <c r="EB278" s="28"/>
      <c r="EC278" s="28"/>
      <c r="ED278" s="28"/>
      <c r="EE278" s="28"/>
      <c r="EF278" s="28"/>
      <c r="EG278" s="28"/>
      <c r="EH278" s="28"/>
      <c r="EI278" s="28"/>
      <c r="EJ278" s="28"/>
      <c r="EK278" s="28"/>
      <c r="EL278" s="28"/>
      <c r="EM278" s="28"/>
      <c r="EN278" s="28"/>
      <c r="EO278" s="28"/>
      <c r="EP278" s="28"/>
      <c r="EQ278" s="28"/>
      <c r="ER278" s="28"/>
      <c r="ES278" s="28"/>
      <c r="ET278" s="28"/>
      <c r="EU278" s="28"/>
      <c r="EV278" s="28"/>
      <c r="EW278" s="28"/>
      <c r="EX278" s="28"/>
      <c r="EY278" s="28"/>
      <c r="EZ278" s="28"/>
      <c r="FA278" s="28"/>
      <c r="FB278" s="28"/>
      <c r="FC278" s="28"/>
      <c r="FD278" s="28"/>
      <c r="FE278" s="28"/>
      <c r="FF278" s="28"/>
      <c r="FG278" s="28"/>
      <c r="FH278" s="28"/>
      <c r="FI278" s="28"/>
      <c r="FJ278" s="28"/>
      <c r="FK278" s="28"/>
      <c r="FL278" s="28"/>
      <c r="FM278" s="28"/>
      <c r="FN278" s="28"/>
      <c r="FO278" s="28"/>
      <c r="FP278" s="28"/>
      <c r="FQ278" s="28"/>
      <c r="FR278" s="28"/>
      <c r="FS278" s="28"/>
      <c r="FT278" s="28"/>
      <c r="FU278" s="28"/>
      <c r="FV278" s="28"/>
      <c r="FW278" s="28"/>
      <c r="FX278" s="28"/>
      <c r="FY278" s="28"/>
      <c r="FZ278" s="28"/>
      <c r="GA278" s="28"/>
      <c r="GB278" s="28"/>
      <c r="GC278" s="28"/>
      <c r="GD278" s="28"/>
      <c r="GE278" s="28"/>
      <c r="GF278" s="28"/>
      <c r="GG278" s="28"/>
    </row>
    <row r="279" spans="1:189" s="28" customFormat="1" x14ac:dyDescent="0.25">
      <c r="A279" s="26" t="s">
        <v>184</v>
      </c>
      <c r="B279" s="27">
        <f t="shared" si="168"/>
        <v>31322</v>
      </c>
      <c r="C279" s="27">
        <f t="shared" si="168"/>
        <v>33176</v>
      </c>
      <c r="D279" s="27">
        <f>G279+J279+M279+P279+S279+V279+AB279+Y279</f>
        <v>1854</v>
      </c>
      <c r="E279" s="27">
        <f>SUM(E280:E283)</f>
        <v>0</v>
      </c>
      <c r="F279" s="27">
        <f>SUM(F280:F283)</f>
        <v>0</v>
      </c>
      <c r="G279" s="27">
        <f t="shared" si="177"/>
        <v>0</v>
      </c>
      <c r="H279" s="27">
        <f>SUM(H280:H283)</f>
        <v>0</v>
      </c>
      <c r="I279" s="27">
        <f>SUM(I280:I283)</f>
        <v>0</v>
      </c>
      <c r="J279" s="27">
        <f t="shared" si="91"/>
        <v>0</v>
      </c>
      <c r="K279" s="27">
        <f>SUM(K280:K283)</f>
        <v>0</v>
      </c>
      <c r="L279" s="27">
        <f>SUM(L280:L283)</f>
        <v>0</v>
      </c>
      <c r="M279" s="27">
        <f t="shared" si="92"/>
        <v>0</v>
      </c>
      <c r="N279" s="27">
        <f>SUM(N280:N283)</f>
        <v>0</v>
      </c>
      <c r="O279" s="27">
        <f>SUM(O280:O283)</f>
        <v>0</v>
      </c>
      <c r="P279" s="27">
        <f t="shared" si="93"/>
        <v>0</v>
      </c>
      <c r="Q279" s="27">
        <f>SUM(Q280:Q283)</f>
        <v>31322</v>
      </c>
      <c r="R279" s="27">
        <f>SUM(R280:R283)</f>
        <v>33176</v>
      </c>
      <c r="S279" s="27">
        <f t="shared" si="94"/>
        <v>1854</v>
      </c>
      <c r="T279" s="27">
        <f>SUM(T280:T283)</f>
        <v>0</v>
      </c>
      <c r="U279" s="27">
        <f>SUM(U280:U283)</f>
        <v>0</v>
      </c>
      <c r="V279" s="27">
        <f t="shared" si="95"/>
        <v>0</v>
      </c>
      <c r="W279" s="27">
        <f>SUM(W280:W283)</f>
        <v>0</v>
      </c>
      <c r="X279" s="27">
        <f>SUM(X280:X283)</f>
        <v>0</v>
      </c>
      <c r="Y279" s="27">
        <f t="shared" si="96"/>
        <v>0</v>
      </c>
      <c r="Z279" s="27">
        <f>SUM(Z280:Z283)</f>
        <v>0</v>
      </c>
      <c r="AA279" s="27">
        <f>SUM(AA280:AA283)</f>
        <v>0</v>
      </c>
      <c r="AB279" s="27">
        <f t="shared" si="97"/>
        <v>0</v>
      </c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  <c r="AQ279" s="25"/>
      <c r="AR279" s="25"/>
      <c r="AS279" s="25"/>
      <c r="AT279" s="25"/>
      <c r="AU279" s="25"/>
      <c r="AV279" s="25"/>
      <c r="AW279" s="25"/>
      <c r="AX279" s="25"/>
      <c r="AY279" s="25"/>
      <c r="AZ279" s="25"/>
      <c r="BA279" s="25"/>
      <c r="BB279" s="25"/>
      <c r="BC279" s="25"/>
      <c r="BD279" s="25"/>
      <c r="BE279" s="25"/>
      <c r="BF279" s="25"/>
      <c r="BG279" s="25"/>
      <c r="BH279" s="25"/>
      <c r="BI279" s="25"/>
      <c r="BJ279" s="25"/>
      <c r="BK279" s="25"/>
      <c r="BL279" s="25"/>
      <c r="BM279" s="25"/>
      <c r="BN279" s="25"/>
      <c r="BO279" s="25"/>
      <c r="BP279" s="25"/>
      <c r="BQ279" s="25"/>
      <c r="BR279" s="25"/>
      <c r="BS279" s="25"/>
      <c r="BT279" s="25"/>
      <c r="BU279" s="25"/>
      <c r="BV279" s="25"/>
      <c r="BW279" s="25"/>
      <c r="BX279" s="25"/>
      <c r="BY279" s="25"/>
      <c r="BZ279" s="25"/>
      <c r="CA279" s="25"/>
      <c r="CB279" s="25"/>
      <c r="CC279" s="25"/>
      <c r="CD279" s="25"/>
      <c r="CE279" s="25"/>
      <c r="CF279" s="25"/>
      <c r="CG279" s="25"/>
      <c r="CH279" s="25"/>
      <c r="CI279" s="25"/>
      <c r="CJ279" s="25"/>
      <c r="CK279" s="25"/>
      <c r="CL279" s="25"/>
      <c r="CM279" s="25"/>
      <c r="CN279" s="25"/>
      <c r="CO279" s="25"/>
      <c r="CP279" s="25"/>
      <c r="CQ279" s="25"/>
      <c r="CR279" s="25"/>
      <c r="CS279" s="25"/>
      <c r="CT279" s="25"/>
      <c r="CU279" s="25"/>
      <c r="CV279" s="25"/>
      <c r="CW279" s="25"/>
      <c r="CX279" s="25"/>
      <c r="CY279" s="25"/>
      <c r="CZ279" s="25"/>
      <c r="DA279" s="25"/>
      <c r="DB279" s="25"/>
      <c r="DC279" s="25"/>
      <c r="DD279" s="25"/>
      <c r="DE279" s="25"/>
      <c r="DF279" s="25"/>
      <c r="DG279" s="25"/>
      <c r="DH279" s="25"/>
      <c r="DI279" s="25"/>
      <c r="DJ279" s="25"/>
      <c r="DK279" s="25"/>
      <c r="DL279" s="25"/>
      <c r="DM279" s="25"/>
      <c r="DN279" s="25"/>
      <c r="DO279" s="25"/>
      <c r="DP279" s="25"/>
      <c r="DQ279" s="25"/>
      <c r="DR279" s="25"/>
      <c r="DS279" s="25"/>
      <c r="DT279" s="25"/>
      <c r="DU279" s="25"/>
      <c r="DV279" s="25"/>
      <c r="DW279" s="25"/>
      <c r="DX279" s="25"/>
      <c r="DY279" s="25"/>
      <c r="DZ279" s="25"/>
      <c r="EA279" s="25"/>
      <c r="EB279" s="25"/>
      <c r="EC279" s="25"/>
      <c r="ED279" s="25"/>
      <c r="EE279" s="25"/>
      <c r="EF279" s="25"/>
      <c r="EG279" s="25"/>
      <c r="EH279" s="25"/>
      <c r="EI279" s="25"/>
      <c r="EJ279" s="25"/>
      <c r="EK279" s="25"/>
      <c r="EL279" s="25"/>
      <c r="EM279" s="25"/>
      <c r="EN279" s="25"/>
      <c r="EO279" s="25"/>
      <c r="EP279" s="25"/>
      <c r="EQ279" s="25"/>
      <c r="ER279" s="25"/>
      <c r="ES279" s="25"/>
      <c r="ET279" s="25"/>
      <c r="EU279" s="25"/>
      <c r="EV279" s="25"/>
      <c r="EW279" s="25"/>
      <c r="EX279" s="25"/>
      <c r="EY279" s="25"/>
      <c r="EZ279" s="25"/>
      <c r="FA279" s="25"/>
      <c r="FB279" s="25"/>
      <c r="FC279" s="25"/>
      <c r="FD279" s="25"/>
      <c r="FE279" s="25"/>
      <c r="FF279" s="25"/>
      <c r="FG279" s="25"/>
      <c r="FH279" s="25"/>
      <c r="FI279" s="25"/>
      <c r="FJ279" s="25"/>
      <c r="FK279" s="25"/>
      <c r="FL279" s="25"/>
      <c r="FM279" s="25"/>
      <c r="FN279" s="25"/>
      <c r="FO279" s="25"/>
      <c r="FP279" s="25"/>
      <c r="FQ279" s="25"/>
      <c r="FR279" s="25"/>
      <c r="FS279" s="25"/>
      <c r="FT279" s="25"/>
      <c r="FU279" s="25"/>
      <c r="FV279" s="25"/>
      <c r="FW279" s="25"/>
      <c r="FX279" s="25"/>
      <c r="FY279" s="25"/>
      <c r="FZ279" s="25"/>
      <c r="GA279" s="25"/>
      <c r="GB279" s="25"/>
      <c r="GC279" s="25"/>
      <c r="GD279" s="25"/>
      <c r="GE279" s="25"/>
      <c r="GF279" s="25"/>
      <c r="GG279" s="25"/>
    </row>
    <row r="280" spans="1:189" s="28" customFormat="1" x14ac:dyDescent="0.25">
      <c r="A280" s="33" t="s">
        <v>257</v>
      </c>
      <c r="B280" s="34">
        <f t="shared" si="168"/>
        <v>1700</v>
      </c>
      <c r="C280" s="34">
        <f t="shared" si="168"/>
        <v>1700</v>
      </c>
      <c r="D280" s="34">
        <f>G280+J280+M280+P280+S280+V280+AB280+Y280</f>
        <v>0</v>
      </c>
      <c r="E280" s="34"/>
      <c r="F280" s="34"/>
      <c r="G280" s="34">
        <f t="shared" si="177"/>
        <v>0</v>
      </c>
      <c r="H280" s="34"/>
      <c r="I280" s="34"/>
      <c r="J280" s="34">
        <f t="shared" si="91"/>
        <v>0</v>
      </c>
      <c r="K280" s="34"/>
      <c r="L280" s="34"/>
      <c r="M280" s="34">
        <f t="shared" si="92"/>
        <v>0</v>
      </c>
      <c r="N280" s="34"/>
      <c r="O280" s="34"/>
      <c r="P280" s="34">
        <f t="shared" si="93"/>
        <v>0</v>
      </c>
      <c r="Q280" s="34">
        <v>1700</v>
      </c>
      <c r="R280" s="34">
        <v>1700</v>
      </c>
      <c r="S280" s="34">
        <f t="shared" si="94"/>
        <v>0</v>
      </c>
      <c r="T280" s="34"/>
      <c r="U280" s="34"/>
      <c r="V280" s="34">
        <f t="shared" si="95"/>
        <v>0</v>
      </c>
      <c r="W280" s="34"/>
      <c r="X280" s="34"/>
      <c r="Y280" s="34">
        <f t="shared" si="96"/>
        <v>0</v>
      </c>
      <c r="Z280" s="34"/>
      <c r="AA280" s="34"/>
      <c r="AB280" s="34">
        <f t="shared" si="97"/>
        <v>0</v>
      </c>
    </row>
    <row r="281" spans="1:189" s="28" customFormat="1" ht="31.5" x14ac:dyDescent="0.25">
      <c r="A281" s="33" t="s">
        <v>258</v>
      </c>
      <c r="B281" s="34">
        <f t="shared" si="168"/>
        <v>28316</v>
      </c>
      <c r="C281" s="34">
        <f t="shared" si="168"/>
        <v>28316</v>
      </c>
      <c r="D281" s="34">
        <f>G281+J281+M281+P281+S281+V281+AB281+Y281</f>
        <v>0</v>
      </c>
      <c r="E281" s="34"/>
      <c r="F281" s="34"/>
      <c r="G281" s="34">
        <f t="shared" si="177"/>
        <v>0</v>
      </c>
      <c r="H281" s="34"/>
      <c r="I281" s="34"/>
      <c r="J281" s="34">
        <f t="shared" si="91"/>
        <v>0</v>
      </c>
      <c r="K281" s="34"/>
      <c r="L281" s="34"/>
      <c r="M281" s="34">
        <f t="shared" si="92"/>
        <v>0</v>
      </c>
      <c r="N281" s="34"/>
      <c r="O281" s="34"/>
      <c r="P281" s="34">
        <f t="shared" si="93"/>
        <v>0</v>
      </c>
      <c r="Q281" s="34">
        <f>7079+21237</f>
        <v>28316</v>
      </c>
      <c r="R281" s="34">
        <f>7079+21237</f>
        <v>28316</v>
      </c>
      <c r="S281" s="34">
        <f t="shared" si="94"/>
        <v>0</v>
      </c>
      <c r="T281" s="34"/>
      <c r="U281" s="34"/>
      <c r="V281" s="34">
        <f t="shared" si="95"/>
        <v>0</v>
      </c>
      <c r="W281" s="34"/>
      <c r="X281" s="34"/>
      <c r="Y281" s="34">
        <f t="shared" si="96"/>
        <v>0</v>
      </c>
      <c r="Z281" s="34"/>
      <c r="AA281" s="34"/>
      <c r="AB281" s="34">
        <f t="shared" si="97"/>
        <v>0</v>
      </c>
    </row>
    <row r="282" spans="1:189" s="28" customFormat="1" x14ac:dyDescent="0.25">
      <c r="A282" s="33" t="s">
        <v>259</v>
      </c>
      <c r="B282" s="34">
        <f t="shared" si="168"/>
        <v>0</v>
      </c>
      <c r="C282" s="34">
        <f t="shared" si="168"/>
        <v>1854</v>
      </c>
      <c r="D282" s="34">
        <f>G282+J282+M282+P282+S282+V282+AB282+Y282</f>
        <v>1854</v>
      </c>
      <c r="E282" s="34"/>
      <c r="F282" s="34"/>
      <c r="G282" s="34">
        <f t="shared" si="177"/>
        <v>0</v>
      </c>
      <c r="H282" s="34"/>
      <c r="I282" s="34"/>
      <c r="J282" s="34">
        <f t="shared" si="91"/>
        <v>0</v>
      </c>
      <c r="K282" s="34"/>
      <c r="L282" s="34"/>
      <c r="M282" s="34">
        <f t="shared" si="92"/>
        <v>0</v>
      </c>
      <c r="N282" s="34"/>
      <c r="O282" s="34"/>
      <c r="P282" s="34">
        <f t="shared" si="93"/>
        <v>0</v>
      </c>
      <c r="Q282" s="34">
        <v>0</v>
      </c>
      <c r="R282" s="34">
        <v>1854</v>
      </c>
      <c r="S282" s="34">
        <f t="shared" si="94"/>
        <v>1854</v>
      </c>
      <c r="T282" s="34"/>
      <c r="U282" s="34"/>
      <c r="V282" s="34">
        <f t="shared" si="95"/>
        <v>0</v>
      </c>
      <c r="W282" s="34"/>
      <c r="X282" s="34"/>
      <c r="Y282" s="34">
        <f t="shared" si="96"/>
        <v>0</v>
      </c>
      <c r="Z282" s="34"/>
      <c r="AA282" s="34"/>
      <c r="AB282" s="34">
        <f t="shared" si="97"/>
        <v>0</v>
      </c>
    </row>
    <row r="283" spans="1:189" s="28" customFormat="1" x14ac:dyDescent="0.25">
      <c r="A283" s="33" t="s">
        <v>260</v>
      </c>
      <c r="B283" s="34">
        <f t="shared" si="168"/>
        <v>1306</v>
      </c>
      <c r="C283" s="34">
        <f t="shared" si="168"/>
        <v>1306</v>
      </c>
      <c r="D283" s="34">
        <f>G283+J283+M283+P283+S283+V283+AB283+Y283</f>
        <v>0</v>
      </c>
      <c r="E283" s="34"/>
      <c r="F283" s="34"/>
      <c r="G283" s="34">
        <f t="shared" si="177"/>
        <v>0</v>
      </c>
      <c r="H283" s="34"/>
      <c r="I283" s="34"/>
      <c r="J283" s="34">
        <f t="shared" si="91"/>
        <v>0</v>
      </c>
      <c r="K283" s="34"/>
      <c r="L283" s="34"/>
      <c r="M283" s="34">
        <f t="shared" si="92"/>
        <v>0</v>
      </c>
      <c r="N283" s="34"/>
      <c r="O283" s="34"/>
      <c r="P283" s="34">
        <f t="shared" si="93"/>
        <v>0</v>
      </c>
      <c r="Q283" s="34">
        <v>1306</v>
      </c>
      <c r="R283" s="34">
        <v>1306</v>
      </c>
      <c r="S283" s="34">
        <f t="shared" si="94"/>
        <v>0</v>
      </c>
      <c r="T283" s="34"/>
      <c r="U283" s="34"/>
      <c r="V283" s="34">
        <f t="shared" si="95"/>
        <v>0</v>
      </c>
      <c r="W283" s="34"/>
      <c r="X283" s="34"/>
      <c r="Y283" s="34">
        <f t="shared" si="96"/>
        <v>0</v>
      </c>
      <c r="Z283" s="34"/>
      <c r="AA283" s="34"/>
      <c r="AB283" s="34">
        <f t="shared" si="97"/>
        <v>0</v>
      </c>
    </row>
    <row r="284" spans="1:189" s="28" customFormat="1" ht="31.5" x14ac:dyDescent="0.25">
      <c r="A284" s="26" t="s">
        <v>63</v>
      </c>
      <c r="B284" s="27">
        <f t="shared" si="168"/>
        <v>733419</v>
      </c>
      <c r="C284" s="27">
        <f t="shared" si="168"/>
        <v>735798</v>
      </c>
      <c r="D284" s="27">
        <f t="shared" si="168"/>
        <v>2379</v>
      </c>
      <c r="E284" s="27">
        <f>SUM(E285,E295,E302,E307,E311,E293)</f>
        <v>0</v>
      </c>
      <c r="F284" s="27">
        <f>SUM(F285,F295,F302,F307,F311,F293)</f>
        <v>0</v>
      </c>
      <c r="G284" s="27">
        <f t="shared" si="177"/>
        <v>0</v>
      </c>
      <c r="H284" s="27">
        <f t="shared" ref="H284:I284" si="214">SUM(H285,H295,H302,H307,H311,H293)</f>
        <v>27000</v>
      </c>
      <c r="I284" s="27">
        <f t="shared" si="214"/>
        <v>27000</v>
      </c>
      <c r="J284" s="27">
        <f t="shared" si="91"/>
        <v>0</v>
      </c>
      <c r="K284" s="27">
        <f t="shared" ref="K284:L284" si="215">SUM(K285,K295,K302,K307,K311,K293)</f>
        <v>33510</v>
      </c>
      <c r="L284" s="27">
        <f t="shared" si="215"/>
        <v>33972</v>
      </c>
      <c r="M284" s="27">
        <f t="shared" si="92"/>
        <v>462</v>
      </c>
      <c r="N284" s="27">
        <f t="shared" ref="N284:O284" si="216">SUM(N285,N295,N302,N307,N311,N293)</f>
        <v>647608</v>
      </c>
      <c r="O284" s="27">
        <f t="shared" si="216"/>
        <v>647608</v>
      </c>
      <c r="P284" s="27">
        <f t="shared" si="93"/>
        <v>0</v>
      </c>
      <c r="Q284" s="27">
        <f t="shared" ref="Q284:R284" si="217">SUM(Q285,Q295,Q302,Q307,Q311,Q293)</f>
        <v>25301</v>
      </c>
      <c r="R284" s="27">
        <f t="shared" si="217"/>
        <v>27218</v>
      </c>
      <c r="S284" s="27">
        <f t="shared" si="94"/>
        <v>1917</v>
      </c>
      <c r="T284" s="27">
        <f t="shared" ref="T284:U284" si="218">SUM(T285,T295,T302,T307,T311,T293)</f>
        <v>0</v>
      </c>
      <c r="U284" s="27">
        <f t="shared" si="218"/>
        <v>0</v>
      </c>
      <c r="V284" s="27">
        <f t="shared" si="95"/>
        <v>0</v>
      </c>
      <c r="W284" s="27">
        <f t="shared" ref="W284:X284" si="219">SUM(W285,W295,W302,W307,W311,W293)</f>
        <v>0</v>
      </c>
      <c r="X284" s="27">
        <f t="shared" si="219"/>
        <v>0</v>
      </c>
      <c r="Y284" s="27">
        <f t="shared" si="96"/>
        <v>0</v>
      </c>
      <c r="Z284" s="27">
        <f t="shared" ref="Z284:AA284" si="220">SUM(Z285,Z295,Z302,Z307,Z311,Z293)</f>
        <v>0</v>
      </c>
      <c r="AA284" s="27">
        <f t="shared" si="220"/>
        <v>0</v>
      </c>
      <c r="AB284" s="27">
        <f t="shared" si="97"/>
        <v>0</v>
      </c>
    </row>
    <row r="285" spans="1:189" s="28" customFormat="1" x14ac:dyDescent="0.25">
      <c r="A285" s="26" t="s">
        <v>169</v>
      </c>
      <c r="B285" s="27">
        <f t="shared" si="168"/>
        <v>48526</v>
      </c>
      <c r="C285" s="27">
        <f t="shared" si="168"/>
        <v>48988</v>
      </c>
      <c r="D285" s="27">
        <f t="shared" si="168"/>
        <v>462</v>
      </c>
      <c r="E285" s="27">
        <f t="shared" ref="E285:F285" si="221">SUM(E286:E292)</f>
        <v>0</v>
      </c>
      <c r="F285" s="27">
        <f t="shared" si="221"/>
        <v>0</v>
      </c>
      <c r="G285" s="27">
        <f t="shared" si="177"/>
        <v>0</v>
      </c>
      <c r="H285" s="27">
        <f t="shared" ref="H285:AA285" si="222">SUM(H286:H292)</f>
        <v>0</v>
      </c>
      <c r="I285" s="27">
        <f t="shared" si="222"/>
        <v>0</v>
      </c>
      <c r="J285" s="27">
        <f t="shared" si="91"/>
        <v>0</v>
      </c>
      <c r="K285" s="27">
        <f t="shared" ref="K285" si="223">SUM(K286:K292)</f>
        <v>2754</v>
      </c>
      <c r="L285" s="27">
        <f t="shared" si="222"/>
        <v>3216</v>
      </c>
      <c r="M285" s="27">
        <f t="shared" si="92"/>
        <v>462</v>
      </c>
      <c r="N285" s="27">
        <f t="shared" ref="N285" si="224">SUM(N286:N292)</f>
        <v>40152</v>
      </c>
      <c r="O285" s="27">
        <f t="shared" si="222"/>
        <v>40152</v>
      </c>
      <c r="P285" s="27">
        <f t="shared" si="93"/>
        <v>0</v>
      </c>
      <c r="Q285" s="27">
        <f t="shared" ref="Q285" si="225">SUM(Q286:Q292)</f>
        <v>5620</v>
      </c>
      <c r="R285" s="27">
        <f t="shared" si="222"/>
        <v>5620</v>
      </c>
      <c r="S285" s="27">
        <f t="shared" si="94"/>
        <v>0</v>
      </c>
      <c r="T285" s="27">
        <f t="shared" ref="T285" si="226">SUM(T286:T292)</f>
        <v>0</v>
      </c>
      <c r="U285" s="27">
        <f t="shared" si="222"/>
        <v>0</v>
      </c>
      <c r="V285" s="27">
        <f t="shared" si="95"/>
        <v>0</v>
      </c>
      <c r="W285" s="27">
        <f t="shared" ref="W285" si="227">SUM(W286:W292)</f>
        <v>0</v>
      </c>
      <c r="X285" s="27">
        <f t="shared" si="222"/>
        <v>0</v>
      </c>
      <c r="Y285" s="27">
        <f t="shared" si="96"/>
        <v>0</v>
      </c>
      <c r="Z285" s="27">
        <f t="shared" ref="Z285" si="228">SUM(Z286:Z292)</f>
        <v>0</v>
      </c>
      <c r="AA285" s="27">
        <f t="shared" si="222"/>
        <v>0</v>
      </c>
      <c r="AB285" s="27">
        <f t="shared" si="97"/>
        <v>0</v>
      </c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25"/>
      <c r="AN285" s="25"/>
      <c r="AO285" s="25"/>
      <c r="AP285" s="25"/>
      <c r="AQ285" s="25"/>
      <c r="AR285" s="25"/>
      <c r="AS285" s="25"/>
      <c r="AT285" s="25"/>
      <c r="AU285" s="25"/>
      <c r="AV285" s="25"/>
      <c r="AW285" s="25"/>
      <c r="AX285" s="25"/>
      <c r="AY285" s="25"/>
      <c r="AZ285" s="25"/>
      <c r="BA285" s="25"/>
      <c r="BB285" s="25"/>
      <c r="BC285" s="25"/>
      <c r="BD285" s="25"/>
      <c r="BE285" s="25"/>
      <c r="BF285" s="25"/>
      <c r="BG285" s="25"/>
      <c r="BH285" s="25"/>
      <c r="BI285" s="25"/>
      <c r="BJ285" s="25"/>
      <c r="BK285" s="25"/>
      <c r="BL285" s="25"/>
      <c r="BM285" s="25"/>
      <c r="BN285" s="25"/>
      <c r="BO285" s="25"/>
      <c r="BP285" s="25"/>
      <c r="BQ285" s="25"/>
      <c r="BR285" s="25"/>
      <c r="BS285" s="25"/>
      <c r="BT285" s="25"/>
      <c r="BU285" s="25"/>
      <c r="BV285" s="25"/>
      <c r="BW285" s="25"/>
      <c r="BX285" s="25"/>
      <c r="BY285" s="25"/>
      <c r="BZ285" s="25"/>
      <c r="CA285" s="25"/>
      <c r="CB285" s="25"/>
      <c r="CC285" s="25"/>
      <c r="CD285" s="25"/>
      <c r="CE285" s="25"/>
      <c r="CF285" s="25"/>
      <c r="CG285" s="25"/>
      <c r="CH285" s="25"/>
      <c r="CI285" s="25"/>
      <c r="CJ285" s="25"/>
      <c r="CK285" s="25"/>
      <c r="CL285" s="25"/>
      <c r="CM285" s="25"/>
      <c r="CN285" s="25"/>
      <c r="CO285" s="25"/>
      <c r="CP285" s="25"/>
      <c r="CQ285" s="25"/>
      <c r="CR285" s="25"/>
      <c r="CS285" s="25"/>
      <c r="CT285" s="25"/>
      <c r="CU285" s="25"/>
      <c r="CV285" s="25"/>
      <c r="CW285" s="25"/>
      <c r="CX285" s="25"/>
      <c r="CY285" s="25"/>
      <c r="CZ285" s="25"/>
      <c r="DA285" s="25"/>
      <c r="DB285" s="25"/>
      <c r="DC285" s="25"/>
      <c r="DD285" s="25"/>
      <c r="DE285" s="25"/>
      <c r="DF285" s="25"/>
      <c r="DG285" s="25"/>
      <c r="DH285" s="25"/>
      <c r="DI285" s="25"/>
      <c r="DJ285" s="25"/>
      <c r="DK285" s="25"/>
      <c r="DL285" s="25"/>
      <c r="DM285" s="25"/>
      <c r="DN285" s="25"/>
      <c r="DO285" s="25"/>
      <c r="DP285" s="25"/>
      <c r="DQ285" s="25"/>
      <c r="DR285" s="25"/>
      <c r="DS285" s="25"/>
      <c r="DT285" s="25"/>
      <c r="DU285" s="25"/>
      <c r="DV285" s="25"/>
      <c r="DW285" s="25"/>
      <c r="DX285" s="25"/>
      <c r="DY285" s="25"/>
      <c r="DZ285" s="25"/>
      <c r="EA285" s="25"/>
      <c r="EB285" s="25"/>
      <c r="EC285" s="25"/>
      <c r="ED285" s="25"/>
      <c r="EE285" s="25"/>
      <c r="EF285" s="25"/>
      <c r="EG285" s="25"/>
      <c r="EH285" s="25"/>
      <c r="EI285" s="25"/>
      <c r="EJ285" s="25"/>
      <c r="EK285" s="25"/>
      <c r="EL285" s="25"/>
      <c r="EM285" s="25"/>
      <c r="EN285" s="25"/>
      <c r="EO285" s="25"/>
      <c r="EP285" s="25"/>
      <c r="EQ285" s="25"/>
      <c r="ER285" s="25"/>
      <c r="ES285" s="25"/>
      <c r="ET285" s="25"/>
      <c r="EU285" s="25"/>
      <c r="EV285" s="25"/>
      <c r="EW285" s="25"/>
      <c r="EX285" s="25"/>
      <c r="EY285" s="25"/>
      <c r="EZ285" s="25"/>
      <c r="FA285" s="25"/>
      <c r="FB285" s="25"/>
      <c r="FC285" s="25"/>
      <c r="FD285" s="25"/>
      <c r="FE285" s="25"/>
      <c r="FF285" s="25"/>
      <c r="FG285" s="25"/>
      <c r="FH285" s="25"/>
      <c r="FI285" s="25"/>
      <c r="FJ285" s="25"/>
      <c r="FK285" s="25"/>
      <c r="FL285" s="25"/>
      <c r="FM285" s="25"/>
      <c r="FN285" s="25"/>
      <c r="FO285" s="25"/>
      <c r="FP285" s="25"/>
      <c r="FQ285" s="25"/>
      <c r="FR285" s="25"/>
      <c r="FS285" s="25"/>
      <c r="FT285" s="25"/>
      <c r="FU285" s="25"/>
      <c r="FV285" s="25"/>
      <c r="FW285" s="25"/>
      <c r="FX285" s="25"/>
      <c r="FY285" s="25"/>
      <c r="FZ285" s="25"/>
      <c r="GA285" s="25"/>
      <c r="GB285" s="25"/>
      <c r="GC285" s="25"/>
      <c r="GD285" s="25"/>
      <c r="GE285" s="25"/>
      <c r="GF285" s="25"/>
      <c r="GG285" s="25"/>
    </row>
    <row r="286" spans="1:189" s="28" customFormat="1" ht="31.5" x14ac:dyDescent="0.25">
      <c r="A286" s="33" t="s">
        <v>261</v>
      </c>
      <c r="B286" s="34">
        <f t="shared" si="168"/>
        <v>2754</v>
      </c>
      <c r="C286" s="34">
        <f t="shared" si="168"/>
        <v>3216</v>
      </c>
      <c r="D286" s="34">
        <f t="shared" si="168"/>
        <v>462</v>
      </c>
      <c r="E286" s="34"/>
      <c r="F286" s="34"/>
      <c r="G286" s="34">
        <f t="shared" si="177"/>
        <v>0</v>
      </c>
      <c r="H286" s="34"/>
      <c r="I286" s="34"/>
      <c r="J286" s="34">
        <f t="shared" si="91"/>
        <v>0</v>
      </c>
      <c r="K286" s="34">
        <f>1330+1424</f>
        <v>2754</v>
      </c>
      <c r="L286" s="34">
        <f>1330+1424+462</f>
        <v>3216</v>
      </c>
      <c r="M286" s="34">
        <f t="shared" si="92"/>
        <v>462</v>
      </c>
      <c r="N286" s="34"/>
      <c r="O286" s="34"/>
      <c r="P286" s="34">
        <f t="shared" si="93"/>
        <v>0</v>
      </c>
      <c r="Q286" s="34"/>
      <c r="R286" s="34"/>
      <c r="S286" s="34">
        <f t="shared" si="94"/>
        <v>0</v>
      </c>
      <c r="T286" s="34"/>
      <c r="U286" s="34"/>
      <c r="V286" s="34">
        <f t="shared" si="95"/>
        <v>0</v>
      </c>
      <c r="W286" s="34"/>
      <c r="X286" s="34"/>
      <c r="Y286" s="34">
        <f t="shared" si="96"/>
        <v>0</v>
      </c>
      <c r="Z286" s="34"/>
      <c r="AA286" s="34"/>
      <c r="AB286" s="34">
        <f t="shared" si="97"/>
        <v>0</v>
      </c>
    </row>
    <row r="287" spans="1:189" s="25" customFormat="1" x14ac:dyDescent="0.25">
      <c r="A287" s="35" t="s">
        <v>262</v>
      </c>
      <c r="B287" s="37">
        <f t="shared" si="168"/>
        <v>726</v>
      </c>
      <c r="C287" s="37">
        <f t="shared" si="168"/>
        <v>726</v>
      </c>
      <c r="D287" s="37">
        <f t="shared" si="168"/>
        <v>0</v>
      </c>
      <c r="E287" s="37"/>
      <c r="F287" s="37"/>
      <c r="G287" s="37">
        <f t="shared" si="177"/>
        <v>0</v>
      </c>
      <c r="H287" s="37"/>
      <c r="I287" s="37"/>
      <c r="J287" s="37">
        <f t="shared" si="91"/>
        <v>0</v>
      </c>
      <c r="K287" s="37"/>
      <c r="L287" s="37"/>
      <c r="M287" s="37">
        <f t="shared" si="92"/>
        <v>0</v>
      </c>
      <c r="N287" s="37"/>
      <c r="O287" s="37"/>
      <c r="P287" s="37">
        <f t="shared" si="93"/>
        <v>0</v>
      </c>
      <c r="Q287" s="37">
        <v>726</v>
      </c>
      <c r="R287" s="37">
        <v>726</v>
      </c>
      <c r="S287" s="37">
        <f t="shared" si="94"/>
        <v>0</v>
      </c>
      <c r="T287" s="37"/>
      <c r="U287" s="37"/>
      <c r="V287" s="37">
        <f t="shared" si="95"/>
        <v>0</v>
      </c>
      <c r="W287" s="37"/>
      <c r="X287" s="37"/>
      <c r="Y287" s="37">
        <f t="shared" si="96"/>
        <v>0</v>
      </c>
      <c r="Z287" s="37"/>
      <c r="AA287" s="37"/>
      <c r="AB287" s="37">
        <f t="shared" si="97"/>
        <v>0</v>
      </c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28"/>
      <c r="BA287" s="28"/>
      <c r="BB287" s="28"/>
      <c r="BC287" s="28"/>
      <c r="BD287" s="28"/>
      <c r="BE287" s="28"/>
      <c r="BF287" s="28"/>
      <c r="BG287" s="28"/>
      <c r="BH287" s="28"/>
      <c r="BI287" s="28"/>
      <c r="BJ287" s="28"/>
      <c r="BK287" s="28"/>
      <c r="BL287" s="28"/>
      <c r="BM287" s="28"/>
      <c r="BN287" s="28"/>
      <c r="BO287" s="28"/>
      <c r="BP287" s="28"/>
      <c r="BQ287" s="28"/>
      <c r="BR287" s="28"/>
      <c r="BS287" s="28"/>
      <c r="BT287" s="28"/>
      <c r="BU287" s="28"/>
      <c r="BV287" s="28"/>
      <c r="BW287" s="28"/>
      <c r="BX287" s="28"/>
      <c r="BY287" s="28"/>
      <c r="BZ287" s="28"/>
      <c r="CA287" s="28"/>
      <c r="CB287" s="28"/>
      <c r="CC287" s="28"/>
      <c r="CD287" s="28"/>
      <c r="CE287" s="28"/>
      <c r="CF287" s="28"/>
      <c r="CG287" s="28"/>
      <c r="CH287" s="28"/>
      <c r="CI287" s="28"/>
      <c r="CJ287" s="28"/>
      <c r="CK287" s="28"/>
      <c r="CL287" s="28"/>
      <c r="CM287" s="28"/>
      <c r="CN287" s="28"/>
      <c r="CO287" s="28"/>
      <c r="CP287" s="28"/>
      <c r="CQ287" s="28"/>
      <c r="CR287" s="28"/>
      <c r="CS287" s="28"/>
      <c r="CT287" s="28"/>
      <c r="CU287" s="28"/>
      <c r="CV287" s="28"/>
      <c r="CW287" s="28"/>
      <c r="CX287" s="28"/>
      <c r="CY287" s="28"/>
      <c r="CZ287" s="28"/>
      <c r="DA287" s="28"/>
      <c r="DB287" s="28"/>
      <c r="DC287" s="28"/>
      <c r="DD287" s="28"/>
      <c r="DE287" s="28"/>
      <c r="DF287" s="28"/>
      <c r="DG287" s="28"/>
      <c r="DH287" s="28"/>
      <c r="DI287" s="28"/>
      <c r="DJ287" s="28"/>
      <c r="DK287" s="28"/>
      <c r="DL287" s="28"/>
      <c r="DM287" s="28"/>
      <c r="DN287" s="28"/>
      <c r="DO287" s="28"/>
      <c r="DP287" s="28"/>
      <c r="DQ287" s="28"/>
      <c r="DR287" s="28"/>
      <c r="DS287" s="28"/>
      <c r="DT287" s="28"/>
      <c r="DU287" s="28"/>
      <c r="DV287" s="28"/>
      <c r="DW287" s="28"/>
      <c r="DX287" s="28"/>
      <c r="DY287" s="28"/>
      <c r="DZ287" s="28"/>
      <c r="EA287" s="28"/>
      <c r="EB287" s="28"/>
      <c r="EC287" s="28"/>
      <c r="ED287" s="28"/>
      <c r="EE287" s="28"/>
      <c r="EF287" s="28"/>
      <c r="EG287" s="28"/>
      <c r="EH287" s="28"/>
      <c r="EI287" s="28"/>
      <c r="EJ287" s="28"/>
      <c r="EK287" s="28"/>
      <c r="EL287" s="28"/>
      <c r="EM287" s="28"/>
      <c r="EN287" s="28"/>
      <c r="EO287" s="28"/>
      <c r="EP287" s="28"/>
      <c r="EQ287" s="28"/>
      <c r="ER287" s="28"/>
      <c r="ES287" s="28"/>
      <c r="ET287" s="28"/>
      <c r="EU287" s="28"/>
      <c r="EV287" s="28"/>
      <c r="EW287" s="28"/>
      <c r="EX287" s="28"/>
      <c r="EY287" s="28"/>
      <c r="EZ287" s="28"/>
      <c r="FA287" s="28"/>
      <c r="FB287" s="28"/>
      <c r="FC287" s="28"/>
      <c r="FD287" s="28"/>
      <c r="FE287" s="28"/>
      <c r="FF287" s="28"/>
      <c r="FG287" s="28"/>
      <c r="FH287" s="28"/>
      <c r="FI287" s="28"/>
      <c r="FJ287" s="28"/>
      <c r="FK287" s="28"/>
      <c r="FL287" s="28"/>
      <c r="FM287" s="28"/>
      <c r="FN287" s="28"/>
      <c r="FO287" s="28"/>
      <c r="FP287" s="28"/>
      <c r="FQ287" s="28"/>
      <c r="FR287" s="28"/>
      <c r="FS287" s="28"/>
      <c r="FT287" s="28"/>
      <c r="FU287" s="28"/>
      <c r="FV287" s="28"/>
      <c r="FW287" s="28"/>
      <c r="FX287" s="28"/>
      <c r="FY287" s="28"/>
      <c r="FZ287" s="28"/>
      <c r="GA287" s="28"/>
      <c r="GB287" s="28"/>
      <c r="GC287" s="28"/>
      <c r="GD287" s="28"/>
      <c r="GE287" s="28"/>
      <c r="GF287" s="28"/>
      <c r="GG287" s="28"/>
    </row>
    <row r="288" spans="1:189" s="25" customFormat="1" x14ac:dyDescent="0.25">
      <c r="A288" s="35" t="s">
        <v>263</v>
      </c>
      <c r="B288" s="37">
        <f t="shared" si="168"/>
        <v>4894</v>
      </c>
      <c r="C288" s="37">
        <f t="shared" si="168"/>
        <v>4894</v>
      </c>
      <c r="D288" s="37">
        <f t="shared" si="168"/>
        <v>0</v>
      </c>
      <c r="E288" s="37"/>
      <c r="F288" s="37"/>
      <c r="G288" s="37">
        <f t="shared" si="177"/>
        <v>0</v>
      </c>
      <c r="H288" s="37"/>
      <c r="I288" s="37"/>
      <c r="J288" s="37">
        <f t="shared" si="91"/>
        <v>0</v>
      </c>
      <c r="K288" s="37"/>
      <c r="L288" s="37"/>
      <c r="M288" s="37">
        <f t="shared" si="92"/>
        <v>0</v>
      </c>
      <c r="N288" s="37"/>
      <c r="O288" s="37"/>
      <c r="P288" s="37">
        <f t="shared" si="93"/>
        <v>0</v>
      </c>
      <c r="Q288" s="37">
        <v>4894</v>
      </c>
      <c r="R288" s="37">
        <v>4894</v>
      </c>
      <c r="S288" s="37">
        <f t="shared" si="94"/>
        <v>0</v>
      </c>
      <c r="T288" s="37"/>
      <c r="U288" s="37"/>
      <c r="V288" s="37">
        <f t="shared" si="95"/>
        <v>0</v>
      </c>
      <c r="W288" s="37"/>
      <c r="X288" s="37"/>
      <c r="Y288" s="37">
        <f t="shared" si="96"/>
        <v>0</v>
      </c>
      <c r="Z288" s="37"/>
      <c r="AA288" s="37"/>
      <c r="AB288" s="37">
        <f t="shared" si="97"/>
        <v>0</v>
      </c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8"/>
      <c r="AW288" s="28"/>
      <c r="AX288" s="28"/>
      <c r="AY288" s="28"/>
      <c r="AZ288" s="28"/>
      <c r="BA288" s="28"/>
      <c r="BB288" s="28"/>
      <c r="BC288" s="28"/>
      <c r="BD288" s="28"/>
      <c r="BE288" s="28"/>
      <c r="BF288" s="28"/>
      <c r="BG288" s="28"/>
      <c r="BH288" s="28"/>
      <c r="BI288" s="28"/>
      <c r="BJ288" s="28"/>
      <c r="BK288" s="28"/>
      <c r="BL288" s="28"/>
      <c r="BM288" s="28"/>
      <c r="BN288" s="28"/>
      <c r="BO288" s="28"/>
      <c r="BP288" s="28"/>
      <c r="BQ288" s="28"/>
      <c r="BR288" s="28"/>
      <c r="BS288" s="28"/>
      <c r="BT288" s="28"/>
      <c r="BU288" s="28"/>
      <c r="BV288" s="28"/>
      <c r="BW288" s="28"/>
      <c r="BX288" s="28"/>
      <c r="BY288" s="28"/>
      <c r="BZ288" s="28"/>
      <c r="CA288" s="28"/>
      <c r="CB288" s="28"/>
      <c r="CC288" s="28"/>
      <c r="CD288" s="28"/>
      <c r="CE288" s="28"/>
      <c r="CF288" s="28"/>
      <c r="CG288" s="28"/>
      <c r="CH288" s="28"/>
      <c r="CI288" s="28"/>
      <c r="CJ288" s="28"/>
      <c r="CK288" s="28"/>
      <c r="CL288" s="28"/>
      <c r="CM288" s="28"/>
      <c r="CN288" s="28"/>
      <c r="CO288" s="28"/>
      <c r="CP288" s="28"/>
      <c r="CQ288" s="28"/>
      <c r="CR288" s="28"/>
      <c r="CS288" s="28"/>
      <c r="CT288" s="28"/>
      <c r="CU288" s="28"/>
      <c r="CV288" s="28"/>
      <c r="CW288" s="28"/>
      <c r="CX288" s="28"/>
      <c r="CY288" s="28"/>
      <c r="CZ288" s="28"/>
      <c r="DA288" s="28"/>
      <c r="DB288" s="28"/>
      <c r="DC288" s="28"/>
      <c r="DD288" s="28"/>
      <c r="DE288" s="28"/>
      <c r="DF288" s="28"/>
      <c r="DG288" s="28"/>
      <c r="DH288" s="28"/>
      <c r="DI288" s="28"/>
      <c r="DJ288" s="28"/>
      <c r="DK288" s="28"/>
      <c r="DL288" s="28"/>
      <c r="DM288" s="28"/>
      <c r="DN288" s="28"/>
      <c r="DO288" s="28"/>
      <c r="DP288" s="28"/>
      <c r="DQ288" s="28"/>
      <c r="DR288" s="28"/>
      <c r="DS288" s="28"/>
      <c r="DT288" s="28"/>
      <c r="DU288" s="28"/>
      <c r="DV288" s="28"/>
      <c r="DW288" s="28"/>
      <c r="DX288" s="28"/>
      <c r="DY288" s="28"/>
      <c r="DZ288" s="28"/>
      <c r="EA288" s="28"/>
      <c r="EB288" s="28"/>
      <c r="EC288" s="28"/>
      <c r="ED288" s="28"/>
      <c r="EE288" s="28"/>
      <c r="EF288" s="28"/>
      <c r="EG288" s="28"/>
      <c r="EH288" s="28"/>
      <c r="EI288" s="28"/>
      <c r="EJ288" s="28"/>
      <c r="EK288" s="28"/>
      <c r="EL288" s="28"/>
      <c r="EM288" s="28"/>
      <c r="EN288" s="28"/>
      <c r="EO288" s="28"/>
      <c r="EP288" s="28"/>
      <c r="EQ288" s="28"/>
      <c r="ER288" s="28"/>
      <c r="ES288" s="28"/>
      <c r="ET288" s="28"/>
      <c r="EU288" s="28"/>
      <c r="EV288" s="28"/>
      <c r="EW288" s="28"/>
      <c r="EX288" s="28"/>
      <c r="EY288" s="28"/>
      <c r="EZ288" s="28"/>
      <c r="FA288" s="28"/>
      <c r="FB288" s="28"/>
      <c r="FC288" s="28"/>
      <c r="FD288" s="28"/>
      <c r="FE288" s="28"/>
      <c r="FF288" s="28"/>
      <c r="FG288" s="28"/>
      <c r="FH288" s="28"/>
      <c r="FI288" s="28"/>
      <c r="FJ288" s="28"/>
      <c r="FK288" s="28"/>
      <c r="FL288" s="28"/>
      <c r="FM288" s="28"/>
      <c r="FN288" s="28"/>
      <c r="FO288" s="28"/>
      <c r="FP288" s="28"/>
      <c r="FQ288" s="28"/>
      <c r="FR288" s="28"/>
      <c r="FS288" s="28"/>
      <c r="FT288" s="28"/>
      <c r="FU288" s="28"/>
      <c r="FV288" s="28"/>
      <c r="FW288" s="28"/>
      <c r="FX288" s="28"/>
      <c r="FY288" s="28"/>
      <c r="FZ288" s="28"/>
      <c r="GA288" s="28"/>
      <c r="GB288" s="28"/>
      <c r="GC288" s="28"/>
      <c r="GD288" s="28"/>
      <c r="GE288" s="28"/>
      <c r="GF288" s="28"/>
      <c r="GG288" s="28"/>
    </row>
    <row r="289" spans="1:189" s="28" customFormat="1" ht="78.75" x14ac:dyDescent="0.25">
      <c r="A289" s="38" t="s">
        <v>264</v>
      </c>
      <c r="B289" s="34">
        <f t="shared" si="168"/>
        <v>3480</v>
      </c>
      <c r="C289" s="34">
        <f t="shared" si="168"/>
        <v>3480</v>
      </c>
      <c r="D289" s="34">
        <f t="shared" si="168"/>
        <v>0</v>
      </c>
      <c r="E289" s="34"/>
      <c r="F289" s="34"/>
      <c r="G289" s="34">
        <f t="shared" si="177"/>
        <v>0</v>
      </c>
      <c r="H289" s="34"/>
      <c r="I289" s="34"/>
      <c r="J289" s="34">
        <f t="shared" si="91"/>
        <v>0</v>
      </c>
      <c r="K289" s="34"/>
      <c r="L289" s="34"/>
      <c r="M289" s="34">
        <f t="shared" si="92"/>
        <v>0</v>
      </c>
      <c r="N289" s="37">
        <v>3480</v>
      </c>
      <c r="O289" s="37">
        <v>3480</v>
      </c>
      <c r="P289" s="34">
        <f t="shared" si="93"/>
        <v>0</v>
      </c>
      <c r="Q289" s="34"/>
      <c r="R289" s="34"/>
      <c r="S289" s="34">
        <f t="shared" si="94"/>
        <v>0</v>
      </c>
      <c r="T289" s="34"/>
      <c r="U289" s="34"/>
      <c r="V289" s="34">
        <f t="shared" si="95"/>
        <v>0</v>
      </c>
      <c r="W289" s="34"/>
      <c r="X289" s="34"/>
      <c r="Y289" s="34">
        <f t="shared" si="96"/>
        <v>0</v>
      </c>
      <c r="Z289" s="34"/>
      <c r="AA289" s="34"/>
      <c r="AB289" s="34">
        <f t="shared" si="97"/>
        <v>0</v>
      </c>
    </row>
    <row r="290" spans="1:189" s="28" customFormat="1" ht="52.5" customHeight="1" x14ac:dyDescent="0.25">
      <c r="A290" s="35" t="s">
        <v>265</v>
      </c>
      <c r="B290" s="31">
        <f t="shared" si="168"/>
        <v>27500</v>
      </c>
      <c r="C290" s="31">
        <f t="shared" si="168"/>
        <v>27500</v>
      </c>
      <c r="D290" s="31">
        <f t="shared" si="168"/>
        <v>0</v>
      </c>
      <c r="E290" s="31"/>
      <c r="F290" s="31"/>
      <c r="G290" s="31">
        <f t="shared" si="177"/>
        <v>0</v>
      </c>
      <c r="H290" s="31"/>
      <c r="I290" s="31"/>
      <c r="J290" s="31">
        <f t="shared" si="91"/>
        <v>0</v>
      </c>
      <c r="K290" s="31"/>
      <c r="L290" s="31"/>
      <c r="M290" s="31">
        <f t="shared" si="92"/>
        <v>0</v>
      </c>
      <c r="N290" s="31">
        <v>27500</v>
      </c>
      <c r="O290" s="31">
        <v>27500</v>
      </c>
      <c r="P290" s="31">
        <f t="shared" si="93"/>
        <v>0</v>
      </c>
      <c r="Q290" s="31"/>
      <c r="R290" s="31"/>
      <c r="S290" s="31">
        <f t="shared" si="94"/>
        <v>0</v>
      </c>
      <c r="T290" s="31"/>
      <c r="U290" s="31"/>
      <c r="V290" s="31">
        <f t="shared" si="95"/>
        <v>0</v>
      </c>
      <c r="W290" s="31"/>
      <c r="X290" s="31"/>
      <c r="Y290" s="31">
        <f t="shared" si="96"/>
        <v>0</v>
      </c>
      <c r="Z290" s="31"/>
      <c r="AA290" s="31"/>
      <c r="AB290" s="31">
        <f t="shared" si="97"/>
        <v>0</v>
      </c>
    </row>
    <row r="291" spans="1:189" s="28" customFormat="1" ht="94.5" x14ac:dyDescent="0.25">
      <c r="A291" s="35" t="s">
        <v>266</v>
      </c>
      <c r="B291" s="31">
        <f t="shared" si="168"/>
        <v>5500</v>
      </c>
      <c r="C291" s="31">
        <f t="shared" si="168"/>
        <v>5500</v>
      </c>
      <c r="D291" s="31">
        <f t="shared" si="168"/>
        <v>0</v>
      </c>
      <c r="E291" s="31"/>
      <c r="F291" s="31"/>
      <c r="G291" s="31">
        <f t="shared" si="177"/>
        <v>0</v>
      </c>
      <c r="H291" s="31"/>
      <c r="I291" s="31"/>
      <c r="J291" s="31">
        <f t="shared" si="91"/>
        <v>0</v>
      </c>
      <c r="K291" s="31"/>
      <c r="L291" s="31"/>
      <c r="M291" s="31">
        <f t="shared" si="92"/>
        <v>0</v>
      </c>
      <c r="N291" s="31">
        <v>5500</v>
      </c>
      <c r="O291" s="31">
        <v>5500</v>
      </c>
      <c r="P291" s="31">
        <f t="shared" si="93"/>
        <v>0</v>
      </c>
      <c r="Q291" s="31"/>
      <c r="R291" s="31"/>
      <c r="S291" s="31">
        <f t="shared" si="94"/>
        <v>0</v>
      </c>
      <c r="T291" s="31"/>
      <c r="U291" s="31"/>
      <c r="V291" s="31">
        <f t="shared" si="95"/>
        <v>0</v>
      </c>
      <c r="W291" s="31"/>
      <c r="X291" s="31"/>
      <c r="Y291" s="31">
        <f t="shared" si="96"/>
        <v>0</v>
      </c>
      <c r="Z291" s="31"/>
      <c r="AA291" s="31"/>
      <c r="AB291" s="31">
        <f t="shared" si="97"/>
        <v>0</v>
      </c>
    </row>
    <row r="292" spans="1:189" s="28" customFormat="1" ht="63" x14ac:dyDescent="0.25">
      <c r="A292" s="33" t="s">
        <v>267</v>
      </c>
      <c r="B292" s="34">
        <f t="shared" si="168"/>
        <v>3672</v>
      </c>
      <c r="C292" s="34">
        <f t="shared" si="168"/>
        <v>3672</v>
      </c>
      <c r="D292" s="34">
        <f t="shared" si="168"/>
        <v>0</v>
      </c>
      <c r="E292" s="34"/>
      <c r="F292" s="34"/>
      <c r="G292" s="34">
        <f t="shared" si="177"/>
        <v>0</v>
      </c>
      <c r="H292" s="34"/>
      <c r="I292" s="34"/>
      <c r="J292" s="34">
        <f t="shared" si="91"/>
        <v>0</v>
      </c>
      <c r="K292" s="34"/>
      <c r="L292" s="34"/>
      <c r="M292" s="34">
        <f t="shared" si="92"/>
        <v>0</v>
      </c>
      <c r="N292" s="34">
        <f>3000+672</f>
        <v>3672</v>
      </c>
      <c r="O292" s="34">
        <f>3000+672</f>
        <v>3672</v>
      </c>
      <c r="P292" s="34">
        <f t="shared" si="93"/>
        <v>0</v>
      </c>
      <c r="Q292" s="34"/>
      <c r="R292" s="34"/>
      <c r="S292" s="34">
        <f t="shared" si="94"/>
        <v>0</v>
      </c>
      <c r="T292" s="34"/>
      <c r="U292" s="34"/>
      <c r="V292" s="34">
        <f t="shared" si="95"/>
        <v>0</v>
      </c>
      <c r="W292" s="34"/>
      <c r="X292" s="34"/>
      <c r="Y292" s="34">
        <f t="shared" si="96"/>
        <v>0</v>
      </c>
      <c r="Z292" s="34"/>
      <c r="AA292" s="34"/>
      <c r="AB292" s="34">
        <f t="shared" si="97"/>
        <v>0</v>
      </c>
    </row>
    <row r="293" spans="1:189" s="25" customFormat="1" x14ac:dyDescent="0.25">
      <c r="A293" s="26" t="s">
        <v>176</v>
      </c>
      <c r="B293" s="27">
        <f t="shared" si="168"/>
        <v>386882</v>
      </c>
      <c r="C293" s="27">
        <f t="shared" si="168"/>
        <v>386882</v>
      </c>
      <c r="D293" s="27">
        <f t="shared" si="168"/>
        <v>0</v>
      </c>
      <c r="E293" s="27">
        <f t="shared" ref="E293:AA293" si="229">SUM(E294:E294)</f>
        <v>0</v>
      </c>
      <c r="F293" s="27">
        <f t="shared" si="229"/>
        <v>0</v>
      </c>
      <c r="G293" s="27">
        <f t="shared" si="177"/>
        <v>0</v>
      </c>
      <c r="H293" s="27">
        <f t="shared" si="229"/>
        <v>0</v>
      </c>
      <c r="I293" s="27">
        <f t="shared" si="229"/>
        <v>0</v>
      </c>
      <c r="J293" s="27">
        <f t="shared" si="91"/>
        <v>0</v>
      </c>
      <c r="K293" s="27">
        <f t="shared" si="229"/>
        <v>0</v>
      </c>
      <c r="L293" s="27">
        <f t="shared" si="229"/>
        <v>0</v>
      </c>
      <c r="M293" s="27">
        <f t="shared" si="92"/>
        <v>0</v>
      </c>
      <c r="N293" s="27">
        <f t="shared" si="229"/>
        <v>386882</v>
      </c>
      <c r="O293" s="27">
        <f t="shared" si="229"/>
        <v>386882</v>
      </c>
      <c r="P293" s="27">
        <f t="shared" si="93"/>
        <v>0</v>
      </c>
      <c r="Q293" s="27">
        <f t="shared" si="229"/>
        <v>0</v>
      </c>
      <c r="R293" s="27">
        <f t="shared" si="229"/>
        <v>0</v>
      </c>
      <c r="S293" s="27">
        <f t="shared" si="94"/>
        <v>0</v>
      </c>
      <c r="T293" s="27">
        <f t="shared" si="229"/>
        <v>0</v>
      </c>
      <c r="U293" s="27">
        <f t="shared" si="229"/>
        <v>0</v>
      </c>
      <c r="V293" s="27">
        <f t="shared" si="95"/>
        <v>0</v>
      </c>
      <c r="W293" s="27">
        <f t="shared" si="229"/>
        <v>0</v>
      </c>
      <c r="X293" s="27">
        <f t="shared" si="229"/>
        <v>0</v>
      </c>
      <c r="Y293" s="27">
        <f t="shared" si="96"/>
        <v>0</v>
      </c>
      <c r="Z293" s="27">
        <f t="shared" si="229"/>
        <v>0</v>
      </c>
      <c r="AA293" s="27">
        <f t="shared" si="229"/>
        <v>0</v>
      </c>
      <c r="AB293" s="27">
        <f t="shared" si="97"/>
        <v>0</v>
      </c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  <c r="AU293" s="28"/>
      <c r="AV293" s="28"/>
      <c r="AW293" s="28"/>
      <c r="AX293" s="28"/>
      <c r="AY293" s="28"/>
      <c r="AZ293" s="28"/>
      <c r="BA293" s="28"/>
      <c r="BB293" s="28"/>
      <c r="BC293" s="28"/>
      <c r="BD293" s="28"/>
      <c r="BE293" s="28"/>
      <c r="BF293" s="28"/>
      <c r="BG293" s="28"/>
      <c r="BH293" s="28"/>
      <c r="BI293" s="28"/>
      <c r="BJ293" s="28"/>
      <c r="BK293" s="28"/>
      <c r="BL293" s="28"/>
      <c r="BM293" s="28"/>
      <c r="BN293" s="28"/>
      <c r="BO293" s="28"/>
      <c r="BP293" s="28"/>
      <c r="BQ293" s="28"/>
      <c r="BR293" s="28"/>
      <c r="BS293" s="28"/>
      <c r="BT293" s="28"/>
      <c r="BU293" s="28"/>
      <c r="BV293" s="28"/>
      <c r="BW293" s="28"/>
      <c r="BX293" s="28"/>
      <c r="BY293" s="28"/>
      <c r="BZ293" s="28"/>
      <c r="CA293" s="28"/>
      <c r="CB293" s="28"/>
      <c r="CC293" s="28"/>
      <c r="CD293" s="28"/>
      <c r="CE293" s="28"/>
      <c r="CF293" s="28"/>
      <c r="CG293" s="28"/>
      <c r="CH293" s="28"/>
      <c r="CI293" s="28"/>
      <c r="CJ293" s="28"/>
      <c r="CK293" s="28"/>
      <c r="CL293" s="28"/>
      <c r="CM293" s="28"/>
      <c r="CN293" s="28"/>
      <c r="CO293" s="28"/>
      <c r="CP293" s="28"/>
      <c r="CQ293" s="28"/>
      <c r="CR293" s="28"/>
      <c r="CS293" s="28"/>
      <c r="CT293" s="28"/>
      <c r="CU293" s="28"/>
      <c r="CV293" s="28"/>
      <c r="CW293" s="28"/>
      <c r="CX293" s="28"/>
      <c r="CY293" s="28"/>
      <c r="CZ293" s="28"/>
      <c r="DA293" s="28"/>
      <c r="DB293" s="28"/>
      <c r="DC293" s="28"/>
      <c r="DD293" s="28"/>
      <c r="DE293" s="28"/>
      <c r="DF293" s="28"/>
      <c r="DG293" s="28"/>
      <c r="DH293" s="28"/>
      <c r="DI293" s="28"/>
      <c r="DJ293" s="28"/>
      <c r="DK293" s="28"/>
      <c r="DL293" s="28"/>
      <c r="DM293" s="28"/>
      <c r="DN293" s="28"/>
      <c r="DO293" s="28"/>
      <c r="DP293" s="28"/>
      <c r="DQ293" s="28"/>
      <c r="DR293" s="28"/>
      <c r="DS293" s="28"/>
      <c r="DT293" s="28"/>
      <c r="DU293" s="28"/>
      <c r="DV293" s="28"/>
      <c r="DW293" s="28"/>
      <c r="DX293" s="28"/>
      <c r="DY293" s="28"/>
      <c r="DZ293" s="28"/>
      <c r="EA293" s="28"/>
      <c r="EB293" s="28"/>
      <c r="EC293" s="28"/>
      <c r="ED293" s="28"/>
      <c r="EE293" s="28"/>
      <c r="EF293" s="28"/>
      <c r="EG293" s="28"/>
      <c r="EH293" s="28"/>
      <c r="EI293" s="28"/>
      <c r="EJ293" s="28"/>
      <c r="EK293" s="28"/>
      <c r="EL293" s="28"/>
      <c r="EM293" s="28"/>
      <c r="EN293" s="28"/>
      <c r="EO293" s="28"/>
      <c r="EP293" s="28"/>
      <c r="EQ293" s="28"/>
      <c r="ER293" s="28"/>
      <c r="ES293" s="28"/>
      <c r="ET293" s="28"/>
      <c r="EU293" s="28"/>
      <c r="EV293" s="28"/>
      <c r="EW293" s="28"/>
      <c r="EX293" s="28"/>
      <c r="EY293" s="28"/>
      <c r="EZ293" s="28"/>
      <c r="FA293" s="28"/>
      <c r="FB293" s="28"/>
      <c r="FC293" s="28"/>
      <c r="FD293" s="28"/>
      <c r="FE293" s="28"/>
      <c r="FF293" s="28"/>
      <c r="FG293" s="28"/>
      <c r="FH293" s="28"/>
      <c r="FI293" s="28"/>
      <c r="FJ293" s="28"/>
      <c r="FK293" s="28"/>
      <c r="FL293" s="28"/>
      <c r="FM293" s="28"/>
      <c r="FN293" s="28"/>
      <c r="FO293" s="28"/>
      <c r="FP293" s="28"/>
      <c r="FQ293" s="28"/>
      <c r="FR293" s="28"/>
      <c r="FS293" s="28"/>
      <c r="FT293" s="28"/>
      <c r="FU293" s="28"/>
      <c r="FV293" s="28"/>
      <c r="FW293" s="28"/>
      <c r="FX293" s="28"/>
      <c r="FY293" s="28"/>
      <c r="FZ293" s="28"/>
      <c r="GA293" s="28"/>
      <c r="GB293" s="28"/>
      <c r="GC293" s="28"/>
      <c r="GD293" s="28"/>
      <c r="GE293" s="28"/>
      <c r="GF293" s="28"/>
      <c r="GG293" s="28"/>
    </row>
    <row r="294" spans="1:189" s="28" customFormat="1" ht="78.75" x14ac:dyDescent="0.25">
      <c r="A294" s="38" t="s">
        <v>268</v>
      </c>
      <c r="B294" s="34">
        <f t="shared" si="168"/>
        <v>386882</v>
      </c>
      <c r="C294" s="34">
        <f t="shared" si="168"/>
        <v>386882</v>
      </c>
      <c r="D294" s="34">
        <f t="shared" si="168"/>
        <v>0</v>
      </c>
      <c r="E294" s="34"/>
      <c r="F294" s="34"/>
      <c r="G294" s="34">
        <f t="shared" si="177"/>
        <v>0</v>
      </c>
      <c r="H294" s="34"/>
      <c r="I294" s="34"/>
      <c r="J294" s="34">
        <f t="shared" si="91"/>
        <v>0</v>
      </c>
      <c r="K294" s="34">
        <v>0</v>
      </c>
      <c r="L294" s="34">
        <v>0</v>
      </c>
      <c r="M294" s="34">
        <f t="shared" si="92"/>
        <v>0</v>
      </c>
      <c r="N294" s="34">
        <v>386882</v>
      </c>
      <c r="O294" s="34">
        <v>386882</v>
      </c>
      <c r="P294" s="34">
        <f t="shared" si="93"/>
        <v>0</v>
      </c>
      <c r="Q294" s="34"/>
      <c r="R294" s="34"/>
      <c r="S294" s="34">
        <f t="shared" si="94"/>
        <v>0</v>
      </c>
      <c r="T294" s="34"/>
      <c r="U294" s="34"/>
      <c r="V294" s="34">
        <f t="shared" si="95"/>
        <v>0</v>
      </c>
      <c r="W294" s="34"/>
      <c r="X294" s="34"/>
      <c r="Y294" s="34">
        <f t="shared" si="96"/>
        <v>0</v>
      </c>
      <c r="Z294" s="34"/>
      <c r="AA294" s="34"/>
      <c r="AB294" s="34">
        <f t="shared" si="97"/>
        <v>0</v>
      </c>
      <c r="FN294" s="25"/>
      <c r="FO294" s="25"/>
      <c r="FP294" s="25"/>
      <c r="FQ294" s="25"/>
      <c r="FR294" s="25"/>
      <c r="FS294" s="25"/>
      <c r="FT294" s="25"/>
      <c r="FU294" s="25"/>
      <c r="FV294" s="25"/>
      <c r="FW294" s="25"/>
      <c r="FX294" s="25"/>
      <c r="FY294" s="25"/>
      <c r="FZ294" s="25"/>
      <c r="GA294" s="25"/>
      <c r="GB294" s="25"/>
      <c r="GC294" s="25"/>
      <c r="GD294" s="25"/>
      <c r="GE294" s="25"/>
      <c r="GF294" s="25"/>
      <c r="GG294" s="25"/>
    </row>
    <row r="295" spans="1:189" s="28" customFormat="1" ht="31.5" x14ac:dyDescent="0.25">
      <c r="A295" s="26" t="s">
        <v>178</v>
      </c>
      <c r="B295" s="27">
        <f t="shared" si="168"/>
        <v>26490</v>
      </c>
      <c r="C295" s="27">
        <f t="shared" si="168"/>
        <v>26490</v>
      </c>
      <c r="D295" s="27">
        <f t="shared" si="168"/>
        <v>0</v>
      </c>
      <c r="E295" s="27">
        <f>SUM(E296:E301)</f>
        <v>0</v>
      </c>
      <c r="F295" s="27">
        <f>SUM(F296:F301)</f>
        <v>0</v>
      </c>
      <c r="G295" s="27">
        <f t="shared" si="177"/>
        <v>0</v>
      </c>
      <c r="H295" s="27">
        <f t="shared" ref="H295:I295" si="230">SUM(H296:H301)</f>
        <v>0</v>
      </c>
      <c r="I295" s="27">
        <f t="shared" si="230"/>
        <v>0</v>
      </c>
      <c r="J295" s="27">
        <f t="shared" si="91"/>
        <v>0</v>
      </c>
      <c r="K295" s="27">
        <f t="shared" ref="K295:L295" si="231">SUM(K296:K301)</f>
        <v>1461</v>
      </c>
      <c r="L295" s="27">
        <f t="shared" si="231"/>
        <v>1461</v>
      </c>
      <c r="M295" s="27">
        <f t="shared" si="92"/>
        <v>0</v>
      </c>
      <c r="N295" s="27">
        <f t="shared" ref="N295:O295" si="232">SUM(N296:N301)</f>
        <v>5348</v>
      </c>
      <c r="O295" s="27">
        <f t="shared" si="232"/>
        <v>5348</v>
      </c>
      <c r="P295" s="27">
        <f t="shared" si="93"/>
        <v>0</v>
      </c>
      <c r="Q295" s="27">
        <f t="shared" ref="Q295:R295" si="233">SUM(Q296:Q301)</f>
        <v>19681</v>
      </c>
      <c r="R295" s="27">
        <f t="shared" si="233"/>
        <v>19681</v>
      </c>
      <c r="S295" s="27">
        <f t="shared" si="94"/>
        <v>0</v>
      </c>
      <c r="T295" s="27">
        <f t="shared" ref="T295:U295" si="234">SUM(T296:T301)</f>
        <v>0</v>
      </c>
      <c r="U295" s="27">
        <f t="shared" si="234"/>
        <v>0</v>
      </c>
      <c r="V295" s="27">
        <f t="shared" si="95"/>
        <v>0</v>
      </c>
      <c r="W295" s="27">
        <f t="shared" ref="W295:X295" si="235">SUM(W296:W301)</f>
        <v>0</v>
      </c>
      <c r="X295" s="27">
        <f t="shared" si="235"/>
        <v>0</v>
      </c>
      <c r="Y295" s="27">
        <f t="shared" si="96"/>
        <v>0</v>
      </c>
      <c r="Z295" s="27">
        <f t="shared" ref="Z295:AA295" si="236">SUM(Z296:Z301)</f>
        <v>0</v>
      </c>
      <c r="AA295" s="27">
        <f t="shared" si="236"/>
        <v>0</v>
      </c>
      <c r="AB295" s="27">
        <f t="shared" si="97"/>
        <v>0</v>
      </c>
    </row>
    <row r="296" spans="1:189" s="28" customFormat="1" ht="78.75" x14ac:dyDescent="0.25">
      <c r="A296" s="35" t="s">
        <v>269</v>
      </c>
      <c r="B296" s="31">
        <f t="shared" si="168"/>
        <v>1600</v>
      </c>
      <c r="C296" s="31">
        <f t="shared" si="168"/>
        <v>1600</v>
      </c>
      <c r="D296" s="31">
        <f t="shared" si="168"/>
        <v>0</v>
      </c>
      <c r="E296" s="31"/>
      <c r="F296" s="31"/>
      <c r="G296" s="31">
        <f t="shared" si="177"/>
        <v>0</v>
      </c>
      <c r="H296" s="31"/>
      <c r="I296" s="31"/>
      <c r="J296" s="31">
        <f t="shared" si="91"/>
        <v>0</v>
      </c>
      <c r="K296" s="31"/>
      <c r="L296" s="31"/>
      <c r="M296" s="31">
        <f t="shared" si="92"/>
        <v>0</v>
      </c>
      <c r="N296" s="31">
        <v>1600</v>
      </c>
      <c r="O296" s="31">
        <v>1600</v>
      </c>
      <c r="P296" s="31">
        <f t="shared" si="93"/>
        <v>0</v>
      </c>
      <c r="Q296" s="31"/>
      <c r="R296" s="31"/>
      <c r="S296" s="31">
        <f t="shared" si="94"/>
        <v>0</v>
      </c>
      <c r="T296" s="31"/>
      <c r="U296" s="31"/>
      <c r="V296" s="31">
        <f t="shared" si="95"/>
        <v>0</v>
      </c>
      <c r="W296" s="31"/>
      <c r="X296" s="31"/>
      <c r="Y296" s="31">
        <f t="shared" si="96"/>
        <v>0</v>
      </c>
      <c r="Z296" s="31"/>
      <c r="AA296" s="31"/>
      <c r="AB296" s="31">
        <f t="shared" si="97"/>
        <v>0</v>
      </c>
    </row>
    <row r="297" spans="1:189" s="25" customFormat="1" ht="63" x14ac:dyDescent="0.25">
      <c r="A297" s="35" t="s">
        <v>270</v>
      </c>
      <c r="B297" s="37">
        <f t="shared" si="168"/>
        <v>3748</v>
      </c>
      <c r="C297" s="37">
        <f t="shared" si="168"/>
        <v>3748</v>
      </c>
      <c r="D297" s="37">
        <f t="shared" si="168"/>
        <v>0</v>
      </c>
      <c r="E297" s="37"/>
      <c r="F297" s="37"/>
      <c r="G297" s="37">
        <f t="shared" si="177"/>
        <v>0</v>
      </c>
      <c r="H297" s="37"/>
      <c r="I297" s="37"/>
      <c r="J297" s="37">
        <f t="shared" si="91"/>
        <v>0</v>
      </c>
      <c r="K297" s="37"/>
      <c r="L297" s="37"/>
      <c r="M297" s="37">
        <f t="shared" si="92"/>
        <v>0</v>
      </c>
      <c r="N297" s="37">
        <v>3748</v>
      </c>
      <c r="O297" s="37">
        <v>3748</v>
      </c>
      <c r="P297" s="37">
        <f t="shared" si="93"/>
        <v>0</v>
      </c>
      <c r="Q297" s="37"/>
      <c r="R297" s="37"/>
      <c r="S297" s="37">
        <f t="shared" si="94"/>
        <v>0</v>
      </c>
      <c r="T297" s="37"/>
      <c r="U297" s="37"/>
      <c r="V297" s="37">
        <f t="shared" si="95"/>
        <v>0</v>
      </c>
      <c r="W297" s="37"/>
      <c r="X297" s="37"/>
      <c r="Y297" s="37">
        <f t="shared" si="96"/>
        <v>0</v>
      </c>
      <c r="Z297" s="37"/>
      <c r="AA297" s="37"/>
      <c r="AB297" s="37">
        <f t="shared" si="97"/>
        <v>0</v>
      </c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  <c r="BA297" s="28"/>
      <c r="BB297" s="28"/>
      <c r="BC297" s="28"/>
      <c r="BD297" s="28"/>
      <c r="BE297" s="28"/>
      <c r="BF297" s="28"/>
      <c r="BG297" s="28"/>
      <c r="BH297" s="28"/>
      <c r="BI297" s="28"/>
      <c r="BJ297" s="28"/>
      <c r="BK297" s="28"/>
      <c r="BL297" s="28"/>
      <c r="BM297" s="28"/>
      <c r="BN297" s="28"/>
      <c r="BO297" s="28"/>
      <c r="BP297" s="28"/>
      <c r="BQ297" s="28"/>
      <c r="BR297" s="28"/>
      <c r="BS297" s="28"/>
      <c r="BT297" s="28"/>
      <c r="BU297" s="28"/>
      <c r="BV297" s="28"/>
      <c r="BW297" s="28"/>
      <c r="BX297" s="28"/>
      <c r="BY297" s="28"/>
      <c r="BZ297" s="28"/>
      <c r="CA297" s="28"/>
      <c r="CB297" s="28"/>
      <c r="CC297" s="28"/>
      <c r="CD297" s="28"/>
      <c r="CE297" s="28"/>
      <c r="CF297" s="28"/>
      <c r="CG297" s="28"/>
      <c r="CH297" s="28"/>
      <c r="CI297" s="28"/>
      <c r="CJ297" s="28"/>
      <c r="CK297" s="28"/>
      <c r="CL297" s="28"/>
      <c r="CM297" s="28"/>
      <c r="CN297" s="28"/>
      <c r="CO297" s="28"/>
      <c r="CP297" s="28"/>
      <c r="CQ297" s="28"/>
      <c r="CR297" s="28"/>
      <c r="CS297" s="28"/>
      <c r="CT297" s="28"/>
      <c r="CU297" s="28"/>
      <c r="CV297" s="28"/>
      <c r="CW297" s="28"/>
      <c r="CX297" s="28"/>
      <c r="CY297" s="28"/>
      <c r="CZ297" s="28"/>
      <c r="DA297" s="28"/>
      <c r="DB297" s="28"/>
      <c r="DC297" s="28"/>
      <c r="DD297" s="28"/>
      <c r="DE297" s="28"/>
      <c r="DF297" s="28"/>
      <c r="DG297" s="28"/>
      <c r="DH297" s="28"/>
      <c r="DI297" s="28"/>
      <c r="DJ297" s="28"/>
      <c r="DK297" s="28"/>
      <c r="DL297" s="28"/>
      <c r="DM297" s="28"/>
      <c r="DN297" s="28"/>
      <c r="DO297" s="28"/>
      <c r="DP297" s="28"/>
      <c r="DQ297" s="28"/>
      <c r="DR297" s="28"/>
      <c r="DS297" s="28"/>
      <c r="DT297" s="28"/>
      <c r="DU297" s="28"/>
      <c r="DV297" s="28"/>
      <c r="DW297" s="28"/>
      <c r="DX297" s="28"/>
      <c r="DY297" s="28"/>
      <c r="DZ297" s="28"/>
      <c r="EA297" s="28"/>
      <c r="EB297" s="28"/>
      <c r="EC297" s="28"/>
      <c r="ED297" s="28"/>
      <c r="EE297" s="28"/>
      <c r="EF297" s="28"/>
      <c r="EG297" s="28"/>
      <c r="EH297" s="28"/>
      <c r="EI297" s="28"/>
      <c r="EJ297" s="28"/>
      <c r="EK297" s="28"/>
      <c r="EL297" s="28"/>
      <c r="EM297" s="28"/>
      <c r="EN297" s="28"/>
      <c r="EO297" s="28"/>
      <c r="EP297" s="28"/>
      <c r="EQ297" s="28"/>
      <c r="ER297" s="28"/>
      <c r="ES297" s="28"/>
      <c r="ET297" s="28"/>
      <c r="EU297" s="28"/>
      <c r="EV297" s="28"/>
      <c r="EW297" s="28"/>
      <c r="EX297" s="28"/>
      <c r="EY297" s="28"/>
      <c r="EZ297" s="28"/>
      <c r="FA297" s="28"/>
      <c r="FB297" s="28"/>
      <c r="FC297" s="28"/>
      <c r="FD297" s="28"/>
      <c r="FE297" s="28"/>
      <c r="FF297" s="28"/>
      <c r="FG297" s="28"/>
      <c r="FH297" s="28"/>
      <c r="FI297" s="28"/>
      <c r="FJ297" s="28"/>
      <c r="FK297" s="28"/>
      <c r="FL297" s="28"/>
      <c r="FM297" s="28"/>
      <c r="FN297" s="28"/>
      <c r="FO297" s="28"/>
      <c r="FP297" s="28"/>
      <c r="FQ297" s="28"/>
      <c r="FR297" s="28"/>
      <c r="FS297" s="28"/>
      <c r="FT297" s="28"/>
      <c r="FU297" s="28"/>
      <c r="FV297" s="28"/>
      <c r="FW297" s="28"/>
      <c r="FX297" s="28"/>
      <c r="FY297" s="28"/>
      <c r="FZ297" s="28"/>
      <c r="GA297" s="28"/>
      <c r="GB297" s="28"/>
      <c r="GC297" s="28"/>
      <c r="GD297" s="28"/>
      <c r="GE297" s="28"/>
      <c r="GF297" s="28"/>
      <c r="GG297" s="28"/>
    </row>
    <row r="298" spans="1:189" s="28" customFormat="1" ht="47.25" x14ac:dyDescent="0.25">
      <c r="A298" s="33" t="s">
        <v>271</v>
      </c>
      <c r="B298" s="34">
        <f t="shared" si="168"/>
        <v>6414</v>
      </c>
      <c r="C298" s="34">
        <f t="shared" si="168"/>
        <v>6414</v>
      </c>
      <c r="D298" s="34">
        <f t="shared" si="168"/>
        <v>0</v>
      </c>
      <c r="E298" s="34"/>
      <c r="F298" s="34"/>
      <c r="G298" s="34">
        <f t="shared" si="177"/>
        <v>0</v>
      </c>
      <c r="H298" s="34"/>
      <c r="I298" s="34"/>
      <c r="J298" s="34">
        <f t="shared" si="91"/>
        <v>0</v>
      </c>
      <c r="K298" s="34"/>
      <c r="L298" s="34"/>
      <c r="M298" s="34">
        <f t="shared" si="92"/>
        <v>0</v>
      </c>
      <c r="N298" s="34"/>
      <c r="O298" s="34"/>
      <c r="P298" s="34">
        <f t="shared" si="93"/>
        <v>0</v>
      </c>
      <c r="Q298" s="34">
        <v>6414</v>
      </c>
      <c r="R298" s="34">
        <v>6414</v>
      </c>
      <c r="S298" s="34">
        <f t="shared" si="94"/>
        <v>0</v>
      </c>
      <c r="T298" s="34"/>
      <c r="U298" s="34"/>
      <c r="V298" s="34">
        <f t="shared" si="95"/>
        <v>0</v>
      </c>
      <c r="W298" s="34"/>
      <c r="X298" s="34"/>
      <c r="Y298" s="34">
        <f t="shared" si="96"/>
        <v>0</v>
      </c>
      <c r="Z298" s="34"/>
      <c r="AA298" s="34"/>
      <c r="AB298" s="34">
        <f t="shared" si="97"/>
        <v>0</v>
      </c>
    </row>
    <row r="299" spans="1:189" s="28" customFormat="1" ht="31.5" x14ac:dyDescent="0.25">
      <c r="A299" s="33" t="s">
        <v>272</v>
      </c>
      <c r="B299" s="34">
        <f t="shared" si="168"/>
        <v>1461</v>
      </c>
      <c r="C299" s="34">
        <f t="shared" si="168"/>
        <v>1461</v>
      </c>
      <c r="D299" s="34">
        <f t="shared" si="168"/>
        <v>0</v>
      </c>
      <c r="E299" s="34"/>
      <c r="F299" s="34"/>
      <c r="G299" s="34">
        <f t="shared" si="177"/>
        <v>0</v>
      </c>
      <c r="H299" s="34"/>
      <c r="I299" s="34"/>
      <c r="J299" s="34">
        <f t="shared" si="91"/>
        <v>0</v>
      </c>
      <c r="K299" s="34"/>
      <c r="L299" s="34"/>
      <c r="M299" s="34">
        <f t="shared" si="92"/>
        <v>0</v>
      </c>
      <c r="N299" s="34"/>
      <c r="O299" s="34"/>
      <c r="P299" s="34">
        <f t="shared" si="93"/>
        <v>0</v>
      </c>
      <c r="Q299" s="34">
        <v>1461</v>
      </c>
      <c r="R299" s="34">
        <v>1461</v>
      </c>
      <c r="S299" s="34">
        <f t="shared" si="94"/>
        <v>0</v>
      </c>
      <c r="T299" s="34"/>
      <c r="U299" s="34"/>
      <c r="V299" s="34">
        <f t="shared" si="95"/>
        <v>0</v>
      </c>
      <c r="W299" s="34"/>
      <c r="X299" s="34"/>
      <c r="Y299" s="34">
        <f t="shared" si="96"/>
        <v>0</v>
      </c>
      <c r="Z299" s="34"/>
      <c r="AA299" s="34"/>
      <c r="AB299" s="34">
        <f t="shared" si="97"/>
        <v>0</v>
      </c>
    </row>
    <row r="300" spans="1:189" s="28" customFormat="1" ht="31.5" x14ac:dyDescent="0.25">
      <c r="A300" s="33" t="s">
        <v>273</v>
      </c>
      <c r="B300" s="34">
        <f t="shared" si="168"/>
        <v>1461</v>
      </c>
      <c r="C300" s="34">
        <f t="shared" si="168"/>
        <v>1461</v>
      </c>
      <c r="D300" s="34">
        <f t="shared" si="168"/>
        <v>0</v>
      </c>
      <c r="E300" s="34"/>
      <c r="F300" s="34"/>
      <c r="G300" s="34">
        <f t="shared" si="177"/>
        <v>0</v>
      </c>
      <c r="H300" s="34"/>
      <c r="I300" s="34"/>
      <c r="J300" s="34">
        <f t="shared" si="91"/>
        <v>0</v>
      </c>
      <c r="K300" s="34">
        <v>1461</v>
      </c>
      <c r="L300" s="34">
        <v>1461</v>
      </c>
      <c r="M300" s="34">
        <f t="shared" si="92"/>
        <v>0</v>
      </c>
      <c r="N300" s="34"/>
      <c r="O300" s="34"/>
      <c r="P300" s="34">
        <f t="shared" si="93"/>
        <v>0</v>
      </c>
      <c r="Q300" s="34"/>
      <c r="R300" s="34"/>
      <c r="S300" s="34">
        <f t="shared" si="94"/>
        <v>0</v>
      </c>
      <c r="T300" s="34"/>
      <c r="U300" s="34"/>
      <c r="V300" s="34">
        <f t="shared" si="95"/>
        <v>0</v>
      </c>
      <c r="W300" s="34"/>
      <c r="X300" s="34"/>
      <c r="Y300" s="34">
        <f t="shared" si="96"/>
        <v>0</v>
      </c>
      <c r="Z300" s="34"/>
      <c r="AA300" s="34"/>
      <c r="AB300" s="34">
        <f t="shared" si="97"/>
        <v>0</v>
      </c>
    </row>
    <row r="301" spans="1:189" s="28" customFormat="1" x14ac:dyDescent="0.25">
      <c r="A301" s="33" t="s">
        <v>274</v>
      </c>
      <c r="B301" s="34">
        <f t="shared" si="168"/>
        <v>11806</v>
      </c>
      <c r="C301" s="34">
        <f t="shared" si="168"/>
        <v>11806</v>
      </c>
      <c r="D301" s="34">
        <f t="shared" si="168"/>
        <v>0</v>
      </c>
      <c r="E301" s="34"/>
      <c r="F301" s="34"/>
      <c r="G301" s="34">
        <f t="shared" si="177"/>
        <v>0</v>
      </c>
      <c r="H301" s="34"/>
      <c r="I301" s="34"/>
      <c r="J301" s="34">
        <f t="shared" si="91"/>
        <v>0</v>
      </c>
      <c r="K301" s="34"/>
      <c r="L301" s="34"/>
      <c r="M301" s="34">
        <f t="shared" si="92"/>
        <v>0</v>
      </c>
      <c r="N301" s="34"/>
      <c r="O301" s="34"/>
      <c r="P301" s="34">
        <f t="shared" si="93"/>
        <v>0</v>
      </c>
      <c r="Q301" s="34">
        <v>11806</v>
      </c>
      <c r="R301" s="34">
        <v>11806</v>
      </c>
      <c r="S301" s="34">
        <f t="shared" si="94"/>
        <v>0</v>
      </c>
      <c r="T301" s="34"/>
      <c r="U301" s="34"/>
      <c r="V301" s="34">
        <f t="shared" si="95"/>
        <v>0</v>
      </c>
      <c r="W301" s="34"/>
      <c r="X301" s="34"/>
      <c r="Y301" s="34">
        <f t="shared" si="96"/>
        <v>0</v>
      </c>
      <c r="Z301" s="34"/>
      <c r="AA301" s="34"/>
      <c r="AB301" s="34">
        <f t="shared" si="97"/>
        <v>0</v>
      </c>
    </row>
    <row r="302" spans="1:189" s="28" customFormat="1" x14ac:dyDescent="0.25">
      <c r="A302" s="26" t="s">
        <v>182</v>
      </c>
      <c r="B302" s="27">
        <f t="shared" si="168"/>
        <v>211283</v>
      </c>
      <c r="C302" s="27">
        <f t="shared" si="168"/>
        <v>211283</v>
      </c>
      <c r="D302" s="27">
        <f t="shared" si="168"/>
        <v>0</v>
      </c>
      <c r="E302" s="27">
        <f t="shared" ref="E302:AA302" si="237">SUM(E303:E306)</f>
        <v>0</v>
      </c>
      <c r="F302" s="27">
        <f t="shared" si="237"/>
        <v>0</v>
      </c>
      <c r="G302" s="27">
        <f t="shared" si="177"/>
        <v>0</v>
      </c>
      <c r="H302" s="27">
        <f t="shared" ref="H302" si="238">SUM(H303:H306)</f>
        <v>0</v>
      </c>
      <c r="I302" s="27">
        <f t="shared" si="237"/>
        <v>0</v>
      </c>
      <c r="J302" s="27">
        <f t="shared" si="91"/>
        <v>0</v>
      </c>
      <c r="K302" s="27">
        <f t="shared" ref="K302" si="239">SUM(K303:K306)</f>
        <v>29295</v>
      </c>
      <c r="L302" s="27">
        <f t="shared" si="237"/>
        <v>29295</v>
      </c>
      <c r="M302" s="27">
        <f t="shared" si="92"/>
        <v>0</v>
      </c>
      <c r="N302" s="27">
        <f t="shared" ref="N302" si="240">SUM(N303:N306)</f>
        <v>181988</v>
      </c>
      <c r="O302" s="27">
        <f t="shared" si="237"/>
        <v>181988</v>
      </c>
      <c r="P302" s="27">
        <f t="shared" si="93"/>
        <v>0</v>
      </c>
      <c r="Q302" s="27">
        <f t="shared" ref="Q302" si="241">SUM(Q303:Q306)</f>
        <v>0</v>
      </c>
      <c r="R302" s="27">
        <f t="shared" si="237"/>
        <v>0</v>
      </c>
      <c r="S302" s="27">
        <f t="shared" si="94"/>
        <v>0</v>
      </c>
      <c r="T302" s="27">
        <f t="shared" ref="T302" si="242">SUM(T303:T306)</f>
        <v>0</v>
      </c>
      <c r="U302" s="27">
        <f t="shared" si="237"/>
        <v>0</v>
      </c>
      <c r="V302" s="27">
        <f t="shared" si="95"/>
        <v>0</v>
      </c>
      <c r="W302" s="27">
        <f t="shared" ref="W302" si="243">SUM(W303:W306)</f>
        <v>0</v>
      </c>
      <c r="X302" s="27">
        <f t="shared" si="237"/>
        <v>0</v>
      </c>
      <c r="Y302" s="27">
        <f t="shared" si="96"/>
        <v>0</v>
      </c>
      <c r="Z302" s="27">
        <f t="shared" ref="Z302" si="244">SUM(Z303:Z306)</f>
        <v>0</v>
      </c>
      <c r="AA302" s="27">
        <f t="shared" si="237"/>
        <v>0</v>
      </c>
      <c r="AB302" s="27">
        <f t="shared" si="97"/>
        <v>0</v>
      </c>
    </row>
    <row r="303" spans="1:189" s="25" customFormat="1" ht="94.5" x14ac:dyDescent="0.25">
      <c r="A303" s="35" t="s">
        <v>275</v>
      </c>
      <c r="B303" s="37">
        <f t="shared" si="168"/>
        <v>75000</v>
      </c>
      <c r="C303" s="37">
        <f t="shared" si="168"/>
        <v>75000</v>
      </c>
      <c r="D303" s="37">
        <f t="shared" si="168"/>
        <v>0</v>
      </c>
      <c r="E303" s="37"/>
      <c r="F303" s="37"/>
      <c r="G303" s="37">
        <f t="shared" si="177"/>
        <v>0</v>
      </c>
      <c r="H303" s="37"/>
      <c r="I303" s="37"/>
      <c r="J303" s="37">
        <f t="shared" si="91"/>
        <v>0</v>
      </c>
      <c r="K303" s="37"/>
      <c r="L303" s="37"/>
      <c r="M303" s="37">
        <f t="shared" si="92"/>
        <v>0</v>
      </c>
      <c r="N303" s="37">
        <v>75000</v>
      </c>
      <c r="O303" s="37">
        <v>75000</v>
      </c>
      <c r="P303" s="37">
        <f t="shared" si="93"/>
        <v>0</v>
      </c>
      <c r="Q303" s="37"/>
      <c r="R303" s="37"/>
      <c r="S303" s="37">
        <f t="shared" si="94"/>
        <v>0</v>
      </c>
      <c r="T303" s="37"/>
      <c r="U303" s="37"/>
      <c r="V303" s="37">
        <f t="shared" si="95"/>
        <v>0</v>
      </c>
      <c r="W303" s="37"/>
      <c r="X303" s="37"/>
      <c r="Y303" s="37">
        <f t="shared" si="96"/>
        <v>0</v>
      </c>
      <c r="Z303" s="37"/>
      <c r="AA303" s="37"/>
      <c r="AB303" s="37">
        <f t="shared" si="97"/>
        <v>0</v>
      </c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28"/>
      <c r="BA303" s="28"/>
      <c r="BB303" s="28"/>
      <c r="BC303" s="28"/>
      <c r="BD303" s="28"/>
      <c r="BE303" s="28"/>
      <c r="BF303" s="28"/>
      <c r="BG303" s="28"/>
      <c r="BH303" s="28"/>
      <c r="BI303" s="28"/>
      <c r="BJ303" s="28"/>
      <c r="BK303" s="28"/>
      <c r="BL303" s="28"/>
      <c r="BM303" s="28"/>
      <c r="BN303" s="28"/>
      <c r="BO303" s="28"/>
      <c r="BP303" s="28"/>
      <c r="BQ303" s="28"/>
      <c r="BR303" s="28"/>
      <c r="BS303" s="28"/>
      <c r="BT303" s="28"/>
      <c r="BU303" s="28"/>
      <c r="BV303" s="28"/>
      <c r="BW303" s="28"/>
      <c r="BX303" s="28"/>
      <c r="BY303" s="28"/>
      <c r="BZ303" s="28"/>
      <c r="CA303" s="28"/>
      <c r="CB303" s="28"/>
      <c r="CC303" s="28"/>
      <c r="CD303" s="28"/>
      <c r="CE303" s="28"/>
      <c r="CF303" s="28"/>
      <c r="CG303" s="28"/>
      <c r="CH303" s="28"/>
      <c r="CI303" s="28"/>
      <c r="CJ303" s="28"/>
      <c r="CK303" s="28"/>
      <c r="CL303" s="28"/>
      <c r="CM303" s="28"/>
      <c r="CN303" s="28"/>
      <c r="CO303" s="28"/>
      <c r="CP303" s="28"/>
      <c r="CQ303" s="28"/>
      <c r="CR303" s="28"/>
      <c r="CS303" s="28"/>
      <c r="CT303" s="28"/>
      <c r="CU303" s="28"/>
      <c r="CV303" s="28"/>
      <c r="CW303" s="28"/>
      <c r="CX303" s="28"/>
      <c r="CY303" s="28"/>
      <c r="CZ303" s="28"/>
      <c r="DA303" s="28"/>
      <c r="DB303" s="28"/>
      <c r="DC303" s="28"/>
      <c r="DD303" s="28"/>
      <c r="DE303" s="28"/>
      <c r="DF303" s="28"/>
      <c r="DG303" s="28"/>
      <c r="DH303" s="28"/>
      <c r="DI303" s="28"/>
      <c r="DJ303" s="28"/>
      <c r="DK303" s="28"/>
      <c r="DL303" s="28"/>
      <c r="DM303" s="28"/>
      <c r="DN303" s="28"/>
      <c r="DO303" s="28"/>
      <c r="DP303" s="28"/>
      <c r="DQ303" s="28"/>
      <c r="DR303" s="28"/>
      <c r="DS303" s="28"/>
      <c r="DT303" s="28"/>
      <c r="DU303" s="28"/>
      <c r="DV303" s="28"/>
      <c r="DW303" s="28"/>
      <c r="DX303" s="28"/>
      <c r="DY303" s="28"/>
      <c r="DZ303" s="28"/>
      <c r="EA303" s="28"/>
      <c r="EB303" s="28"/>
      <c r="EC303" s="28"/>
      <c r="ED303" s="28"/>
      <c r="EE303" s="28"/>
      <c r="EF303" s="28"/>
      <c r="EG303" s="28"/>
      <c r="EH303" s="28"/>
      <c r="EI303" s="28"/>
      <c r="EJ303" s="28"/>
      <c r="EK303" s="28"/>
      <c r="EL303" s="28"/>
      <c r="EM303" s="28"/>
      <c r="EN303" s="28"/>
      <c r="EO303" s="28"/>
      <c r="EP303" s="28"/>
      <c r="EQ303" s="28"/>
      <c r="ER303" s="28"/>
      <c r="ES303" s="28"/>
      <c r="ET303" s="28"/>
      <c r="EU303" s="28"/>
      <c r="EV303" s="28"/>
      <c r="EW303" s="28"/>
      <c r="EX303" s="28"/>
      <c r="EY303" s="28"/>
      <c r="EZ303" s="28"/>
      <c r="FA303" s="28"/>
      <c r="FB303" s="28"/>
      <c r="FC303" s="28"/>
      <c r="FD303" s="28"/>
      <c r="FE303" s="28"/>
      <c r="FF303" s="28"/>
      <c r="FG303" s="28"/>
      <c r="FH303" s="28"/>
      <c r="FI303" s="28"/>
      <c r="FJ303" s="28"/>
      <c r="FK303" s="28"/>
      <c r="FL303" s="28"/>
      <c r="FM303" s="28"/>
      <c r="FN303" s="28"/>
      <c r="FO303" s="28"/>
      <c r="FP303" s="28"/>
      <c r="FQ303" s="28"/>
      <c r="FR303" s="28"/>
      <c r="FS303" s="28"/>
      <c r="FT303" s="28"/>
      <c r="FU303" s="28"/>
      <c r="FV303" s="28"/>
      <c r="FW303" s="28"/>
      <c r="FX303" s="28"/>
      <c r="FY303" s="28"/>
      <c r="FZ303" s="28"/>
      <c r="GA303" s="28"/>
      <c r="GB303" s="28"/>
      <c r="GC303" s="28"/>
      <c r="GD303" s="28"/>
      <c r="GE303" s="28"/>
      <c r="GF303" s="28"/>
      <c r="GG303" s="28"/>
    </row>
    <row r="304" spans="1:189" s="28" customFormat="1" ht="31.5" x14ac:dyDescent="0.25">
      <c r="A304" s="35" t="s">
        <v>276</v>
      </c>
      <c r="B304" s="31">
        <f t="shared" si="168"/>
        <v>29295</v>
      </c>
      <c r="C304" s="31">
        <f t="shared" si="168"/>
        <v>29295</v>
      </c>
      <c r="D304" s="31">
        <f t="shared" si="168"/>
        <v>0</v>
      </c>
      <c r="E304" s="31"/>
      <c r="F304" s="31"/>
      <c r="G304" s="31">
        <f t="shared" si="177"/>
        <v>0</v>
      </c>
      <c r="H304" s="31"/>
      <c r="I304" s="31"/>
      <c r="J304" s="31">
        <f t="shared" si="91"/>
        <v>0</v>
      </c>
      <c r="K304" s="31">
        <v>29295</v>
      </c>
      <c r="L304" s="31">
        <v>29295</v>
      </c>
      <c r="M304" s="31">
        <f t="shared" si="92"/>
        <v>0</v>
      </c>
      <c r="N304" s="31"/>
      <c r="O304" s="31"/>
      <c r="P304" s="31">
        <f t="shared" si="93"/>
        <v>0</v>
      </c>
      <c r="Q304" s="31"/>
      <c r="R304" s="31"/>
      <c r="S304" s="31">
        <f t="shared" si="94"/>
        <v>0</v>
      </c>
      <c r="T304" s="31"/>
      <c r="U304" s="31"/>
      <c r="V304" s="31">
        <f t="shared" si="95"/>
        <v>0</v>
      </c>
      <c r="W304" s="31"/>
      <c r="X304" s="31"/>
      <c r="Y304" s="31">
        <f t="shared" si="96"/>
        <v>0</v>
      </c>
      <c r="Z304" s="31"/>
      <c r="AA304" s="31"/>
      <c r="AB304" s="31">
        <f t="shared" si="97"/>
        <v>0</v>
      </c>
    </row>
    <row r="305" spans="1:189" s="28" customFormat="1" ht="78.75" x14ac:dyDescent="0.25">
      <c r="A305" s="35" t="s">
        <v>277</v>
      </c>
      <c r="B305" s="31">
        <f t="shared" si="168"/>
        <v>29988</v>
      </c>
      <c r="C305" s="31">
        <f t="shared" si="168"/>
        <v>29988</v>
      </c>
      <c r="D305" s="31">
        <f t="shared" si="168"/>
        <v>0</v>
      </c>
      <c r="E305" s="31"/>
      <c r="F305" s="31"/>
      <c r="G305" s="31">
        <f t="shared" si="177"/>
        <v>0</v>
      </c>
      <c r="H305" s="31"/>
      <c r="I305" s="31"/>
      <c r="J305" s="31">
        <f t="shared" si="91"/>
        <v>0</v>
      </c>
      <c r="K305" s="31"/>
      <c r="L305" s="31"/>
      <c r="M305" s="31">
        <f t="shared" si="92"/>
        <v>0</v>
      </c>
      <c r="N305" s="31">
        <f>29970+18</f>
        <v>29988</v>
      </c>
      <c r="O305" s="31">
        <f>29970+18</f>
        <v>29988</v>
      </c>
      <c r="P305" s="31">
        <f t="shared" si="93"/>
        <v>0</v>
      </c>
      <c r="Q305" s="31"/>
      <c r="R305" s="31"/>
      <c r="S305" s="31">
        <f t="shared" si="94"/>
        <v>0</v>
      </c>
      <c r="T305" s="31"/>
      <c r="U305" s="31"/>
      <c r="V305" s="31">
        <f t="shared" si="95"/>
        <v>0</v>
      </c>
      <c r="W305" s="31"/>
      <c r="X305" s="31"/>
      <c r="Y305" s="31">
        <f t="shared" si="96"/>
        <v>0</v>
      </c>
      <c r="Z305" s="31"/>
      <c r="AA305" s="31"/>
      <c r="AB305" s="31">
        <f t="shared" si="97"/>
        <v>0</v>
      </c>
    </row>
    <row r="306" spans="1:189" s="25" customFormat="1" ht="63" x14ac:dyDescent="0.25">
      <c r="A306" s="35" t="s">
        <v>278</v>
      </c>
      <c r="B306" s="37">
        <f t="shared" si="168"/>
        <v>77000</v>
      </c>
      <c r="C306" s="37">
        <f t="shared" si="168"/>
        <v>77000</v>
      </c>
      <c r="D306" s="37">
        <f t="shared" si="168"/>
        <v>0</v>
      </c>
      <c r="E306" s="37"/>
      <c r="F306" s="37"/>
      <c r="G306" s="37">
        <f t="shared" si="177"/>
        <v>0</v>
      </c>
      <c r="H306" s="37"/>
      <c r="I306" s="37"/>
      <c r="J306" s="37">
        <f t="shared" si="91"/>
        <v>0</v>
      </c>
      <c r="K306" s="37"/>
      <c r="L306" s="37"/>
      <c r="M306" s="37">
        <f t="shared" si="92"/>
        <v>0</v>
      </c>
      <c r="N306" s="37">
        <v>77000</v>
      </c>
      <c r="O306" s="37">
        <v>77000</v>
      </c>
      <c r="P306" s="37">
        <f t="shared" si="93"/>
        <v>0</v>
      </c>
      <c r="Q306" s="37"/>
      <c r="R306" s="37"/>
      <c r="S306" s="37">
        <f t="shared" si="94"/>
        <v>0</v>
      </c>
      <c r="T306" s="37"/>
      <c r="U306" s="37"/>
      <c r="V306" s="37">
        <f t="shared" si="95"/>
        <v>0</v>
      </c>
      <c r="W306" s="37"/>
      <c r="X306" s="37"/>
      <c r="Y306" s="37">
        <f t="shared" si="96"/>
        <v>0</v>
      </c>
      <c r="Z306" s="37"/>
      <c r="AA306" s="37"/>
      <c r="AB306" s="37">
        <f t="shared" si="97"/>
        <v>0</v>
      </c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28"/>
      <c r="BA306" s="28"/>
      <c r="BB306" s="28"/>
      <c r="BC306" s="28"/>
      <c r="BD306" s="28"/>
      <c r="BE306" s="28"/>
      <c r="BF306" s="28"/>
      <c r="BG306" s="28"/>
      <c r="BH306" s="28"/>
      <c r="BI306" s="28"/>
      <c r="BJ306" s="28"/>
      <c r="BK306" s="28"/>
      <c r="BL306" s="28"/>
      <c r="BM306" s="28"/>
      <c r="BN306" s="28"/>
      <c r="BO306" s="28"/>
      <c r="BP306" s="28"/>
      <c r="BQ306" s="28"/>
      <c r="BR306" s="28"/>
      <c r="BS306" s="28"/>
      <c r="BT306" s="28"/>
      <c r="BU306" s="28"/>
      <c r="BV306" s="28"/>
      <c r="BW306" s="28"/>
      <c r="BX306" s="28"/>
      <c r="BY306" s="28"/>
      <c r="BZ306" s="28"/>
      <c r="CA306" s="28"/>
      <c r="CB306" s="28"/>
      <c r="CC306" s="28"/>
      <c r="CD306" s="28"/>
      <c r="CE306" s="28"/>
      <c r="CF306" s="28"/>
      <c r="CG306" s="28"/>
      <c r="CH306" s="28"/>
      <c r="CI306" s="28"/>
      <c r="CJ306" s="28"/>
      <c r="CK306" s="28"/>
      <c r="CL306" s="28"/>
      <c r="CM306" s="28"/>
      <c r="CN306" s="28"/>
      <c r="CO306" s="28"/>
      <c r="CP306" s="28"/>
      <c r="CQ306" s="28"/>
      <c r="CR306" s="28"/>
      <c r="CS306" s="28"/>
      <c r="CT306" s="28"/>
      <c r="CU306" s="28"/>
      <c r="CV306" s="28"/>
      <c r="CW306" s="28"/>
      <c r="CX306" s="28"/>
      <c r="CY306" s="28"/>
      <c r="CZ306" s="28"/>
      <c r="DA306" s="28"/>
      <c r="DB306" s="28"/>
      <c r="DC306" s="28"/>
      <c r="DD306" s="28"/>
      <c r="DE306" s="28"/>
      <c r="DF306" s="28"/>
      <c r="DG306" s="28"/>
      <c r="DH306" s="28"/>
      <c r="DI306" s="28"/>
      <c r="DJ306" s="28"/>
      <c r="DK306" s="28"/>
      <c r="DL306" s="28"/>
      <c r="DM306" s="28"/>
      <c r="DN306" s="28"/>
      <c r="DO306" s="28"/>
      <c r="DP306" s="28"/>
      <c r="DQ306" s="28"/>
      <c r="DR306" s="28"/>
      <c r="DS306" s="28"/>
      <c r="DT306" s="28"/>
      <c r="DU306" s="28"/>
      <c r="DV306" s="28"/>
      <c r="DW306" s="28"/>
      <c r="DX306" s="28"/>
      <c r="DY306" s="28"/>
      <c r="DZ306" s="28"/>
      <c r="EA306" s="28"/>
      <c r="EB306" s="28"/>
      <c r="EC306" s="28"/>
      <c r="ED306" s="28"/>
      <c r="EE306" s="28"/>
      <c r="EF306" s="28"/>
      <c r="EG306" s="28"/>
      <c r="EH306" s="28"/>
      <c r="EI306" s="28"/>
      <c r="EJ306" s="28"/>
      <c r="EK306" s="28"/>
      <c r="EL306" s="28"/>
      <c r="EM306" s="28"/>
      <c r="EN306" s="28"/>
      <c r="EO306" s="28"/>
      <c r="EP306" s="28"/>
      <c r="EQ306" s="28"/>
      <c r="ER306" s="28"/>
      <c r="ES306" s="28"/>
      <c r="ET306" s="28"/>
      <c r="EU306" s="28"/>
      <c r="EV306" s="28"/>
      <c r="EW306" s="28"/>
      <c r="EX306" s="28"/>
      <c r="EY306" s="28"/>
      <c r="EZ306" s="28"/>
      <c r="FA306" s="28"/>
      <c r="FB306" s="28"/>
      <c r="FC306" s="28"/>
      <c r="FD306" s="28"/>
      <c r="FE306" s="28"/>
      <c r="FF306" s="28"/>
      <c r="FG306" s="28"/>
      <c r="FH306" s="28"/>
      <c r="FI306" s="28"/>
      <c r="FJ306" s="28"/>
      <c r="FK306" s="28"/>
      <c r="FL306" s="28"/>
      <c r="FM306" s="28"/>
      <c r="FN306" s="28"/>
      <c r="FO306" s="28"/>
      <c r="FP306" s="28"/>
      <c r="FQ306" s="28"/>
      <c r="FR306" s="28"/>
      <c r="FS306" s="28"/>
      <c r="FT306" s="28"/>
      <c r="FU306" s="28"/>
      <c r="FV306" s="28"/>
      <c r="FW306" s="28"/>
      <c r="FX306" s="28"/>
      <c r="FY306" s="28"/>
      <c r="FZ306" s="28"/>
      <c r="GA306" s="28"/>
      <c r="GB306" s="28"/>
      <c r="GC306" s="28"/>
      <c r="GD306" s="28"/>
      <c r="GE306" s="28"/>
      <c r="GF306" s="28"/>
      <c r="GG306" s="28"/>
    </row>
    <row r="307" spans="1:189" s="28" customFormat="1" x14ac:dyDescent="0.25">
      <c r="A307" s="26" t="s">
        <v>184</v>
      </c>
      <c r="B307" s="27">
        <f t="shared" si="168"/>
        <v>33238</v>
      </c>
      <c r="C307" s="27">
        <f t="shared" si="168"/>
        <v>35155</v>
      </c>
      <c r="D307" s="27">
        <f t="shared" si="168"/>
        <v>1917</v>
      </c>
      <c r="E307" s="27">
        <f>SUM(E308:E310)</f>
        <v>0</v>
      </c>
      <c r="F307" s="27">
        <f>SUM(F308:F310)</f>
        <v>0</v>
      </c>
      <c r="G307" s="27">
        <f t="shared" si="177"/>
        <v>0</v>
      </c>
      <c r="H307" s="27">
        <f>SUM(H308:H310)</f>
        <v>0</v>
      </c>
      <c r="I307" s="27">
        <f>SUM(I308:I310)</f>
        <v>0</v>
      </c>
      <c r="J307" s="27">
        <f t="shared" si="91"/>
        <v>0</v>
      </c>
      <c r="K307" s="27">
        <f>SUM(K308:K310)</f>
        <v>0</v>
      </c>
      <c r="L307" s="27">
        <f>SUM(L308:L310)</f>
        <v>0</v>
      </c>
      <c r="M307" s="27">
        <f t="shared" si="92"/>
        <v>0</v>
      </c>
      <c r="N307" s="27">
        <f>SUM(N308:N310)</f>
        <v>33238</v>
      </c>
      <c r="O307" s="27">
        <f>SUM(O308:O310)</f>
        <v>33238</v>
      </c>
      <c r="P307" s="27">
        <f t="shared" si="93"/>
        <v>0</v>
      </c>
      <c r="Q307" s="27">
        <f>SUM(Q308:Q310)</f>
        <v>0</v>
      </c>
      <c r="R307" s="27">
        <f>SUM(R308:R310)</f>
        <v>1917</v>
      </c>
      <c r="S307" s="27">
        <f t="shared" si="94"/>
        <v>1917</v>
      </c>
      <c r="T307" s="27">
        <f>SUM(T308:T310)</f>
        <v>0</v>
      </c>
      <c r="U307" s="27">
        <f>SUM(U308:U310)</f>
        <v>0</v>
      </c>
      <c r="V307" s="27">
        <f t="shared" si="95"/>
        <v>0</v>
      </c>
      <c r="W307" s="27">
        <f>SUM(W308:W310)</f>
        <v>0</v>
      </c>
      <c r="X307" s="27">
        <f>SUM(X308:X310)</f>
        <v>0</v>
      </c>
      <c r="Y307" s="27">
        <f t="shared" si="96"/>
        <v>0</v>
      </c>
      <c r="Z307" s="27">
        <f>SUM(Z308:Z310)</f>
        <v>0</v>
      </c>
      <c r="AA307" s="27">
        <f>SUM(AA308:AA310)</f>
        <v>0</v>
      </c>
      <c r="AB307" s="27">
        <f t="shared" si="97"/>
        <v>0</v>
      </c>
      <c r="AC307" s="25"/>
      <c r="AD307" s="25"/>
      <c r="AE307" s="25"/>
      <c r="AF307" s="25"/>
      <c r="AG307" s="25"/>
      <c r="AH307" s="25"/>
      <c r="AI307" s="25"/>
      <c r="AJ307" s="25"/>
      <c r="AK307" s="25"/>
      <c r="AL307" s="25"/>
      <c r="AM307" s="25"/>
      <c r="AN307" s="25"/>
      <c r="AO307" s="25"/>
      <c r="AP307" s="25"/>
      <c r="AQ307" s="25"/>
      <c r="AR307" s="25"/>
      <c r="AS307" s="25"/>
      <c r="AT307" s="25"/>
      <c r="AU307" s="25"/>
      <c r="AV307" s="25"/>
      <c r="AW307" s="25"/>
      <c r="AX307" s="25"/>
      <c r="AY307" s="25"/>
      <c r="AZ307" s="25"/>
      <c r="BA307" s="25"/>
      <c r="BB307" s="25"/>
      <c r="BC307" s="25"/>
      <c r="BD307" s="25"/>
      <c r="BE307" s="25"/>
      <c r="BF307" s="25"/>
      <c r="BG307" s="25"/>
      <c r="BH307" s="25"/>
      <c r="BI307" s="25"/>
      <c r="BJ307" s="25"/>
      <c r="BK307" s="25"/>
      <c r="BL307" s="25"/>
      <c r="BM307" s="25"/>
      <c r="BN307" s="25"/>
      <c r="BO307" s="25"/>
      <c r="BP307" s="25"/>
      <c r="BQ307" s="25"/>
      <c r="BR307" s="25"/>
      <c r="BS307" s="25"/>
      <c r="BT307" s="25"/>
      <c r="BU307" s="25"/>
      <c r="BV307" s="25"/>
      <c r="BW307" s="25"/>
      <c r="BX307" s="25"/>
      <c r="BY307" s="25"/>
      <c r="BZ307" s="25"/>
      <c r="CA307" s="25"/>
      <c r="CB307" s="25"/>
      <c r="CC307" s="25"/>
      <c r="CD307" s="25"/>
      <c r="CE307" s="25"/>
      <c r="CF307" s="25"/>
      <c r="CG307" s="25"/>
      <c r="CH307" s="25"/>
      <c r="CI307" s="25"/>
      <c r="CJ307" s="25"/>
      <c r="CK307" s="25"/>
      <c r="CL307" s="25"/>
      <c r="CM307" s="25"/>
      <c r="CN307" s="25"/>
      <c r="CO307" s="25"/>
      <c r="CP307" s="25"/>
      <c r="CQ307" s="25"/>
      <c r="CR307" s="25"/>
      <c r="CS307" s="25"/>
      <c r="CT307" s="25"/>
      <c r="CU307" s="25"/>
      <c r="CV307" s="25"/>
      <c r="CW307" s="25"/>
      <c r="CX307" s="25"/>
      <c r="CY307" s="25"/>
      <c r="CZ307" s="25"/>
      <c r="DA307" s="25"/>
      <c r="DB307" s="25"/>
      <c r="DC307" s="25"/>
      <c r="DD307" s="25"/>
      <c r="DE307" s="25"/>
      <c r="DF307" s="25"/>
      <c r="DG307" s="25"/>
      <c r="DH307" s="25"/>
      <c r="DI307" s="25"/>
      <c r="DJ307" s="25"/>
      <c r="DK307" s="25"/>
      <c r="DL307" s="25"/>
      <c r="DM307" s="25"/>
      <c r="DN307" s="25"/>
      <c r="DO307" s="25"/>
      <c r="DP307" s="25"/>
      <c r="DQ307" s="25"/>
      <c r="DR307" s="25"/>
      <c r="DS307" s="25"/>
      <c r="DT307" s="25"/>
      <c r="DU307" s="25"/>
      <c r="DV307" s="25"/>
      <c r="DW307" s="25"/>
      <c r="DX307" s="25"/>
      <c r="DY307" s="25"/>
      <c r="DZ307" s="25"/>
      <c r="EA307" s="25"/>
      <c r="EB307" s="25"/>
      <c r="EC307" s="25"/>
      <c r="ED307" s="25"/>
      <c r="EE307" s="25"/>
      <c r="EF307" s="25"/>
      <c r="EG307" s="25"/>
      <c r="EH307" s="25"/>
      <c r="EI307" s="25"/>
      <c r="EJ307" s="25"/>
      <c r="EK307" s="25"/>
      <c r="EL307" s="25"/>
      <c r="EM307" s="25"/>
      <c r="EN307" s="25"/>
      <c r="EO307" s="25"/>
      <c r="EP307" s="25"/>
      <c r="EQ307" s="25"/>
      <c r="ER307" s="25"/>
      <c r="ES307" s="25"/>
      <c r="ET307" s="25"/>
      <c r="EU307" s="25"/>
      <c r="EV307" s="25"/>
      <c r="EW307" s="25"/>
      <c r="EX307" s="25"/>
      <c r="EY307" s="25"/>
      <c r="EZ307" s="25"/>
      <c r="FA307" s="25"/>
      <c r="FB307" s="25"/>
      <c r="FC307" s="25"/>
      <c r="FD307" s="25"/>
      <c r="FE307" s="25"/>
      <c r="FF307" s="25"/>
      <c r="FG307" s="25"/>
      <c r="FH307" s="25"/>
      <c r="FI307" s="25"/>
      <c r="FJ307" s="25"/>
      <c r="FK307" s="25"/>
      <c r="FL307" s="25"/>
      <c r="FM307" s="25"/>
      <c r="FN307" s="25"/>
      <c r="FO307" s="25"/>
      <c r="FP307" s="25"/>
      <c r="FQ307" s="25"/>
      <c r="FR307" s="25"/>
      <c r="FS307" s="25"/>
      <c r="FT307" s="25"/>
      <c r="FU307" s="25"/>
      <c r="FV307" s="25"/>
      <c r="FW307" s="25"/>
      <c r="FX307" s="25"/>
      <c r="FY307" s="25"/>
      <c r="FZ307" s="25"/>
      <c r="GA307" s="25"/>
      <c r="GB307" s="25"/>
      <c r="GC307" s="25"/>
      <c r="GD307" s="25"/>
      <c r="GE307" s="25"/>
      <c r="GF307" s="25"/>
      <c r="GG307" s="25"/>
    </row>
    <row r="308" spans="1:189" s="28" customFormat="1" ht="94.5" x14ac:dyDescent="0.25">
      <c r="A308" s="38" t="s">
        <v>279</v>
      </c>
      <c r="B308" s="34">
        <f t="shared" si="168"/>
        <v>31838</v>
      </c>
      <c r="C308" s="34">
        <f t="shared" si="168"/>
        <v>31838</v>
      </c>
      <c r="D308" s="34">
        <f t="shared" si="168"/>
        <v>0</v>
      </c>
      <c r="E308" s="34"/>
      <c r="F308" s="34"/>
      <c r="G308" s="34">
        <f t="shared" si="177"/>
        <v>0</v>
      </c>
      <c r="H308" s="34"/>
      <c r="I308" s="34"/>
      <c r="J308" s="34">
        <f t="shared" si="91"/>
        <v>0</v>
      </c>
      <c r="K308" s="34"/>
      <c r="L308" s="34"/>
      <c r="M308" s="34">
        <f t="shared" si="92"/>
        <v>0</v>
      </c>
      <c r="N308" s="34">
        <f>30228+1610</f>
        <v>31838</v>
      </c>
      <c r="O308" s="34">
        <f>30228+1610</f>
        <v>31838</v>
      </c>
      <c r="P308" s="34">
        <f t="shared" si="93"/>
        <v>0</v>
      </c>
      <c r="Q308" s="34"/>
      <c r="R308" s="34"/>
      <c r="S308" s="34">
        <f t="shared" si="94"/>
        <v>0</v>
      </c>
      <c r="T308" s="34"/>
      <c r="U308" s="34"/>
      <c r="V308" s="34">
        <f t="shared" si="95"/>
        <v>0</v>
      </c>
      <c r="W308" s="34"/>
      <c r="X308" s="34"/>
      <c r="Y308" s="34">
        <f t="shared" si="96"/>
        <v>0</v>
      </c>
      <c r="Z308" s="34"/>
      <c r="AA308" s="34"/>
      <c r="AB308" s="34">
        <f t="shared" si="97"/>
        <v>0</v>
      </c>
    </row>
    <row r="309" spans="1:189" s="28" customFormat="1" x14ac:dyDescent="0.25">
      <c r="A309" s="35" t="s">
        <v>280</v>
      </c>
      <c r="B309" s="31">
        <f t="shared" si="168"/>
        <v>0</v>
      </c>
      <c r="C309" s="31">
        <f t="shared" si="168"/>
        <v>1917</v>
      </c>
      <c r="D309" s="31">
        <f t="shared" si="168"/>
        <v>1917</v>
      </c>
      <c r="E309" s="31"/>
      <c r="F309" s="31"/>
      <c r="G309" s="31">
        <f t="shared" si="177"/>
        <v>0</v>
      </c>
      <c r="H309" s="31"/>
      <c r="I309" s="31"/>
      <c r="J309" s="31">
        <f t="shared" si="91"/>
        <v>0</v>
      </c>
      <c r="K309" s="31"/>
      <c r="L309" s="31"/>
      <c r="M309" s="31">
        <f t="shared" si="92"/>
        <v>0</v>
      </c>
      <c r="N309" s="31"/>
      <c r="O309" s="31"/>
      <c r="P309" s="31">
        <f t="shared" si="93"/>
        <v>0</v>
      </c>
      <c r="Q309" s="31"/>
      <c r="R309" s="31">
        <v>1917</v>
      </c>
      <c r="S309" s="31">
        <f t="shared" si="94"/>
        <v>1917</v>
      </c>
      <c r="T309" s="31"/>
      <c r="U309" s="31"/>
      <c r="V309" s="31">
        <f t="shared" si="95"/>
        <v>0</v>
      </c>
      <c r="W309" s="31"/>
      <c r="X309" s="31"/>
      <c r="Y309" s="31">
        <f t="shared" si="96"/>
        <v>0</v>
      </c>
      <c r="Z309" s="31"/>
      <c r="AA309" s="31"/>
      <c r="AB309" s="31">
        <f t="shared" si="97"/>
        <v>0</v>
      </c>
    </row>
    <row r="310" spans="1:189" s="28" customFormat="1" ht="94.5" x14ac:dyDescent="0.25">
      <c r="A310" s="35" t="s">
        <v>281</v>
      </c>
      <c r="B310" s="31">
        <f t="shared" si="168"/>
        <v>1400</v>
      </c>
      <c r="C310" s="31">
        <f t="shared" si="168"/>
        <v>1400</v>
      </c>
      <c r="D310" s="31">
        <f t="shared" si="168"/>
        <v>0</v>
      </c>
      <c r="E310" s="31"/>
      <c r="F310" s="31"/>
      <c r="G310" s="31">
        <f t="shared" si="177"/>
        <v>0</v>
      </c>
      <c r="H310" s="31"/>
      <c r="I310" s="31"/>
      <c r="J310" s="31">
        <f t="shared" si="91"/>
        <v>0</v>
      </c>
      <c r="K310" s="31"/>
      <c r="L310" s="31"/>
      <c r="M310" s="31">
        <f t="shared" si="92"/>
        <v>0</v>
      </c>
      <c r="N310" s="31">
        <f>2625-1225</f>
        <v>1400</v>
      </c>
      <c r="O310" s="31">
        <f>2625-1225</f>
        <v>1400</v>
      </c>
      <c r="P310" s="31">
        <f t="shared" si="93"/>
        <v>0</v>
      </c>
      <c r="Q310" s="31"/>
      <c r="R310" s="31"/>
      <c r="S310" s="31">
        <f t="shared" si="94"/>
        <v>0</v>
      </c>
      <c r="T310" s="31"/>
      <c r="U310" s="31"/>
      <c r="V310" s="31">
        <f t="shared" si="95"/>
        <v>0</v>
      </c>
      <c r="W310" s="31"/>
      <c r="X310" s="31"/>
      <c r="Y310" s="31">
        <f t="shared" si="96"/>
        <v>0</v>
      </c>
      <c r="Z310" s="31"/>
      <c r="AA310" s="31"/>
      <c r="AB310" s="31">
        <f t="shared" si="97"/>
        <v>0</v>
      </c>
    </row>
    <row r="311" spans="1:189" s="28" customFormat="1" x14ac:dyDescent="0.25">
      <c r="A311" s="26" t="s">
        <v>191</v>
      </c>
      <c r="B311" s="27">
        <f t="shared" si="168"/>
        <v>27000</v>
      </c>
      <c r="C311" s="27">
        <f t="shared" si="168"/>
        <v>27000</v>
      </c>
      <c r="D311" s="27">
        <f t="shared" si="168"/>
        <v>0</v>
      </c>
      <c r="E311" s="27">
        <f>SUM(E312:E312)</f>
        <v>0</v>
      </c>
      <c r="F311" s="27">
        <f>SUM(F312:F312)</f>
        <v>0</v>
      </c>
      <c r="G311" s="27">
        <f t="shared" si="177"/>
        <v>0</v>
      </c>
      <c r="H311" s="27">
        <f t="shared" ref="H311:I311" si="245">SUM(H312:H312)</f>
        <v>27000</v>
      </c>
      <c r="I311" s="27">
        <f t="shared" si="245"/>
        <v>27000</v>
      </c>
      <c r="J311" s="27">
        <f t="shared" si="91"/>
        <v>0</v>
      </c>
      <c r="K311" s="27">
        <f t="shared" ref="K311:L311" si="246">SUM(K312:K312)</f>
        <v>0</v>
      </c>
      <c r="L311" s="27">
        <f t="shared" si="246"/>
        <v>0</v>
      </c>
      <c r="M311" s="27">
        <f t="shared" si="92"/>
        <v>0</v>
      </c>
      <c r="N311" s="27">
        <f t="shared" ref="N311:O311" si="247">SUM(N312:N312)</f>
        <v>0</v>
      </c>
      <c r="O311" s="27">
        <f t="shared" si="247"/>
        <v>0</v>
      </c>
      <c r="P311" s="27">
        <f t="shared" si="93"/>
        <v>0</v>
      </c>
      <c r="Q311" s="27">
        <f t="shared" ref="Q311:R311" si="248">SUM(Q312:Q312)</f>
        <v>0</v>
      </c>
      <c r="R311" s="27">
        <f t="shared" si="248"/>
        <v>0</v>
      </c>
      <c r="S311" s="27">
        <f t="shared" si="94"/>
        <v>0</v>
      </c>
      <c r="T311" s="27">
        <f t="shared" ref="T311:U311" si="249">SUM(T312:T312)</f>
        <v>0</v>
      </c>
      <c r="U311" s="27">
        <f t="shared" si="249"/>
        <v>0</v>
      </c>
      <c r="V311" s="27">
        <f t="shared" si="95"/>
        <v>0</v>
      </c>
      <c r="W311" s="27">
        <f t="shared" ref="W311:X311" si="250">SUM(W312:W312)</f>
        <v>0</v>
      </c>
      <c r="X311" s="27">
        <f t="shared" si="250"/>
        <v>0</v>
      </c>
      <c r="Y311" s="27">
        <f t="shared" si="96"/>
        <v>0</v>
      </c>
      <c r="Z311" s="27">
        <f t="shared" ref="Z311:AA311" si="251">SUM(Z312:Z312)</f>
        <v>0</v>
      </c>
      <c r="AA311" s="27">
        <f t="shared" si="251"/>
        <v>0</v>
      </c>
      <c r="AB311" s="27">
        <f t="shared" si="97"/>
        <v>0</v>
      </c>
    </row>
    <row r="312" spans="1:189" s="28" customFormat="1" ht="63" x14ac:dyDescent="0.25">
      <c r="A312" s="41" t="s">
        <v>282</v>
      </c>
      <c r="B312" s="34">
        <f t="shared" si="168"/>
        <v>27000</v>
      </c>
      <c r="C312" s="34">
        <f t="shared" si="168"/>
        <v>27000</v>
      </c>
      <c r="D312" s="34">
        <f t="shared" si="168"/>
        <v>0</v>
      </c>
      <c r="E312" s="34"/>
      <c r="F312" s="34"/>
      <c r="G312" s="34">
        <f t="shared" si="177"/>
        <v>0</v>
      </c>
      <c r="H312" s="34">
        <v>27000</v>
      </c>
      <c r="I312" s="34">
        <v>27000</v>
      </c>
      <c r="J312" s="34">
        <f t="shared" si="91"/>
        <v>0</v>
      </c>
      <c r="K312" s="34"/>
      <c r="L312" s="34"/>
      <c r="M312" s="34">
        <f t="shared" si="92"/>
        <v>0</v>
      </c>
      <c r="N312" s="34"/>
      <c r="O312" s="34"/>
      <c r="P312" s="34">
        <f t="shared" si="93"/>
        <v>0</v>
      </c>
      <c r="Q312" s="34"/>
      <c r="R312" s="34"/>
      <c r="S312" s="34">
        <f t="shared" si="94"/>
        <v>0</v>
      </c>
      <c r="T312" s="34"/>
      <c r="U312" s="34"/>
      <c r="V312" s="34">
        <f t="shared" si="95"/>
        <v>0</v>
      </c>
      <c r="W312" s="34"/>
      <c r="X312" s="34"/>
      <c r="Y312" s="34">
        <f t="shared" si="96"/>
        <v>0</v>
      </c>
      <c r="Z312" s="34"/>
      <c r="AA312" s="34"/>
      <c r="AB312" s="34">
        <f t="shared" si="97"/>
        <v>0</v>
      </c>
    </row>
    <row r="313" spans="1:189" s="28" customFormat="1" ht="31.5" x14ac:dyDescent="0.25">
      <c r="A313" s="26" t="s">
        <v>74</v>
      </c>
      <c r="B313" s="27">
        <f t="shared" si="168"/>
        <v>6563672</v>
      </c>
      <c r="C313" s="27">
        <f t="shared" si="168"/>
        <v>8396152</v>
      </c>
      <c r="D313" s="27">
        <f t="shared" si="168"/>
        <v>1832480</v>
      </c>
      <c r="E313" s="27">
        <f>SUM(E314,E317,E322,E333,E326,E352)</f>
        <v>247426</v>
      </c>
      <c r="F313" s="27">
        <f>SUM(F314,F317,F322,F333,F326,F352)</f>
        <v>247426</v>
      </c>
      <c r="G313" s="27">
        <f t="shared" si="177"/>
        <v>0</v>
      </c>
      <c r="H313" s="27">
        <f t="shared" ref="H313:I313" si="252">SUM(H314,H317,H322,H333,H326,H352)</f>
        <v>339029</v>
      </c>
      <c r="I313" s="27">
        <f t="shared" si="252"/>
        <v>339029</v>
      </c>
      <c r="J313" s="27">
        <f t="shared" si="91"/>
        <v>0</v>
      </c>
      <c r="K313" s="27">
        <f t="shared" ref="K313:L313" si="253">SUM(K314,K317,K322,K333,K326,K352)</f>
        <v>370932</v>
      </c>
      <c r="L313" s="27">
        <f t="shared" si="253"/>
        <v>353412</v>
      </c>
      <c r="M313" s="27">
        <f t="shared" si="92"/>
        <v>-17520</v>
      </c>
      <c r="N313" s="27">
        <f t="shared" ref="N313:O313" si="254">SUM(N314,N317,N322,N333,N326,N352)</f>
        <v>1413680</v>
      </c>
      <c r="O313" s="27">
        <f t="shared" si="254"/>
        <v>1413680</v>
      </c>
      <c r="P313" s="27">
        <f t="shared" si="93"/>
        <v>0</v>
      </c>
      <c r="Q313" s="27">
        <f t="shared" ref="Q313:R313" si="255">SUM(Q314,Q317,Q322,Q333,Q326,Q352)</f>
        <v>0</v>
      </c>
      <c r="R313" s="27">
        <f t="shared" si="255"/>
        <v>0</v>
      </c>
      <c r="S313" s="27">
        <f t="shared" si="94"/>
        <v>0</v>
      </c>
      <c r="T313" s="27">
        <f t="shared" ref="T313:U313" si="256">SUM(T314,T317,T322,T333,T326,T352)</f>
        <v>3672605</v>
      </c>
      <c r="U313" s="27">
        <f t="shared" si="256"/>
        <v>3672605</v>
      </c>
      <c r="V313" s="27">
        <f t="shared" si="95"/>
        <v>0</v>
      </c>
      <c r="W313" s="27">
        <f t="shared" ref="W313:X313" si="257">SUM(W314,W317,W322,W333,W326,W352)</f>
        <v>10000</v>
      </c>
      <c r="X313" s="27">
        <f t="shared" si="257"/>
        <v>1300000</v>
      </c>
      <c r="Y313" s="27">
        <f t="shared" si="96"/>
        <v>1290000</v>
      </c>
      <c r="Z313" s="27">
        <f t="shared" ref="Z313:AA313" si="258">SUM(Z314,Z317,Z322,Z333,Z326,Z352)</f>
        <v>510000</v>
      </c>
      <c r="AA313" s="27">
        <f t="shared" si="258"/>
        <v>1070000</v>
      </c>
      <c r="AB313" s="27">
        <f t="shared" si="97"/>
        <v>560000</v>
      </c>
    </row>
    <row r="314" spans="1:189" s="25" customFormat="1" x14ac:dyDescent="0.25">
      <c r="A314" s="26" t="s">
        <v>169</v>
      </c>
      <c r="B314" s="27">
        <f t="shared" si="168"/>
        <v>2992</v>
      </c>
      <c r="C314" s="27">
        <f t="shared" si="168"/>
        <v>2992</v>
      </c>
      <c r="D314" s="27">
        <f t="shared" si="168"/>
        <v>0</v>
      </c>
      <c r="E314" s="27">
        <f>SUM(E315:E316)</f>
        <v>0</v>
      </c>
      <c r="F314" s="27">
        <f>SUM(F315:F316)</f>
        <v>0</v>
      </c>
      <c r="G314" s="27">
        <f t="shared" si="177"/>
        <v>0</v>
      </c>
      <c r="H314" s="27">
        <f t="shared" ref="H314:I314" si="259">SUM(H315:H316)</f>
        <v>0</v>
      </c>
      <c r="I314" s="27">
        <f t="shared" si="259"/>
        <v>0</v>
      </c>
      <c r="J314" s="27">
        <f t="shared" ref="J314:J412" si="260">I314-H314</f>
        <v>0</v>
      </c>
      <c r="K314" s="27">
        <f t="shared" ref="K314:L314" si="261">SUM(K315:K316)</f>
        <v>648</v>
      </c>
      <c r="L314" s="27">
        <f t="shared" si="261"/>
        <v>648</v>
      </c>
      <c r="M314" s="27">
        <f t="shared" ref="M314:M412" si="262">L314-K314</f>
        <v>0</v>
      </c>
      <c r="N314" s="27">
        <f t="shared" ref="N314:O314" si="263">SUM(N315:N316)</f>
        <v>2344</v>
      </c>
      <c r="O314" s="27">
        <f t="shared" si="263"/>
        <v>2344</v>
      </c>
      <c r="P314" s="27">
        <f t="shared" ref="P314:P412" si="264">O314-N314</f>
        <v>0</v>
      </c>
      <c r="Q314" s="27">
        <f t="shared" ref="Q314:R314" si="265">SUM(Q315:Q316)</f>
        <v>0</v>
      </c>
      <c r="R314" s="27">
        <f t="shared" si="265"/>
        <v>0</v>
      </c>
      <c r="S314" s="27">
        <f t="shared" ref="S314:S412" si="266">R314-Q314</f>
        <v>0</v>
      </c>
      <c r="T314" s="27">
        <f t="shared" ref="T314:U314" si="267">SUM(T315:T316)</f>
        <v>0</v>
      </c>
      <c r="U314" s="27">
        <f t="shared" si="267"/>
        <v>0</v>
      </c>
      <c r="V314" s="27">
        <f t="shared" ref="V314:V412" si="268">U314-T314</f>
        <v>0</v>
      </c>
      <c r="W314" s="27">
        <f t="shared" ref="W314:X314" si="269">SUM(W315:W316)</f>
        <v>0</v>
      </c>
      <c r="X314" s="27">
        <f t="shared" si="269"/>
        <v>0</v>
      </c>
      <c r="Y314" s="27">
        <f t="shared" ref="Y314:Y412" si="270">X314-W314</f>
        <v>0</v>
      </c>
      <c r="Z314" s="27">
        <f t="shared" ref="Z314:AA314" si="271">SUM(Z315:Z316)</f>
        <v>0</v>
      </c>
      <c r="AA314" s="27">
        <f t="shared" si="271"/>
        <v>0</v>
      </c>
      <c r="AB314" s="27">
        <f t="shared" ref="AB314:AB412" si="272">AA314-Z314</f>
        <v>0</v>
      </c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28"/>
      <c r="BA314" s="28"/>
      <c r="BB314" s="28"/>
      <c r="BC314" s="28"/>
      <c r="BD314" s="28"/>
      <c r="BE314" s="28"/>
      <c r="BF314" s="28"/>
      <c r="BG314" s="28"/>
      <c r="BH314" s="28"/>
      <c r="BI314" s="28"/>
      <c r="BJ314" s="28"/>
      <c r="BK314" s="28"/>
      <c r="BL314" s="28"/>
      <c r="BM314" s="28"/>
      <c r="BN314" s="28"/>
      <c r="BO314" s="28"/>
      <c r="BP314" s="28"/>
      <c r="BQ314" s="28"/>
      <c r="BR314" s="28"/>
      <c r="BS314" s="28"/>
      <c r="BT314" s="28"/>
      <c r="BU314" s="28"/>
      <c r="BV314" s="28"/>
      <c r="BW314" s="28"/>
      <c r="BX314" s="28"/>
      <c r="BY314" s="28"/>
      <c r="BZ314" s="28"/>
      <c r="CA314" s="28"/>
      <c r="CB314" s="28"/>
      <c r="CC314" s="28"/>
      <c r="CD314" s="28"/>
      <c r="CE314" s="28"/>
      <c r="CF314" s="28"/>
      <c r="CG314" s="28"/>
      <c r="CH314" s="28"/>
      <c r="CI314" s="28"/>
      <c r="CJ314" s="28"/>
      <c r="CK314" s="28"/>
      <c r="CL314" s="28"/>
      <c r="CM314" s="28"/>
      <c r="CN314" s="28"/>
      <c r="CO314" s="28"/>
      <c r="CP314" s="28"/>
      <c r="CQ314" s="28"/>
      <c r="CR314" s="28"/>
      <c r="CS314" s="28"/>
      <c r="CT314" s="28"/>
      <c r="CU314" s="28"/>
      <c r="CV314" s="28"/>
      <c r="CW314" s="28"/>
      <c r="CX314" s="28"/>
      <c r="CY314" s="28"/>
      <c r="CZ314" s="28"/>
      <c r="DA314" s="28"/>
      <c r="DB314" s="28"/>
      <c r="DC314" s="28"/>
      <c r="DD314" s="28"/>
      <c r="DE314" s="28"/>
      <c r="DF314" s="28"/>
      <c r="DG314" s="28"/>
      <c r="DH314" s="28"/>
      <c r="DI314" s="28"/>
      <c r="DJ314" s="28"/>
      <c r="DK314" s="28"/>
      <c r="DL314" s="28"/>
      <c r="DM314" s="28"/>
      <c r="DN314" s="28"/>
      <c r="DO314" s="28"/>
      <c r="DP314" s="28"/>
      <c r="DQ314" s="28"/>
      <c r="DR314" s="28"/>
      <c r="DS314" s="28"/>
      <c r="DT314" s="28"/>
      <c r="DU314" s="28"/>
      <c r="DV314" s="28"/>
      <c r="DW314" s="28"/>
      <c r="DX314" s="28"/>
      <c r="DY314" s="28"/>
      <c r="DZ314" s="28"/>
      <c r="EA314" s="28"/>
      <c r="EB314" s="28"/>
      <c r="EC314" s="28"/>
      <c r="ED314" s="28"/>
      <c r="EE314" s="28"/>
      <c r="EF314" s="28"/>
      <c r="EG314" s="28"/>
      <c r="EH314" s="28"/>
      <c r="EI314" s="28"/>
      <c r="EJ314" s="28"/>
      <c r="EK314" s="28"/>
      <c r="EL314" s="28"/>
      <c r="EM314" s="28"/>
      <c r="EN314" s="28"/>
      <c r="EO314" s="28"/>
      <c r="EP314" s="28"/>
      <c r="EQ314" s="28"/>
      <c r="ER314" s="28"/>
      <c r="ES314" s="28"/>
      <c r="ET314" s="28"/>
      <c r="EU314" s="28"/>
      <c r="EV314" s="28"/>
      <c r="EW314" s="28"/>
      <c r="EX314" s="28"/>
      <c r="EY314" s="28"/>
      <c r="EZ314" s="28"/>
      <c r="FA314" s="28"/>
      <c r="FB314" s="28"/>
      <c r="FC314" s="28"/>
      <c r="FD314" s="28"/>
      <c r="FE314" s="28"/>
      <c r="FF314" s="28"/>
      <c r="FG314" s="28"/>
      <c r="FH314" s="28"/>
      <c r="FI314" s="28"/>
      <c r="FJ314" s="28"/>
      <c r="FK314" s="28"/>
      <c r="FL314" s="28"/>
      <c r="FM314" s="28"/>
      <c r="FN314" s="28"/>
      <c r="FO314" s="28"/>
      <c r="FP314" s="28"/>
      <c r="FQ314" s="28"/>
      <c r="FR314" s="28"/>
      <c r="FS314" s="28"/>
      <c r="FT314" s="28"/>
      <c r="FU314" s="28"/>
      <c r="FV314" s="28"/>
      <c r="FW314" s="28"/>
      <c r="FX314" s="28"/>
      <c r="FY314" s="28"/>
      <c r="FZ314" s="28"/>
      <c r="GA314" s="28"/>
      <c r="GB314" s="28"/>
      <c r="GC314" s="28"/>
      <c r="GD314" s="28"/>
      <c r="GE314" s="28"/>
      <c r="GF314" s="28"/>
      <c r="GG314" s="28"/>
    </row>
    <row r="315" spans="1:189" s="28" customFormat="1" ht="31.5" x14ac:dyDescent="0.25">
      <c r="A315" s="41" t="s">
        <v>283</v>
      </c>
      <c r="B315" s="34">
        <f t="shared" si="168"/>
        <v>648</v>
      </c>
      <c r="C315" s="34">
        <f t="shared" si="168"/>
        <v>648</v>
      </c>
      <c r="D315" s="34">
        <f t="shared" si="168"/>
        <v>0</v>
      </c>
      <c r="E315" s="34"/>
      <c r="F315" s="34"/>
      <c r="G315" s="34">
        <f t="shared" si="177"/>
        <v>0</v>
      </c>
      <c r="H315" s="34"/>
      <c r="I315" s="34"/>
      <c r="J315" s="34">
        <f t="shared" si="260"/>
        <v>0</v>
      </c>
      <c r="K315" s="34">
        <f>650-2</f>
        <v>648</v>
      </c>
      <c r="L315" s="34">
        <f>650-2</f>
        <v>648</v>
      </c>
      <c r="M315" s="34">
        <f t="shared" si="262"/>
        <v>0</v>
      </c>
      <c r="N315" s="34"/>
      <c r="O315" s="34"/>
      <c r="P315" s="34">
        <f t="shared" si="264"/>
        <v>0</v>
      </c>
      <c r="Q315" s="34"/>
      <c r="R315" s="34"/>
      <c r="S315" s="34">
        <f t="shared" si="266"/>
        <v>0</v>
      </c>
      <c r="T315" s="34"/>
      <c r="U315" s="34"/>
      <c r="V315" s="34">
        <f t="shared" si="268"/>
        <v>0</v>
      </c>
      <c r="W315" s="34"/>
      <c r="X315" s="34"/>
      <c r="Y315" s="34">
        <f t="shared" si="270"/>
        <v>0</v>
      </c>
      <c r="Z315" s="34"/>
      <c r="AA315" s="34"/>
      <c r="AB315" s="34">
        <f t="shared" si="272"/>
        <v>0</v>
      </c>
    </row>
    <row r="316" spans="1:189" s="28" customFormat="1" ht="78.75" x14ac:dyDescent="0.25">
      <c r="A316" s="38" t="s">
        <v>284</v>
      </c>
      <c r="B316" s="34">
        <f t="shared" si="168"/>
        <v>2344</v>
      </c>
      <c r="C316" s="34">
        <f t="shared" si="168"/>
        <v>2344</v>
      </c>
      <c r="D316" s="34">
        <f t="shared" si="168"/>
        <v>0</v>
      </c>
      <c r="E316" s="34"/>
      <c r="F316" s="34"/>
      <c r="G316" s="34">
        <f t="shared" si="177"/>
        <v>0</v>
      </c>
      <c r="H316" s="34"/>
      <c r="I316" s="34"/>
      <c r="J316" s="34">
        <f t="shared" si="260"/>
        <v>0</v>
      </c>
      <c r="K316" s="34"/>
      <c r="L316" s="34"/>
      <c r="M316" s="34">
        <f t="shared" si="262"/>
        <v>0</v>
      </c>
      <c r="N316" s="34">
        <v>2344</v>
      </c>
      <c r="O316" s="34">
        <v>2344</v>
      </c>
      <c r="P316" s="34">
        <f t="shared" si="264"/>
        <v>0</v>
      </c>
      <c r="Q316" s="34"/>
      <c r="R316" s="34"/>
      <c r="S316" s="34">
        <f t="shared" si="266"/>
        <v>0</v>
      </c>
      <c r="T316" s="34"/>
      <c r="U316" s="34"/>
      <c r="V316" s="34">
        <f t="shared" si="268"/>
        <v>0</v>
      </c>
      <c r="W316" s="34"/>
      <c r="X316" s="34"/>
      <c r="Y316" s="34">
        <f t="shared" si="270"/>
        <v>0</v>
      </c>
      <c r="Z316" s="34"/>
      <c r="AA316" s="34"/>
      <c r="AB316" s="34">
        <f t="shared" si="272"/>
        <v>0</v>
      </c>
    </row>
    <row r="317" spans="1:189" s="25" customFormat="1" ht="31.5" x14ac:dyDescent="0.25">
      <c r="A317" s="26" t="s">
        <v>178</v>
      </c>
      <c r="B317" s="27">
        <f t="shared" si="168"/>
        <v>368478</v>
      </c>
      <c r="C317" s="27">
        <f t="shared" si="168"/>
        <v>368478</v>
      </c>
      <c r="D317" s="27">
        <f t="shared" ref="B317:D402" si="273">G317+J317+M317+P317+S317+V317+AB317+Y317</f>
        <v>0</v>
      </c>
      <c r="E317" s="27">
        <f>SUM(E318:E321)</f>
        <v>0</v>
      </c>
      <c r="F317" s="27">
        <f>SUM(F318:F321)</f>
        <v>0</v>
      </c>
      <c r="G317" s="27">
        <f t="shared" si="177"/>
        <v>0</v>
      </c>
      <c r="H317" s="27">
        <f t="shared" ref="H317:I317" si="274">SUM(H318:H321)</f>
        <v>0</v>
      </c>
      <c r="I317" s="27">
        <f t="shared" si="274"/>
        <v>0</v>
      </c>
      <c r="J317" s="27">
        <f t="shared" si="260"/>
        <v>0</v>
      </c>
      <c r="K317" s="27">
        <f t="shared" ref="K317:L317" si="275">SUM(K318:K321)</f>
        <v>48478</v>
      </c>
      <c r="L317" s="27">
        <f t="shared" si="275"/>
        <v>48478</v>
      </c>
      <c r="M317" s="27">
        <f t="shared" si="262"/>
        <v>0</v>
      </c>
      <c r="N317" s="27">
        <f t="shared" ref="N317:O317" si="276">SUM(N318:N321)</f>
        <v>320000</v>
      </c>
      <c r="O317" s="27">
        <f t="shared" si="276"/>
        <v>320000</v>
      </c>
      <c r="P317" s="27">
        <f t="shared" si="264"/>
        <v>0</v>
      </c>
      <c r="Q317" s="27">
        <f t="shared" ref="Q317:R317" si="277">SUM(Q318:Q321)</f>
        <v>0</v>
      </c>
      <c r="R317" s="27">
        <f t="shared" si="277"/>
        <v>0</v>
      </c>
      <c r="S317" s="27">
        <f t="shared" si="266"/>
        <v>0</v>
      </c>
      <c r="T317" s="27">
        <f t="shared" ref="T317:U317" si="278">SUM(T318:T321)</f>
        <v>0</v>
      </c>
      <c r="U317" s="27">
        <f t="shared" si="278"/>
        <v>0</v>
      </c>
      <c r="V317" s="27">
        <f t="shared" si="268"/>
        <v>0</v>
      </c>
      <c r="W317" s="27">
        <f t="shared" ref="W317:X317" si="279">SUM(W318:W321)</f>
        <v>0</v>
      </c>
      <c r="X317" s="27">
        <f t="shared" si="279"/>
        <v>0</v>
      </c>
      <c r="Y317" s="27">
        <f t="shared" si="270"/>
        <v>0</v>
      </c>
      <c r="Z317" s="27">
        <f t="shared" ref="Z317:AA317" si="280">SUM(Z318:Z321)</f>
        <v>0</v>
      </c>
      <c r="AA317" s="27">
        <f t="shared" si="280"/>
        <v>0</v>
      </c>
      <c r="AB317" s="27">
        <f t="shared" si="272"/>
        <v>0</v>
      </c>
      <c r="AC317" s="28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8"/>
      <c r="AQ317" s="28"/>
      <c r="AR317" s="28"/>
      <c r="AS317" s="28"/>
      <c r="AT317" s="28"/>
      <c r="AU317" s="28"/>
      <c r="AV317" s="28"/>
      <c r="AW317" s="28"/>
      <c r="AX317" s="28"/>
      <c r="AY317" s="28"/>
      <c r="AZ317" s="28"/>
      <c r="BA317" s="28"/>
      <c r="BB317" s="28"/>
      <c r="BC317" s="28"/>
      <c r="BD317" s="28"/>
      <c r="BE317" s="28"/>
      <c r="BF317" s="28"/>
      <c r="BG317" s="28"/>
      <c r="BH317" s="28"/>
      <c r="BI317" s="28"/>
      <c r="BJ317" s="28"/>
      <c r="BK317" s="28"/>
      <c r="BL317" s="28"/>
      <c r="BM317" s="28"/>
      <c r="BN317" s="28"/>
      <c r="BO317" s="28"/>
      <c r="BP317" s="28"/>
      <c r="BQ317" s="28"/>
      <c r="BR317" s="28"/>
      <c r="BS317" s="28"/>
      <c r="BT317" s="28"/>
      <c r="BU317" s="28"/>
      <c r="BV317" s="28"/>
      <c r="BW317" s="28"/>
      <c r="BX317" s="28"/>
      <c r="BY317" s="28"/>
      <c r="BZ317" s="28"/>
      <c r="CA317" s="28"/>
      <c r="CB317" s="28"/>
      <c r="CC317" s="28"/>
      <c r="CD317" s="28"/>
      <c r="CE317" s="28"/>
      <c r="CF317" s="28"/>
      <c r="CG317" s="28"/>
      <c r="CH317" s="28"/>
      <c r="CI317" s="28"/>
      <c r="CJ317" s="28"/>
      <c r="CK317" s="28"/>
      <c r="CL317" s="28"/>
      <c r="CM317" s="28"/>
      <c r="CN317" s="28"/>
      <c r="CO317" s="28"/>
      <c r="CP317" s="28"/>
      <c r="CQ317" s="28"/>
      <c r="CR317" s="28"/>
      <c r="CS317" s="28"/>
      <c r="CT317" s="28"/>
      <c r="CU317" s="28"/>
      <c r="CV317" s="28"/>
      <c r="CW317" s="28"/>
      <c r="CX317" s="28"/>
      <c r="CY317" s="28"/>
      <c r="CZ317" s="28"/>
      <c r="DA317" s="28"/>
      <c r="DB317" s="28"/>
      <c r="DC317" s="28"/>
      <c r="DD317" s="28"/>
      <c r="DE317" s="28"/>
      <c r="DF317" s="28"/>
      <c r="DG317" s="28"/>
      <c r="DH317" s="28"/>
      <c r="DI317" s="28"/>
      <c r="DJ317" s="28"/>
      <c r="DK317" s="28"/>
      <c r="DL317" s="28"/>
      <c r="DM317" s="28"/>
      <c r="DN317" s="28"/>
      <c r="DO317" s="28"/>
      <c r="DP317" s="28"/>
      <c r="DQ317" s="28"/>
      <c r="DR317" s="28"/>
      <c r="DS317" s="28"/>
      <c r="DT317" s="28"/>
      <c r="DU317" s="28"/>
      <c r="DV317" s="28"/>
      <c r="DW317" s="28"/>
      <c r="DX317" s="28"/>
      <c r="DY317" s="28"/>
      <c r="DZ317" s="28"/>
      <c r="EA317" s="28"/>
      <c r="EB317" s="28"/>
      <c r="EC317" s="28"/>
      <c r="ED317" s="28"/>
      <c r="EE317" s="28"/>
      <c r="EF317" s="28"/>
      <c r="EG317" s="28"/>
      <c r="EH317" s="28"/>
      <c r="EI317" s="28"/>
      <c r="EJ317" s="28"/>
      <c r="EK317" s="28"/>
      <c r="EL317" s="28"/>
      <c r="EM317" s="28"/>
      <c r="EN317" s="28"/>
      <c r="EO317" s="28"/>
      <c r="EP317" s="28"/>
      <c r="EQ317" s="28"/>
      <c r="ER317" s="28"/>
      <c r="ES317" s="28"/>
      <c r="ET317" s="28"/>
      <c r="EU317" s="28"/>
      <c r="EV317" s="28"/>
      <c r="EW317" s="28"/>
      <c r="EX317" s="28"/>
      <c r="EY317" s="28"/>
      <c r="EZ317" s="28"/>
      <c r="FA317" s="28"/>
      <c r="FB317" s="28"/>
      <c r="FC317" s="28"/>
      <c r="FD317" s="28"/>
      <c r="FE317" s="28"/>
      <c r="FF317" s="28"/>
      <c r="FG317" s="28"/>
      <c r="FH317" s="28"/>
      <c r="FI317" s="28"/>
      <c r="FJ317" s="28"/>
      <c r="FK317" s="28"/>
      <c r="FL317" s="28"/>
      <c r="FM317" s="28"/>
      <c r="FN317" s="28"/>
      <c r="FO317" s="28"/>
      <c r="FP317" s="28"/>
      <c r="FQ317" s="28"/>
      <c r="FR317" s="28"/>
      <c r="FS317" s="28"/>
      <c r="FT317" s="28"/>
      <c r="FU317" s="28"/>
      <c r="FV317" s="28"/>
      <c r="FW317" s="28"/>
      <c r="FX317" s="28"/>
      <c r="FY317" s="28"/>
      <c r="FZ317" s="28"/>
      <c r="GA317" s="28"/>
      <c r="GB317" s="28"/>
      <c r="GC317" s="28"/>
      <c r="GD317" s="28"/>
      <c r="GE317" s="28"/>
      <c r="GF317" s="28"/>
      <c r="GG317" s="28"/>
    </row>
    <row r="318" spans="1:189" s="28" customFormat="1" ht="63" x14ac:dyDescent="0.25">
      <c r="A318" s="41" t="s">
        <v>285</v>
      </c>
      <c r="B318" s="34">
        <f t="shared" si="273"/>
        <v>37000</v>
      </c>
      <c r="C318" s="34">
        <f t="shared" si="273"/>
        <v>37000</v>
      </c>
      <c r="D318" s="34">
        <f t="shared" si="273"/>
        <v>0</v>
      </c>
      <c r="E318" s="34"/>
      <c r="F318" s="34"/>
      <c r="G318" s="34">
        <f t="shared" si="177"/>
        <v>0</v>
      </c>
      <c r="H318" s="34"/>
      <c r="I318" s="34"/>
      <c r="J318" s="34">
        <f t="shared" si="260"/>
        <v>0</v>
      </c>
      <c r="K318" s="34">
        <v>37000</v>
      </c>
      <c r="L318" s="34">
        <v>37000</v>
      </c>
      <c r="M318" s="34">
        <f t="shared" si="262"/>
        <v>0</v>
      </c>
      <c r="N318" s="34"/>
      <c r="O318" s="34"/>
      <c r="P318" s="34">
        <f t="shared" si="264"/>
        <v>0</v>
      </c>
      <c r="Q318" s="34"/>
      <c r="R318" s="34"/>
      <c r="S318" s="34">
        <f t="shared" si="266"/>
        <v>0</v>
      </c>
      <c r="T318" s="34"/>
      <c r="U318" s="34"/>
      <c r="V318" s="34">
        <f t="shared" si="268"/>
        <v>0</v>
      </c>
      <c r="W318" s="34"/>
      <c r="X318" s="34"/>
      <c r="Y318" s="34">
        <f t="shared" si="270"/>
        <v>0</v>
      </c>
      <c r="Z318" s="34"/>
      <c r="AA318" s="34"/>
      <c r="AB318" s="34">
        <f t="shared" si="272"/>
        <v>0</v>
      </c>
    </row>
    <row r="319" spans="1:189" s="28" customFormat="1" x14ac:dyDescent="0.25">
      <c r="A319" s="41" t="s">
        <v>286</v>
      </c>
      <c r="B319" s="34">
        <f t="shared" si="273"/>
        <v>11478</v>
      </c>
      <c r="C319" s="34">
        <f t="shared" si="273"/>
        <v>11478</v>
      </c>
      <c r="D319" s="34">
        <f t="shared" si="273"/>
        <v>0</v>
      </c>
      <c r="E319" s="34"/>
      <c r="F319" s="34"/>
      <c r="G319" s="34">
        <f t="shared" si="177"/>
        <v>0</v>
      </c>
      <c r="H319" s="34"/>
      <c r="I319" s="34"/>
      <c r="J319" s="34">
        <f t="shared" si="260"/>
        <v>0</v>
      </c>
      <c r="K319" s="34">
        <v>11478</v>
      </c>
      <c r="L319" s="34">
        <v>11478</v>
      </c>
      <c r="M319" s="34">
        <f t="shared" si="262"/>
        <v>0</v>
      </c>
      <c r="N319" s="34"/>
      <c r="O319" s="34"/>
      <c r="P319" s="34">
        <f t="shared" si="264"/>
        <v>0</v>
      </c>
      <c r="Q319" s="34"/>
      <c r="R319" s="34"/>
      <c r="S319" s="34">
        <f t="shared" si="266"/>
        <v>0</v>
      </c>
      <c r="T319" s="34"/>
      <c r="U319" s="34"/>
      <c r="V319" s="34">
        <f t="shared" si="268"/>
        <v>0</v>
      </c>
      <c r="W319" s="34"/>
      <c r="X319" s="34"/>
      <c r="Y319" s="34">
        <f t="shared" si="270"/>
        <v>0</v>
      </c>
      <c r="Z319" s="34"/>
      <c r="AA319" s="34"/>
      <c r="AB319" s="34">
        <f t="shared" si="272"/>
        <v>0</v>
      </c>
    </row>
    <row r="320" spans="1:189" s="28" customFormat="1" x14ac:dyDescent="0.25">
      <c r="A320" s="41" t="s">
        <v>287</v>
      </c>
      <c r="B320" s="34">
        <f t="shared" si="273"/>
        <v>0</v>
      </c>
      <c r="C320" s="34">
        <f t="shared" si="273"/>
        <v>0</v>
      </c>
      <c r="D320" s="34">
        <f t="shared" si="273"/>
        <v>0</v>
      </c>
      <c r="E320" s="34"/>
      <c r="F320" s="34"/>
      <c r="G320" s="34">
        <f t="shared" si="177"/>
        <v>0</v>
      </c>
      <c r="H320" s="34"/>
      <c r="I320" s="34"/>
      <c r="J320" s="34">
        <f t="shared" si="260"/>
        <v>0</v>
      </c>
      <c r="K320" s="34">
        <f>1287-1287</f>
        <v>0</v>
      </c>
      <c r="L320" s="34">
        <f>1287-1287</f>
        <v>0</v>
      </c>
      <c r="M320" s="34">
        <f t="shared" si="262"/>
        <v>0</v>
      </c>
      <c r="N320" s="34"/>
      <c r="O320" s="34"/>
      <c r="P320" s="34">
        <f t="shared" si="264"/>
        <v>0</v>
      </c>
      <c r="Q320" s="34"/>
      <c r="R320" s="34"/>
      <c r="S320" s="34">
        <f t="shared" si="266"/>
        <v>0</v>
      </c>
      <c r="T320" s="34"/>
      <c r="U320" s="34"/>
      <c r="V320" s="34">
        <f t="shared" si="268"/>
        <v>0</v>
      </c>
      <c r="W320" s="34"/>
      <c r="X320" s="34"/>
      <c r="Y320" s="34">
        <f t="shared" si="270"/>
        <v>0</v>
      </c>
      <c r="Z320" s="34"/>
      <c r="AA320" s="34"/>
      <c r="AB320" s="34">
        <f t="shared" si="272"/>
        <v>0</v>
      </c>
    </row>
    <row r="321" spans="1:28" s="28" customFormat="1" ht="78.75" x14ac:dyDescent="0.25">
      <c r="A321" s="38" t="s">
        <v>288</v>
      </c>
      <c r="B321" s="34">
        <f t="shared" si="273"/>
        <v>320000</v>
      </c>
      <c r="C321" s="34">
        <f t="shared" si="273"/>
        <v>320000</v>
      </c>
      <c r="D321" s="34">
        <f t="shared" si="273"/>
        <v>0</v>
      </c>
      <c r="E321" s="34"/>
      <c r="F321" s="34"/>
      <c r="G321" s="34">
        <f t="shared" si="177"/>
        <v>0</v>
      </c>
      <c r="H321" s="34"/>
      <c r="I321" s="34"/>
      <c r="J321" s="34">
        <f t="shared" si="260"/>
        <v>0</v>
      </c>
      <c r="K321" s="34"/>
      <c r="L321" s="34"/>
      <c r="M321" s="34">
        <f t="shared" si="262"/>
        <v>0</v>
      </c>
      <c r="N321" s="34">
        <v>320000</v>
      </c>
      <c r="O321" s="34">
        <v>320000</v>
      </c>
      <c r="P321" s="34">
        <f t="shared" si="264"/>
        <v>0</v>
      </c>
      <c r="Q321" s="34"/>
      <c r="R321" s="34"/>
      <c r="S321" s="34">
        <f t="shared" si="266"/>
        <v>0</v>
      </c>
      <c r="T321" s="34"/>
      <c r="U321" s="34"/>
      <c r="V321" s="34">
        <f t="shared" si="268"/>
        <v>0</v>
      </c>
      <c r="W321" s="34"/>
      <c r="X321" s="34"/>
      <c r="Y321" s="34">
        <f t="shared" si="270"/>
        <v>0</v>
      </c>
      <c r="Z321" s="34"/>
      <c r="AA321" s="34"/>
      <c r="AB321" s="34">
        <f t="shared" si="272"/>
        <v>0</v>
      </c>
    </row>
    <row r="322" spans="1:28" s="28" customFormat="1" x14ac:dyDescent="0.25">
      <c r="A322" s="26" t="s">
        <v>182</v>
      </c>
      <c r="B322" s="27">
        <f t="shared" si="273"/>
        <v>107443</v>
      </c>
      <c r="C322" s="27">
        <f t="shared" si="273"/>
        <v>92323</v>
      </c>
      <c r="D322" s="27">
        <f t="shared" si="273"/>
        <v>-15120</v>
      </c>
      <c r="E322" s="27">
        <f t="shared" ref="E322:AA322" si="281">SUM(E323:E325)</f>
        <v>0</v>
      </c>
      <c r="F322" s="27">
        <f t="shared" si="281"/>
        <v>0</v>
      </c>
      <c r="G322" s="27">
        <f t="shared" si="177"/>
        <v>0</v>
      </c>
      <c r="H322" s="27">
        <f t="shared" ref="H322" si="282">SUM(H323:H325)</f>
        <v>0</v>
      </c>
      <c r="I322" s="27">
        <f t="shared" si="281"/>
        <v>0</v>
      </c>
      <c r="J322" s="27">
        <f t="shared" si="260"/>
        <v>0</v>
      </c>
      <c r="K322" s="27">
        <f t="shared" ref="K322" si="283">SUM(K323:K325)</f>
        <v>107443</v>
      </c>
      <c r="L322" s="27">
        <f t="shared" si="281"/>
        <v>92323</v>
      </c>
      <c r="M322" s="27">
        <f t="shared" si="262"/>
        <v>-15120</v>
      </c>
      <c r="N322" s="27">
        <f t="shared" ref="N322" si="284">SUM(N323:N325)</f>
        <v>0</v>
      </c>
      <c r="O322" s="27">
        <f t="shared" si="281"/>
        <v>0</v>
      </c>
      <c r="P322" s="27">
        <f t="shared" si="264"/>
        <v>0</v>
      </c>
      <c r="Q322" s="27">
        <f t="shared" ref="Q322" si="285">SUM(Q323:Q325)</f>
        <v>0</v>
      </c>
      <c r="R322" s="27">
        <f t="shared" si="281"/>
        <v>0</v>
      </c>
      <c r="S322" s="27">
        <f t="shared" si="266"/>
        <v>0</v>
      </c>
      <c r="T322" s="27">
        <f t="shared" ref="T322" si="286">SUM(T323:T325)</f>
        <v>0</v>
      </c>
      <c r="U322" s="27">
        <f t="shared" si="281"/>
        <v>0</v>
      </c>
      <c r="V322" s="27">
        <f t="shared" si="268"/>
        <v>0</v>
      </c>
      <c r="W322" s="27">
        <f t="shared" ref="W322" si="287">SUM(W323:W325)</f>
        <v>0</v>
      </c>
      <c r="X322" s="27">
        <f t="shared" si="281"/>
        <v>0</v>
      </c>
      <c r="Y322" s="27">
        <f t="shared" si="270"/>
        <v>0</v>
      </c>
      <c r="Z322" s="27">
        <f t="shared" ref="Z322" si="288">SUM(Z323:Z325)</f>
        <v>0</v>
      </c>
      <c r="AA322" s="27">
        <f t="shared" si="281"/>
        <v>0</v>
      </c>
      <c r="AB322" s="27">
        <f t="shared" si="272"/>
        <v>0</v>
      </c>
    </row>
    <row r="323" spans="1:28" s="28" customFormat="1" ht="31.5" x14ac:dyDescent="0.25">
      <c r="A323" s="38" t="s">
        <v>289</v>
      </c>
      <c r="B323" s="34">
        <f t="shared" si="273"/>
        <v>15120</v>
      </c>
      <c r="C323" s="34">
        <f t="shared" si="273"/>
        <v>0</v>
      </c>
      <c r="D323" s="34">
        <f t="shared" si="273"/>
        <v>-15120</v>
      </c>
      <c r="E323" s="34"/>
      <c r="F323" s="34"/>
      <c r="G323" s="34">
        <f t="shared" si="177"/>
        <v>0</v>
      </c>
      <c r="H323" s="34"/>
      <c r="I323" s="34"/>
      <c r="J323" s="34">
        <f t="shared" si="260"/>
        <v>0</v>
      </c>
      <c r="K323" s="34">
        <v>15120</v>
      </c>
      <c r="L323" s="34">
        <v>0</v>
      </c>
      <c r="M323" s="34">
        <f t="shared" si="262"/>
        <v>-15120</v>
      </c>
      <c r="N323" s="34"/>
      <c r="O323" s="34"/>
      <c r="P323" s="34">
        <f t="shared" si="264"/>
        <v>0</v>
      </c>
      <c r="Q323" s="34"/>
      <c r="R323" s="34"/>
      <c r="S323" s="34">
        <f t="shared" si="266"/>
        <v>0</v>
      </c>
      <c r="T323" s="34"/>
      <c r="U323" s="34"/>
      <c r="V323" s="34">
        <f t="shared" si="268"/>
        <v>0</v>
      </c>
      <c r="W323" s="34"/>
      <c r="X323" s="34"/>
      <c r="Y323" s="34">
        <f t="shared" si="270"/>
        <v>0</v>
      </c>
      <c r="Z323" s="34"/>
      <c r="AA323" s="34"/>
      <c r="AB323" s="34">
        <f t="shared" si="272"/>
        <v>0</v>
      </c>
    </row>
    <row r="324" spans="1:28" s="28" customFormat="1" ht="31.5" x14ac:dyDescent="0.25">
      <c r="A324" s="38" t="s">
        <v>290</v>
      </c>
      <c r="B324" s="34">
        <f t="shared" si="273"/>
        <v>71323</v>
      </c>
      <c r="C324" s="34">
        <f t="shared" si="273"/>
        <v>71323</v>
      </c>
      <c r="D324" s="34">
        <f t="shared" si="273"/>
        <v>0</v>
      </c>
      <c r="E324" s="34"/>
      <c r="F324" s="34"/>
      <c r="G324" s="34">
        <f t="shared" si="177"/>
        <v>0</v>
      </c>
      <c r="H324" s="34"/>
      <c r="I324" s="34"/>
      <c r="J324" s="34">
        <f t="shared" si="260"/>
        <v>0</v>
      </c>
      <c r="K324" s="34">
        <v>71323</v>
      </c>
      <c r="L324" s="34">
        <v>71323</v>
      </c>
      <c r="M324" s="34">
        <f t="shared" si="262"/>
        <v>0</v>
      </c>
      <c r="N324" s="34"/>
      <c r="O324" s="34"/>
      <c r="P324" s="34">
        <f t="shared" si="264"/>
        <v>0</v>
      </c>
      <c r="Q324" s="34"/>
      <c r="R324" s="34"/>
      <c r="S324" s="34">
        <f t="shared" si="266"/>
        <v>0</v>
      </c>
      <c r="T324" s="34"/>
      <c r="U324" s="34"/>
      <c r="V324" s="34">
        <f t="shared" si="268"/>
        <v>0</v>
      </c>
      <c r="W324" s="34"/>
      <c r="X324" s="34"/>
      <c r="Y324" s="34">
        <f t="shared" si="270"/>
        <v>0</v>
      </c>
      <c r="Z324" s="34"/>
      <c r="AA324" s="34"/>
      <c r="AB324" s="34">
        <f t="shared" si="272"/>
        <v>0</v>
      </c>
    </row>
    <row r="325" spans="1:28" s="28" customFormat="1" x14ac:dyDescent="0.25">
      <c r="A325" s="38" t="s">
        <v>291</v>
      </c>
      <c r="B325" s="34">
        <f t="shared" si="273"/>
        <v>21000</v>
      </c>
      <c r="C325" s="34">
        <f t="shared" si="273"/>
        <v>21000</v>
      </c>
      <c r="D325" s="34">
        <f t="shared" si="273"/>
        <v>0</v>
      </c>
      <c r="E325" s="34"/>
      <c r="F325" s="34"/>
      <c r="G325" s="34">
        <f t="shared" si="177"/>
        <v>0</v>
      </c>
      <c r="H325" s="34"/>
      <c r="I325" s="34"/>
      <c r="J325" s="34">
        <f t="shared" si="260"/>
        <v>0</v>
      </c>
      <c r="K325" s="34">
        <v>21000</v>
      </c>
      <c r="L325" s="34">
        <v>21000</v>
      </c>
      <c r="M325" s="34">
        <f t="shared" si="262"/>
        <v>0</v>
      </c>
      <c r="N325" s="34"/>
      <c r="O325" s="34"/>
      <c r="P325" s="34">
        <f t="shared" si="264"/>
        <v>0</v>
      </c>
      <c r="Q325" s="34"/>
      <c r="R325" s="34"/>
      <c r="S325" s="34">
        <f t="shared" si="266"/>
        <v>0</v>
      </c>
      <c r="T325" s="34"/>
      <c r="U325" s="34"/>
      <c r="V325" s="34">
        <f t="shared" si="268"/>
        <v>0</v>
      </c>
      <c r="W325" s="34"/>
      <c r="X325" s="34"/>
      <c r="Y325" s="34">
        <f t="shared" si="270"/>
        <v>0</v>
      </c>
      <c r="Z325" s="34"/>
      <c r="AA325" s="34"/>
      <c r="AB325" s="34">
        <f t="shared" si="272"/>
        <v>0</v>
      </c>
    </row>
    <row r="326" spans="1:28" s="28" customFormat="1" x14ac:dyDescent="0.25">
      <c r="A326" s="26" t="s">
        <v>184</v>
      </c>
      <c r="B326" s="27">
        <f t="shared" si="273"/>
        <v>22174</v>
      </c>
      <c r="C326" s="27">
        <f t="shared" si="273"/>
        <v>19774</v>
      </c>
      <c r="D326" s="27">
        <f t="shared" si="273"/>
        <v>-2400</v>
      </c>
      <c r="E326" s="27">
        <f>SUM(E327:E332)</f>
        <v>0</v>
      </c>
      <c r="F326" s="27">
        <f>SUM(F327:F332)</f>
        <v>0</v>
      </c>
      <c r="G326" s="27">
        <f t="shared" si="177"/>
        <v>0</v>
      </c>
      <c r="H326" s="27">
        <f t="shared" ref="H326:I326" si="289">SUM(H327:H332)</f>
        <v>0</v>
      </c>
      <c r="I326" s="27">
        <f t="shared" si="289"/>
        <v>0</v>
      </c>
      <c r="J326" s="27">
        <f t="shared" si="260"/>
        <v>0</v>
      </c>
      <c r="K326" s="27">
        <f t="shared" ref="K326:L326" si="290">SUM(K327:K332)</f>
        <v>22174</v>
      </c>
      <c r="L326" s="27">
        <f t="shared" si="290"/>
        <v>19774</v>
      </c>
      <c r="M326" s="27">
        <f t="shared" si="262"/>
        <v>-2400</v>
      </c>
      <c r="N326" s="27">
        <f t="shared" ref="N326:O326" si="291">SUM(N327:N332)</f>
        <v>0</v>
      </c>
      <c r="O326" s="27">
        <f t="shared" si="291"/>
        <v>0</v>
      </c>
      <c r="P326" s="27">
        <f t="shared" si="264"/>
        <v>0</v>
      </c>
      <c r="Q326" s="27">
        <f t="shared" ref="Q326:R326" si="292">SUM(Q327:Q332)</f>
        <v>0</v>
      </c>
      <c r="R326" s="27">
        <f t="shared" si="292"/>
        <v>0</v>
      </c>
      <c r="S326" s="27">
        <f t="shared" si="266"/>
        <v>0</v>
      </c>
      <c r="T326" s="27">
        <f t="shared" ref="T326:U326" si="293">SUM(T327:T332)</f>
        <v>0</v>
      </c>
      <c r="U326" s="27">
        <f t="shared" si="293"/>
        <v>0</v>
      </c>
      <c r="V326" s="27">
        <f t="shared" si="268"/>
        <v>0</v>
      </c>
      <c r="W326" s="27">
        <f t="shared" ref="W326:X326" si="294">SUM(W327:W332)</f>
        <v>0</v>
      </c>
      <c r="X326" s="27">
        <f t="shared" si="294"/>
        <v>0</v>
      </c>
      <c r="Y326" s="27">
        <f t="shared" si="270"/>
        <v>0</v>
      </c>
      <c r="Z326" s="27">
        <f t="shared" ref="Z326:AA326" si="295">SUM(Z327:Z332)</f>
        <v>0</v>
      </c>
      <c r="AA326" s="27">
        <f t="shared" si="295"/>
        <v>0</v>
      </c>
      <c r="AB326" s="27">
        <f t="shared" si="272"/>
        <v>0</v>
      </c>
    </row>
    <row r="327" spans="1:28" s="28" customFormat="1" ht="31.5" x14ac:dyDescent="0.25">
      <c r="A327" s="38" t="s">
        <v>292</v>
      </c>
      <c r="B327" s="34">
        <f t="shared" si="273"/>
        <v>2400</v>
      </c>
      <c r="C327" s="34">
        <f t="shared" si="273"/>
        <v>0</v>
      </c>
      <c r="D327" s="34">
        <f t="shared" si="273"/>
        <v>-2400</v>
      </c>
      <c r="E327" s="34"/>
      <c r="F327" s="34"/>
      <c r="G327" s="34">
        <f t="shared" si="177"/>
        <v>0</v>
      </c>
      <c r="H327" s="34"/>
      <c r="I327" s="34"/>
      <c r="J327" s="34">
        <f t="shared" si="260"/>
        <v>0</v>
      </c>
      <c r="K327" s="34">
        <v>2400</v>
      </c>
      <c r="L327" s="34">
        <v>0</v>
      </c>
      <c r="M327" s="34">
        <f t="shared" si="262"/>
        <v>-2400</v>
      </c>
      <c r="N327" s="34"/>
      <c r="O327" s="34"/>
      <c r="P327" s="34">
        <f t="shared" si="264"/>
        <v>0</v>
      </c>
      <c r="Q327" s="34"/>
      <c r="R327" s="34"/>
      <c r="S327" s="34">
        <f t="shared" si="266"/>
        <v>0</v>
      </c>
      <c r="T327" s="34"/>
      <c r="U327" s="34"/>
      <c r="V327" s="34">
        <f t="shared" si="268"/>
        <v>0</v>
      </c>
      <c r="W327" s="34"/>
      <c r="X327" s="34"/>
      <c r="Y327" s="34">
        <f t="shared" si="270"/>
        <v>0</v>
      </c>
      <c r="Z327" s="34"/>
      <c r="AA327" s="34"/>
      <c r="AB327" s="34">
        <f t="shared" si="272"/>
        <v>0</v>
      </c>
    </row>
    <row r="328" spans="1:28" s="28" customFormat="1" x14ac:dyDescent="0.25">
      <c r="A328" s="38" t="s">
        <v>293</v>
      </c>
      <c r="B328" s="34">
        <f t="shared" si="273"/>
        <v>0</v>
      </c>
      <c r="C328" s="34">
        <f t="shared" si="273"/>
        <v>0</v>
      </c>
      <c r="D328" s="34">
        <f t="shared" si="273"/>
        <v>0</v>
      </c>
      <c r="E328" s="34"/>
      <c r="F328" s="34"/>
      <c r="G328" s="34">
        <f t="shared" si="177"/>
        <v>0</v>
      </c>
      <c r="H328" s="34"/>
      <c r="I328" s="34"/>
      <c r="J328" s="34">
        <f t="shared" si="260"/>
        <v>0</v>
      </c>
      <c r="K328" s="34">
        <f>1185-1185</f>
        <v>0</v>
      </c>
      <c r="L328" s="34">
        <f>1185-1185</f>
        <v>0</v>
      </c>
      <c r="M328" s="34">
        <f t="shared" si="262"/>
        <v>0</v>
      </c>
      <c r="N328" s="34"/>
      <c r="O328" s="34"/>
      <c r="P328" s="34">
        <f t="shared" si="264"/>
        <v>0</v>
      </c>
      <c r="Q328" s="34"/>
      <c r="R328" s="34"/>
      <c r="S328" s="34">
        <f t="shared" si="266"/>
        <v>0</v>
      </c>
      <c r="T328" s="34"/>
      <c r="U328" s="34"/>
      <c r="V328" s="34">
        <f t="shared" si="268"/>
        <v>0</v>
      </c>
      <c r="W328" s="34"/>
      <c r="X328" s="34"/>
      <c r="Y328" s="34">
        <f t="shared" si="270"/>
        <v>0</v>
      </c>
      <c r="Z328" s="34"/>
      <c r="AA328" s="34"/>
      <c r="AB328" s="34">
        <f t="shared" si="272"/>
        <v>0</v>
      </c>
    </row>
    <row r="329" spans="1:28" s="28" customFormat="1" ht="31.5" x14ac:dyDescent="0.25">
      <c r="A329" s="38" t="s">
        <v>294</v>
      </c>
      <c r="B329" s="34">
        <f t="shared" si="273"/>
        <v>9933</v>
      </c>
      <c r="C329" s="34">
        <f t="shared" si="273"/>
        <v>8719</v>
      </c>
      <c r="D329" s="34">
        <f t="shared" si="273"/>
        <v>-1214</v>
      </c>
      <c r="E329" s="34"/>
      <c r="F329" s="34"/>
      <c r="G329" s="34">
        <f t="shared" si="177"/>
        <v>0</v>
      </c>
      <c r="H329" s="34"/>
      <c r="I329" s="34"/>
      <c r="J329" s="34">
        <f t="shared" si="260"/>
        <v>0</v>
      </c>
      <c r="K329" s="34">
        <v>9933</v>
      </c>
      <c r="L329" s="34">
        <f>9933-1214</f>
        <v>8719</v>
      </c>
      <c r="M329" s="34">
        <f t="shared" si="262"/>
        <v>-1214</v>
      </c>
      <c r="N329" s="34"/>
      <c r="O329" s="34"/>
      <c r="P329" s="34">
        <f t="shared" si="264"/>
        <v>0</v>
      </c>
      <c r="Q329" s="34"/>
      <c r="R329" s="34"/>
      <c r="S329" s="34">
        <f t="shared" si="266"/>
        <v>0</v>
      </c>
      <c r="T329" s="34"/>
      <c r="U329" s="34"/>
      <c r="V329" s="34">
        <f t="shared" si="268"/>
        <v>0</v>
      </c>
      <c r="W329" s="34"/>
      <c r="X329" s="34"/>
      <c r="Y329" s="34">
        <f t="shared" si="270"/>
        <v>0</v>
      </c>
      <c r="Z329" s="34"/>
      <c r="AA329" s="34"/>
      <c r="AB329" s="34">
        <f t="shared" si="272"/>
        <v>0</v>
      </c>
    </row>
    <row r="330" spans="1:28" s="28" customFormat="1" ht="31.5" x14ac:dyDescent="0.25">
      <c r="A330" s="38" t="s">
        <v>295</v>
      </c>
      <c r="B330" s="34">
        <f t="shared" si="273"/>
        <v>0</v>
      </c>
      <c r="C330" s="34">
        <f t="shared" si="273"/>
        <v>1214</v>
      </c>
      <c r="D330" s="34">
        <f t="shared" si="273"/>
        <v>1214</v>
      </c>
      <c r="E330" s="34"/>
      <c r="F330" s="34"/>
      <c r="G330" s="34">
        <f t="shared" si="177"/>
        <v>0</v>
      </c>
      <c r="H330" s="34"/>
      <c r="I330" s="34"/>
      <c r="J330" s="34">
        <f t="shared" si="260"/>
        <v>0</v>
      </c>
      <c r="K330" s="34"/>
      <c r="L330" s="34">
        <v>1214</v>
      </c>
      <c r="M330" s="34">
        <f t="shared" si="262"/>
        <v>1214</v>
      </c>
      <c r="N330" s="34"/>
      <c r="O330" s="34"/>
      <c r="P330" s="34">
        <f t="shared" si="264"/>
        <v>0</v>
      </c>
      <c r="Q330" s="34"/>
      <c r="R330" s="34"/>
      <c r="S330" s="34">
        <f t="shared" si="266"/>
        <v>0</v>
      </c>
      <c r="T330" s="34"/>
      <c r="U330" s="34"/>
      <c r="V330" s="34">
        <f t="shared" si="268"/>
        <v>0</v>
      </c>
      <c r="W330" s="34"/>
      <c r="X330" s="34"/>
      <c r="Y330" s="34">
        <f t="shared" si="270"/>
        <v>0</v>
      </c>
      <c r="Z330" s="34"/>
      <c r="AA330" s="34"/>
      <c r="AB330" s="34">
        <f t="shared" si="272"/>
        <v>0</v>
      </c>
    </row>
    <row r="331" spans="1:28" s="28" customFormat="1" ht="31.5" x14ac:dyDescent="0.25">
      <c r="A331" s="38" t="s">
        <v>296</v>
      </c>
      <c r="B331" s="34">
        <f t="shared" si="273"/>
        <v>1430</v>
      </c>
      <c r="C331" s="34">
        <f t="shared" si="273"/>
        <v>1430</v>
      </c>
      <c r="D331" s="34">
        <f t="shared" si="273"/>
        <v>0</v>
      </c>
      <c r="E331" s="34"/>
      <c r="F331" s="34"/>
      <c r="G331" s="34">
        <f t="shared" si="177"/>
        <v>0</v>
      </c>
      <c r="H331" s="34"/>
      <c r="I331" s="34"/>
      <c r="J331" s="34">
        <f t="shared" si="260"/>
        <v>0</v>
      </c>
      <c r="K331" s="34">
        <v>1430</v>
      </c>
      <c r="L331" s="34">
        <v>1430</v>
      </c>
      <c r="M331" s="34">
        <f t="shared" si="262"/>
        <v>0</v>
      </c>
      <c r="N331" s="34"/>
      <c r="O331" s="34"/>
      <c r="P331" s="34">
        <f t="shared" si="264"/>
        <v>0</v>
      </c>
      <c r="Q331" s="34"/>
      <c r="R331" s="34"/>
      <c r="S331" s="34">
        <f t="shared" si="266"/>
        <v>0</v>
      </c>
      <c r="T331" s="34"/>
      <c r="U331" s="34"/>
      <c r="V331" s="34">
        <f t="shared" si="268"/>
        <v>0</v>
      </c>
      <c r="W331" s="34"/>
      <c r="X331" s="34"/>
      <c r="Y331" s="34">
        <f t="shared" si="270"/>
        <v>0</v>
      </c>
      <c r="Z331" s="34"/>
      <c r="AA331" s="34"/>
      <c r="AB331" s="34">
        <f t="shared" si="272"/>
        <v>0</v>
      </c>
    </row>
    <row r="332" spans="1:28" s="28" customFormat="1" ht="47.25" x14ac:dyDescent="0.25">
      <c r="A332" s="38" t="s">
        <v>297</v>
      </c>
      <c r="B332" s="34">
        <f t="shared" si="273"/>
        <v>8411</v>
      </c>
      <c r="C332" s="34">
        <f t="shared" si="273"/>
        <v>8411</v>
      </c>
      <c r="D332" s="34">
        <f t="shared" si="273"/>
        <v>0</v>
      </c>
      <c r="E332" s="34"/>
      <c r="F332" s="34"/>
      <c r="G332" s="34">
        <f t="shared" si="177"/>
        <v>0</v>
      </c>
      <c r="H332" s="34"/>
      <c r="I332" s="34"/>
      <c r="J332" s="34">
        <f t="shared" si="260"/>
        <v>0</v>
      </c>
      <c r="K332" s="34">
        <v>8411</v>
      </c>
      <c r="L332" s="34">
        <v>8411</v>
      </c>
      <c r="M332" s="34">
        <f t="shared" si="262"/>
        <v>0</v>
      </c>
      <c r="N332" s="34"/>
      <c r="O332" s="34"/>
      <c r="P332" s="34">
        <f t="shared" si="264"/>
        <v>0</v>
      </c>
      <c r="Q332" s="34"/>
      <c r="R332" s="34"/>
      <c r="S332" s="34">
        <f t="shared" si="266"/>
        <v>0</v>
      </c>
      <c r="T332" s="34"/>
      <c r="U332" s="34"/>
      <c r="V332" s="34">
        <f t="shared" si="268"/>
        <v>0</v>
      </c>
      <c r="W332" s="34"/>
      <c r="X332" s="34"/>
      <c r="Y332" s="34">
        <f t="shared" si="270"/>
        <v>0</v>
      </c>
      <c r="Z332" s="34"/>
      <c r="AA332" s="34"/>
      <c r="AB332" s="34">
        <f t="shared" si="272"/>
        <v>0</v>
      </c>
    </row>
    <row r="333" spans="1:28" s="28" customFormat="1" x14ac:dyDescent="0.25">
      <c r="A333" s="26" t="s">
        <v>191</v>
      </c>
      <c r="B333" s="27">
        <f t="shared" si="273"/>
        <v>6059585</v>
      </c>
      <c r="C333" s="27">
        <f t="shared" si="273"/>
        <v>7909585</v>
      </c>
      <c r="D333" s="27">
        <f t="shared" si="273"/>
        <v>1850000</v>
      </c>
      <c r="E333" s="27">
        <f>SUM(E334:E351)</f>
        <v>247426</v>
      </c>
      <c r="F333" s="27">
        <f>SUM(F334:F351)</f>
        <v>247426</v>
      </c>
      <c r="G333" s="27">
        <f t="shared" si="177"/>
        <v>0</v>
      </c>
      <c r="H333" s="27">
        <f t="shared" ref="H333:I333" si="296">SUM(H334:H351)</f>
        <v>339029</v>
      </c>
      <c r="I333" s="27">
        <f t="shared" si="296"/>
        <v>339029</v>
      </c>
      <c r="J333" s="27">
        <f t="shared" si="260"/>
        <v>0</v>
      </c>
      <c r="K333" s="27">
        <f t="shared" ref="K333:L333" si="297">SUM(K334:K351)</f>
        <v>189189</v>
      </c>
      <c r="L333" s="27">
        <f t="shared" si="297"/>
        <v>189189</v>
      </c>
      <c r="M333" s="27">
        <f t="shared" si="262"/>
        <v>0</v>
      </c>
      <c r="N333" s="27">
        <f t="shared" ref="N333:O333" si="298">SUM(N334:N351)</f>
        <v>1091336</v>
      </c>
      <c r="O333" s="27">
        <f t="shared" si="298"/>
        <v>1091336</v>
      </c>
      <c r="P333" s="27">
        <f t="shared" si="264"/>
        <v>0</v>
      </c>
      <c r="Q333" s="27">
        <f t="shared" ref="Q333:R333" si="299">SUM(Q334:Q351)</f>
        <v>0</v>
      </c>
      <c r="R333" s="27">
        <f t="shared" si="299"/>
        <v>0</v>
      </c>
      <c r="S333" s="27">
        <f t="shared" si="266"/>
        <v>0</v>
      </c>
      <c r="T333" s="27">
        <f t="shared" ref="T333:U333" si="300">SUM(T334:T351)</f>
        <v>3672605</v>
      </c>
      <c r="U333" s="27">
        <f t="shared" si="300"/>
        <v>3672605</v>
      </c>
      <c r="V333" s="27">
        <f t="shared" si="268"/>
        <v>0</v>
      </c>
      <c r="W333" s="27">
        <f t="shared" ref="W333:X333" si="301">SUM(W334:W351)</f>
        <v>10000</v>
      </c>
      <c r="X333" s="27">
        <f t="shared" si="301"/>
        <v>1300000</v>
      </c>
      <c r="Y333" s="27">
        <f t="shared" si="270"/>
        <v>1290000</v>
      </c>
      <c r="Z333" s="27">
        <f t="shared" ref="Z333:AA333" si="302">SUM(Z334:Z351)</f>
        <v>510000</v>
      </c>
      <c r="AA333" s="27">
        <f t="shared" si="302"/>
        <v>1070000</v>
      </c>
      <c r="AB333" s="27">
        <f t="shared" si="272"/>
        <v>560000</v>
      </c>
    </row>
    <row r="334" spans="1:28" s="28" customFormat="1" ht="31.5" x14ac:dyDescent="0.25">
      <c r="A334" s="38" t="s">
        <v>298</v>
      </c>
      <c r="B334" s="34">
        <f t="shared" si="273"/>
        <v>24685</v>
      </c>
      <c r="C334" s="34">
        <f t="shared" si="273"/>
        <v>24685</v>
      </c>
      <c r="D334" s="34">
        <f t="shared" si="273"/>
        <v>0</v>
      </c>
      <c r="E334" s="34">
        <v>24685</v>
      </c>
      <c r="F334" s="34">
        <v>24685</v>
      </c>
      <c r="G334" s="34">
        <f t="shared" si="177"/>
        <v>0</v>
      </c>
      <c r="H334" s="34"/>
      <c r="I334" s="34"/>
      <c r="J334" s="34">
        <f t="shared" si="260"/>
        <v>0</v>
      </c>
      <c r="K334" s="34"/>
      <c r="L334" s="34"/>
      <c r="M334" s="34">
        <f t="shared" si="262"/>
        <v>0</v>
      </c>
      <c r="N334" s="34"/>
      <c r="O334" s="34"/>
      <c r="P334" s="34">
        <f t="shared" si="264"/>
        <v>0</v>
      </c>
      <c r="Q334" s="34"/>
      <c r="R334" s="34"/>
      <c r="S334" s="34">
        <f t="shared" si="266"/>
        <v>0</v>
      </c>
      <c r="T334" s="34"/>
      <c r="U334" s="34"/>
      <c r="V334" s="34">
        <f t="shared" si="268"/>
        <v>0</v>
      </c>
      <c r="W334" s="34"/>
      <c r="X334" s="34"/>
      <c r="Y334" s="34">
        <f t="shared" si="270"/>
        <v>0</v>
      </c>
      <c r="Z334" s="34"/>
      <c r="AA334" s="34"/>
      <c r="AB334" s="34">
        <f t="shared" si="272"/>
        <v>0</v>
      </c>
    </row>
    <row r="335" spans="1:28" s="28" customFormat="1" ht="31.5" x14ac:dyDescent="0.25">
      <c r="A335" s="38" t="s">
        <v>299</v>
      </c>
      <c r="B335" s="34">
        <f t="shared" si="273"/>
        <v>22398</v>
      </c>
      <c r="C335" s="34">
        <f t="shared" si="273"/>
        <v>22398</v>
      </c>
      <c r="D335" s="34">
        <f t="shared" si="273"/>
        <v>0</v>
      </c>
      <c r="E335" s="34">
        <v>10315</v>
      </c>
      <c r="F335" s="34">
        <v>10315</v>
      </c>
      <c r="G335" s="34">
        <f t="shared" si="177"/>
        <v>0</v>
      </c>
      <c r="H335" s="34"/>
      <c r="I335" s="34"/>
      <c r="J335" s="34">
        <f t="shared" si="260"/>
        <v>0</v>
      </c>
      <c r="K335" s="34">
        <v>12083</v>
      </c>
      <c r="L335" s="34">
        <v>12083</v>
      </c>
      <c r="M335" s="34">
        <f t="shared" si="262"/>
        <v>0</v>
      </c>
      <c r="N335" s="34"/>
      <c r="O335" s="34"/>
      <c r="P335" s="34">
        <f t="shared" si="264"/>
        <v>0</v>
      </c>
      <c r="Q335" s="34"/>
      <c r="R335" s="34"/>
      <c r="S335" s="34">
        <f t="shared" si="266"/>
        <v>0</v>
      </c>
      <c r="T335" s="34"/>
      <c r="U335" s="34"/>
      <c r="V335" s="34">
        <f t="shared" si="268"/>
        <v>0</v>
      </c>
      <c r="W335" s="34"/>
      <c r="X335" s="34"/>
      <c r="Y335" s="34">
        <f t="shared" si="270"/>
        <v>0</v>
      </c>
      <c r="Z335" s="34"/>
      <c r="AA335" s="34"/>
      <c r="AB335" s="34">
        <f t="shared" si="272"/>
        <v>0</v>
      </c>
    </row>
    <row r="336" spans="1:28" s="28" customFormat="1" ht="31.5" x14ac:dyDescent="0.25">
      <c r="A336" s="41" t="s">
        <v>300</v>
      </c>
      <c r="B336" s="34">
        <f t="shared" si="273"/>
        <v>11265</v>
      </c>
      <c r="C336" s="34">
        <f t="shared" si="273"/>
        <v>11265</v>
      </c>
      <c r="D336" s="34">
        <f t="shared" si="273"/>
        <v>0</v>
      </c>
      <c r="E336" s="34"/>
      <c r="F336" s="34"/>
      <c r="G336" s="34">
        <f>F336-E336</f>
        <v>0</v>
      </c>
      <c r="H336" s="34"/>
      <c r="I336" s="34"/>
      <c r="J336" s="34">
        <f>I336-H336</f>
        <v>0</v>
      </c>
      <c r="K336" s="34">
        <f>5000+1265</f>
        <v>6265</v>
      </c>
      <c r="L336" s="34">
        <f>5000+1265</f>
        <v>6265</v>
      </c>
      <c r="M336" s="34">
        <f>L336-K336</f>
        <v>0</v>
      </c>
      <c r="N336" s="34"/>
      <c r="O336" s="34"/>
      <c r="P336" s="34">
        <f>O336-N336</f>
        <v>0</v>
      </c>
      <c r="Q336" s="34"/>
      <c r="R336" s="34"/>
      <c r="S336" s="34">
        <f>R336-Q336</f>
        <v>0</v>
      </c>
      <c r="T336" s="34"/>
      <c r="U336" s="34"/>
      <c r="V336" s="34">
        <f>U336-T336</f>
        <v>0</v>
      </c>
      <c r="W336" s="34">
        <v>5000</v>
      </c>
      <c r="X336" s="34">
        <v>5000</v>
      </c>
      <c r="Y336" s="34">
        <f>X336-W336</f>
        <v>0</v>
      </c>
      <c r="Z336" s="34"/>
      <c r="AA336" s="34"/>
      <c r="AB336" s="34">
        <f>AA336-Z336</f>
        <v>0</v>
      </c>
    </row>
    <row r="337" spans="1:28" s="28" customFormat="1" x14ac:dyDescent="0.25">
      <c r="A337" s="33" t="s">
        <v>301</v>
      </c>
      <c r="B337" s="34">
        <f t="shared" si="273"/>
        <v>70000</v>
      </c>
      <c r="C337" s="34">
        <f t="shared" si="273"/>
        <v>70000</v>
      </c>
      <c r="D337" s="34">
        <f t="shared" si="273"/>
        <v>0</v>
      </c>
      <c r="E337" s="34">
        <v>7738</v>
      </c>
      <c r="F337" s="34">
        <v>7738</v>
      </c>
      <c r="G337" s="34">
        <f t="shared" si="177"/>
        <v>0</v>
      </c>
      <c r="H337" s="34">
        <v>62262</v>
      </c>
      <c r="I337" s="34">
        <v>62262</v>
      </c>
      <c r="J337" s="34">
        <f t="shared" si="260"/>
        <v>0</v>
      </c>
      <c r="K337" s="34"/>
      <c r="L337" s="34"/>
      <c r="M337" s="34">
        <f t="shared" si="262"/>
        <v>0</v>
      </c>
      <c r="N337" s="34"/>
      <c r="O337" s="34"/>
      <c r="P337" s="34">
        <f t="shared" si="264"/>
        <v>0</v>
      </c>
      <c r="Q337" s="34"/>
      <c r="R337" s="34"/>
      <c r="S337" s="34">
        <f t="shared" si="266"/>
        <v>0</v>
      </c>
      <c r="T337" s="34"/>
      <c r="U337" s="34"/>
      <c r="V337" s="34">
        <f t="shared" si="268"/>
        <v>0</v>
      </c>
      <c r="W337" s="34"/>
      <c r="X337" s="34"/>
      <c r="Y337" s="34">
        <f t="shared" si="270"/>
        <v>0</v>
      </c>
      <c r="Z337" s="34"/>
      <c r="AA337" s="34"/>
      <c r="AB337" s="34">
        <f t="shared" si="272"/>
        <v>0</v>
      </c>
    </row>
    <row r="338" spans="1:28" s="28" customFormat="1" ht="94.5" x14ac:dyDescent="0.25">
      <c r="A338" s="33" t="s">
        <v>302</v>
      </c>
      <c r="B338" s="34">
        <f t="shared" si="273"/>
        <v>0</v>
      </c>
      <c r="C338" s="34">
        <f t="shared" si="273"/>
        <v>1850000</v>
      </c>
      <c r="D338" s="34">
        <f t="shared" si="273"/>
        <v>1850000</v>
      </c>
      <c r="E338" s="34"/>
      <c r="F338" s="34"/>
      <c r="G338" s="34">
        <f t="shared" si="177"/>
        <v>0</v>
      </c>
      <c r="H338" s="34"/>
      <c r="I338" s="34"/>
      <c r="J338" s="34">
        <f t="shared" si="260"/>
        <v>0</v>
      </c>
      <c r="K338" s="34"/>
      <c r="L338" s="34"/>
      <c r="M338" s="34">
        <f t="shared" si="262"/>
        <v>0</v>
      </c>
      <c r="N338" s="34"/>
      <c r="O338" s="34"/>
      <c r="P338" s="34">
        <f t="shared" si="264"/>
        <v>0</v>
      </c>
      <c r="Q338" s="34"/>
      <c r="R338" s="34"/>
      <c r="S338" s="34">
        <f t="shared" si="266"/>
        <v>0</v>
      </c>
      <c r="T338" s="34"/>
      <c r="U338" s="34"/>
      <c r="V338" s="34">
        <f t="shared" si="268"/>
        <v>0</v>
      </c>
      <c r="W338" s="34"/>
      <c r="X338" s="34">
        <v>1290000</v>
      </c>
      <c r="Y338" s="34">
        <f t="shared" si="270"/>
        <v>1290000</v>
      </c>
      <c r="Z338" s="34"/>
      <c r="AA338" s="34">
        <v>560000</v>
      </c>
      <c r="AB338" s="34">
        <f t="shared" si="272"/>
        <v>560000</v>
      </c>
    </row>
    <row r="339" spans="1:28" s="28" customFormat="1" ht="110.25" x14ac:dyDescent="0.25">
      <c r="A339" s="30" t="s">
        <v>303</v>
      </c>
      <c r="B339" s="34">
        <f t="shared" si="273"/>
        <v>49792</v>
      </c>
      <c r="C339" s="34">
        <f t="shared" si="273"/>
        <v>49792</v>
      </c>
      <c r="D339" s="34">
        <f t="shared" si="273"/>
        <v>0</v>
      </c>
      <c r="E339" s="34"/>
      <c r="F339" s="34"/>
      <c r="G339" s="34">
        <f t="shared" si="177"/>
        <v>0</v>
      </c>
      <c r="H339" s="34"/>
      <c r="I339" s="34"/>
      <c r="J339" s="34">
        <f t="shared" si="260"/>
        <v>0</v>
      </c>
      <c r="K339" s="34"/>
      <c r="L339" s="34"/>
      <c r="M339" s="34">
        <f t="shared" si="262"/>
        <v>0</v>
      </c>
      <c r="N339" s="34"/>
      <c r="O339" s="34"/>
      <c r="P339" s="34">
        <f t="shared" si="264"/>
        <v>0</v>
      </c>
      <c r="Q339" s="34"/>
      <c r="R339" s="34"/>
      <c r="S339" s="34">
        <f t="shared" si="266"/>
        <v>0</v>
      </c>
      <c r="T339" s="34">
        <v>49792</v>
      </c>
      <c r="U339" s="34">
        <v>49792</v>
      </c>
      <c r="V339" s="34">
        <f t="shared" si="268"/>
        <v>0</v>
      </c>
      <c r="W339" s="34"/>
      <c r="X339" s="34"/>
      <c r="Y339" s="34">
        <f t="shared" si="270"/>
        <v>0</v>
      </c>
      <c r="Z339" s="34"/>
      <c r="AA339" s="34"/>
      <c r="AB339" s="34">
        <f t="shared" si="272"/>
        <v>0</v>
      </c>
    </row>
    <row r="340" spans="1:28" s="28" customFormat="1" ht="47.25" x14ac:dyDescent="0.25">
      <c r="A340" s="30" t="s">
        <v>304</v>
      </c>
      <c r="B340" s="34">
        <f t="shared" si="273"/>
        <v>18646</v>
      </c>
      <c r="C340" s="34">
        <f t="shared" si="273"/>
        <v>18646</v>
      </c>
      <c r="D340" s="34">
        <f t="shared" si="273"/>
        <v>0</v>
      </c>
      <c r="E340" s="34">
        <v>15000</v>
      </c>
      <c r="F340" s="34">
        <v>15000</v>
      </c>
      <c r="G340" s="34">
        <f t="shared" si="177"/>
        <v>0</v>
      </c>
      <c r="H340" s="34"/>
      <c r="I340" s="34"/>
      <c r="J340" s="34">
        <f t="shared" si="260"/>
        <v>0</v>
      </c>
      <c r="K340" s="34">
        <f>15000-15000</f>
        <v>0</v>
      </c>
      <c r="L340" s="34">
        <f>15000-15000</f>
        <v>0</v>
      </c>
      <c r="M340" s="34">
        <f t="shared" si="262"/>
        <v>0</v>
      </c>
      <c r="N340" s="34"/>
      <c r="O340" s="34"/>
      <c r="P340" s="34">
        <f t="shared" si="264"/>
        <v>0</v>
      </c>
      <c r="Q340" s="34"/>
      <c r="R340" s="34"/>
      <c r="S340" s="34">
        <f t="shared" si="266"/>
        <v>0</v>
      </c>
      <c r="T340" s="34">
        <v>3646</v>
      </c>
      <c r="U340" s="34">
        <v>3646</v>
      </c>
      <c r="V340" s="34">
        <f t="shared" si="268"/>
        <v>0</v>
      </c>
      <c r="W340" s="34"/>
      <c r="X340" s="34"/>
      <c r="Y340" s="34">
        <f t="shared" si="270"/>
        <v>0</v>
      </c>
      <c r="Z340" s="34"/>
      <c r="AA340" s="34"/>
      <c r="AB340" s="34">
        <f t="shared" si="272"/>
        <v>0</v>
      </c>
    </row>
    <row r="341" spans="1:28" s="28" customFormat="1" ht="110.25" x14ac:dyDescent="0.25">
      <c r="A341" s="30" t="s">
        <v>305</v>
      </c>
      <c r="B341" s="34">
        <f t="shared" si="273"/>
        <v>3539431</v>
      </c>
      <c r="C341" s="34">
        <f t="shared" si="273"/>
        <v>3539431</v>
      </c>
      <c r="D341" s="34">
        <f t="shared" si="273"/>
        <v>0</v>
      </c>
      <c r="E341" s="34"/>
      <c r="F341" s="34"/>
      <c r="G341" s="34">
        <f t="shared" si="177"/>
        <v>0</v>
      </c>
      <c r="H341" s="34"/>
      <c r="I341" s="34"/>
      <c r="J341" s="34">
        <f t="shared" si="260"/>
        <v>0</v>
      </c>
      <c r="K341" s="34"/>
      <c r="L341" s="34"/>
      <c r="M341" s="34">
        <f t="shared" si="262"/>
        <v>0</v>
      </c>
      <c r="N341" s="34"/>
      <c r="O341" s="34"/>
      <c r="P341" s="34">
        <f t="shared" si="264"/>
        <v>0</v>
      </c>
      <c r="Q341" s="34"/>
      <c r="R341" s="34"/>
      <c r="S341" s="34">
        <f t="shared" si="266"/>
        <v>0</v>
      </c>
      <c r="T341" s="34">
        <f>3503649+35782</f>
        <v>3539431</v>
      </c>
      <c r="U341" s="34">
        <f>3503649+35782</f>
        <v>3539431</v>
      </c>
      <c r="V341" s="34">
        <f t="shared" si="268"/>
        <v>0</v>
      </c>
      <c r="W341" s="34"/>
      <c r="X341" s="34"/>
      <c r="Y341" s="34">
        <f t="shared" si="270"/>
        <v>0</v>
      </c>
      <c r="Z341" s="34"/>
      <c r="AA341" s="34"/>
      <c r="AB341" s="34">
        <f t="shared" si="272"/>
        <v>0</v>
      </c>
    </row>
    <row r="342" spans="1:28" s="28" customFormat="1" ht="110.25" x14ac:dyDescent="0.25">
      <c r="A342" s="30" t="s">
        <v>306</v>
      </c>
      <c r="B342" s="34">
        <f t="shared" si="273"/>
        <v>570017</v>
      </c>
      <c r="C342" s="34">
        <f t="shared" si="273"/>
        <v>570017</v>
      </c>
      <c r="D342" s="34">
        <f t="shared" si="273"/>
        <v>0</v>
      </c>
      <c r="E342" s="34">
        <v>0</v>
      </c>
      <c r="F342" s="34">
        <v>0</v>
      </c>
      <c r="G342" s="34">
        <f t="shared" ref="G342:G426" si="303">F342-E342</f>
        <v>0</v>
      </c>
      <c r="H342" s="34">
        <v>60017</v>
      </c>
      <c r="I342" s="34">
        <v>60017</v>
      </c>
      <c r="J342" s="34">
        <f t="shared" si="260"/>
        <v>0</v>
      </c>
      <c r="K342" s="34"/>
      <c r="L342" s="34"/>
      <c r="M342" s="34">
        <f t="shared" si="262"/>
        <v>0</v>
      </c>
      <c r="N342" s="34"/>
      <c r="O342" s="34"/>
      <c r="P342" s="34">
        <f t="shared" si="264"/>
        <v>0</v>
      </c>
      <c r="Q342" s="34"/>
      <c r="R342" s="34"/>
      <c r="S342" s="34">
        <f t="shared" si="266"/>
        <v>0</v>
      </c>
      <c r="T342" s="34"/>
      <c r="U342" s="34"/>
      <c r="V342" s="34">
        <f t="shared" si="268"/>
        <v>0</v>
      </c>
      <c r="W342" s="34"/>
      <c r="X342" s="34"/>
      <c r="Y342" s="34">
        <f t="shared" si="270"/>
        <v>0</v>
      </c>
      <c r="Z342" s="34">
        <f>250000+83000+177000</f>
        <v>510000</v>
      </c>
      <c r="AA342" s="34">
        <f>250000+83000+177000</f>
        <v>510000</v>
      </c>
      <c r="AB342" s="34">
        <f t="shared" si="272"/>
        <v>0</v>
      </c>
    </row>
    <row r="343" spans="1:28" s="28" customFormat="1" ht="31.5" x14ac:dyDescent="0.25">
      <c r="A343" s="30" t="s">
        <v>307</v>
      </c>
      <c r="B343" s="34">
        <f t="shared" si="273"/>
        <v>31000</v>
      </c>
      <c r="C343" s="34">
        <f t="shared" si="273"/>
        <v>31000</v>
      </c>
      <c r="D343" s="34">
        <f t="shared" si="273"/>
        <v>0</v>
      </c>
      <c r="E343" s="34"/>
      <c r="F343" s="34"/>
      <c r="G343" s="34">
        <f t="shared" si="303"/>
        <v>0</v>
      </c>
      <c r="H343" s="34"/>
      <c r="I343" s="34"/>
      <c r="J343" s="34">
        <f t="shared" si="260"/>
        <v>0</v>
      </c>
      <c r="K343" s="34">
        <f>31000</f>
        <v>31000</v>
      </c>
      <c r="L343" s="34">
        <f>31000</f>
        <v>31000</v>
      </c>
      <c r="M343" s="34">
        <f t="shared" si="262"/>
        <v>0</v>
      </c>
      <c r="N343" s="34"/>
      <c r="O343" s="34"/>
      <c r="P343" s="34">
        <f t="shared" si="264"/>
        <v>0</v>
      </c>
      <c r="Q343" s="34"/>
      <c r="R343" s="34"/>
      <c r="S343" s="34">
        <f t="shared" si="266"/>
        <v>0</v>
      </c>
      <c r="T343" s="34"/>
      <c r="U343" s="34"/>
      <c r="V343" s="34">
        <f t="shared" si="268"/>
        <v>0</v>
      </c>
      <c r="W343" s="34"/>
      <c r="X343" s="34"/>
      <c r="Y343" s="34">
        <f t="shared" si="270"/>
        <v>0</v>
      </c>
      <c r="Z343" s="34"/>
      <c r="AA343" s="34"/>
      <c r="AB343" s="34">
        <f t="shared" si="272"/>
        <v>0</v>
      </c>
    </row>
    <row r="344" spans="1:28" s="28" customFormat="1" ht="31.5" x14ac:dyDescent="0.25">
      <c r="A344" s="30" t="s">
        <v>308</v>
      </c>
      <c r="B344" s="34">
        <f t="shared" si="273"/>
        <v>60000</v>
      </c>
      <c r="C344" s="34">
        <f t="shared" si="273"/>
        <v>60000</v>
      </c>
      <c r="D344" s="34">
        <f t="shared" si="273"/>
        <v>0</v>
      </c>
      <c r="E344" s="34">
        <f>60000-60000</f>
        <v>0</v>
      </c>
      <c r="F344" s="34">
        <f>60000-60000</f>
        <v>0</v>
      </c>
      <c r="G344" s="34">
        <f t="shared" si="303"/>
        <v>0</v>
      </c>
      <c r="H344" s="34"/>
      <c r="I344" s="34"/>
      <c r="J344" s="34">
        <f t="shared" si="260"/>
        <v>0</v>
      </c>
      <c r="K344" s="34">
        <v>60000</v>
      </c>
      <c r="L344" s="34">
        <v>60000</v>
      </c>
      <c r="M344" s="34">
        <f t="shared" si="262"/>
        <v>0</v>
      </c>
      <c r="N344" s="34"/>
      <c r="O344" s="34"/>
      <c r="P344" s="34">
        <f t="shared" si="264"/>
        <v>0</v>
      </c>
      <c r="Q344" s="34"/>
      <c r="R344" s="34"/>
      <c r="S344" s="34">
        <f t="shared" si="266"/>
        <v>0</v>
      </c>
      <c r="T344" s="34"/>
      <c r="U344" s="34"/>
      <c r="V344" s="34">
        <f t="shared" si="268"/>
        <v>0</v>
      </c>
      <c r="W344" s="34"/>
      <c r="X344" s="34"/>
      <c r="Y344" s="34">
        <f t="shared" si="270"/>
        <v>0</v>
      </c>
      <c r="Z344" s="34"/>
      <c r="AA344" s="34"/>
      <c r="AB344" s="34">
        <f t="shared" si="272"/>
        <v>0</v>
      </c>
    </row>
    <row r="345" spans="1:28" s="28" customFormat="1" ht="31.5" x14ac:dyDescent="0.25">
      <c r="A345" s="30" t="s">
        <v>309</v>
      </c>
      <c r="B345" s="34">
        <f t="shared" si="273"/>
        <v>150000</v>
      </c>
      <c r="C345" s="34">
        <f t="shared" si="273"/>
        <v>150000</v>
      </c>
      <c r="D345" s="34">
        <f t="shared" si="273"/>
        <v>0</v>
      </c>
      <c r="E345" s="34">
        <f>70264-49914</f>
        <v>20350</v>
      </c>
      <c r="F345" s="34">
        <f>70264-49914</f>
        <v>20350</v>
      </c>
      <c r="G345" s="34">
        <f t="shared" si="303"/>
        <v>0</v>
      </c>
      <c r="H345" s="34">
        <f>49914</f>
        <v>49914</v>
      </c>
      <c r="I345" s="34">
        <f>49914</f>
        <v>49914</v>
      </c>
      <c r="J345" s="34">
        <f t="shared" si="260"/>
        <v>0</v>
      </c>
      <c r="K345" s="34"/>
      <c r="L345" s="34"/>
      <c r="M345" s="34">
        <f t="shared" si="262"/>
        <v>0</v>
      </c>
      <c r="N345" s="34"/>
      <c r="O345" s="34"/>
      <c r="P345" s="34">
        <f t="shared" si="264"/>
        <v>0</v>
      </c>
      <c r="Q345" s="34"/>
      <c r="R345" s="34"/>
      <c r="S345" s="34">
        <f t="shared" si="266"/>
        <v>0</v>
      </c>
      <c r="T345" s="34">
        <v>79736</v>
      </c>
      <c r="U345" s="34">
        <v>79736</v>
      </c>
      <c r="V345" s="34">
        <f t="shared" si="268"/>
        <v>0</v>
      </c>
      <c r="W345" s="34"/>
      <c r="X345" s="34"/>
      <c r="Y345" s="34">
        <f t="shared" si="270"/>
        <v>0</v>
      </c>
      <c r="Z345" s="34"/>
      <c r="AA345" s="34"/>
      <c r="AB345" s="34">
        <f t="shared" si="272"/>
        <v>0</v>
      </c>
    </row>
    <row r="346" spans="1:28" s="28" customFormat="1" ht="94.5" x14ac:dyDescent="0.25">
      <c r="A346" s="30" t="s">
        <v>310</v>
      </c>
      <c r="B346" s="34">
        <f t="shared" si="273"/>
        <v>1091336</v>
      </c>
      <c r="C346" s="34">
        <f t="shared" si="273"/>
        <v>1091336</v>
      </c>
      <c r="D346" s="34">
        <f t="shared" si="273"/>
        <v>0</v>
      </c>
      <c r="E346" s="34"/>
      <c r="F346" s="34"/>
      <c r="G346" s="34">
        <f t="shared" si="303"/>
        <v>0</v>
      </c>
      <c r="H346" s="34"/>
      <c r="I346" s="34"/>
      <c r="J346" s="34">
        <f t="shared" si="260"/>
        <v>0</v>
      </c>
      <c r="K346" s="34"/>
      <c r="L346" s="34"/>
      <c r="M346" s="34">
        <f t="shared" si="262"/>
        <v>0</v>
      </c>
      <c r="N346" s="34">
        <v>1091336</v>
      </c>
      <c r="O346" s="34">
        <v>1091336</v>
      </c>
      <c r="P346" s="34">
        <f t="shared" si="264"/>
        <v>0</v>
      </c>
      <c r="Q346" s="34"/>
      <c r="R346" s="34"/>
      <c r="S346" s="34">
        <f t="shared" si="266"/>
        <v>0</v>
      </c>
      <c r="T346" s="34"/>
      <c r="U346" s="34"/>
      <c r="V346" s="34">
        <f t="shared" si="268"/>
        <v>0</v>
      </c>
      <c r="W346" s="34"/>
      <c r="X346" s="34"/>
      <c r="Y346" s="34">
        <f t="shared" si="270"/>
        <v>0</v>
      </c>
      <c r="Z346" s="34"/>
      <c r="AA346" s="34"/>
      <c r="AB346" s="34">
        <f t="shared" si="272"/>
        <v>0</v>
      </c>
    </row>
    <row r="347" spans="1:28" s="28" customFormat="1" ht="63" x14ac:dyDescent="0.25">
      <c r="A347" s="41" t="s">
        <v>311</v>
      </c>
      <c r="B347" s="34">
        <f t="shared" si="273"/>
        <v>26703</v>
      </c>
      <c r="C347" s="34">
        <f t="shared" si="273"/>
        <v>26703</v>
      </c>
      <c r="D347" s="34">
        <f t="shared" si="273"/>
        <v>0</v>
      </c>
      <c r="E347" s="34"/>
      <c r="F347" s="34"/>
      <c r="G347" s="34">
        <f t="shared" si="303"/>
        <v>0</v>
      </c>
      <c r="H347" s="34">
        <v>10703</v>
      </c>
      <c r="I347" s="34">
        <v>10703</v>
      </c>
      <c r="J347" s="34">
        <f t="shared" si="260"/>
        <v>0</v>
      </c>
      <c r="K347" s="34">
        <v>16000</v>
      </c>
      <c r="L347" s="34">
        <v>16000</v>
      </c>
      <c r="M347" s="34">
        <f t="shared" si="262"/>
        <v>0</v>
      </c>
      <c r="N347" s="34"/>
      <c r="O347" s="34"/>
      <c r="P347" s="34">
        <f t="shared" si="264"/>
        <v>0</v>
      </c>
      <c r="Q347" s="34"/>
      <c r="R347" s="34"/>
      <c r="S347" s="34">
        <f t="shared" si="266"/>
        <v>0</v>
      </c>
      <c r="T347" s="34"/>
      <c r="U347" s="34"/>
      <c r="V347" s="34">
        <f t="shared" si="268"/>
        <v>0</v>
      </c>
      <c r="W347" s="34"/>
      <c r="X347" s="34"/>
      <c r="Y347" s="34">
        <f t="shared" si="270"/>
        <v>0</v>
      </c>
      <c r="Z347" s="34"/>
      <c r="AA347" s="34"/>
      <c r="AB347" s="34">
        <f t="shared" si="272"/>
        <v>0</v>
      </c>
    </row>
    <row r="348" spans="1:28" s="28" customFormat="1" ht="31.5" x14ac:dyDescent="0.25">
      <c r="A348" s="33" t="s">
        <v>312</v>
      </c>
      <c r="B348" s="34">
        <f t="shared" si="273"/>
        <v>11400</v>
      </c>
      <c r="C348" s="34">
        <f t="shared" si="273"/>
        <v>11400</v>
      </c>
      <c r="D348" s="34">
        <f t="shared" si="273"/>
        <v>0</v>
      </c>
      <c r="E348" s="34"/>
      <c r="F348" s="34"/>
      <c r="G348" s="34">
        <f t="shared" si="303"/>
        <v>0</v>
      </c>
      <c r="H348" s="34"/>
      <c r="I348" s="34"/>
      <c r="J348" s="34">
        <f t="shared" si="260"/>
        <v>0</v>
      </c>
      <c r="K348" s="34">
        <f>5000+1400</f>
        <v>6400</v>
      </c>
      <c r="L348" s="34">
        <f>5000+1400</f>
        <v>6400</v>
      </c>
      <c r="M348" s="34">
        <f t="shared" si="262"/>
        <v>0</v>
      </c>
      <c r="N348" s="34"/>
      <c r="O348" s="34"/>
      <c r="P348" s="34">
        <f t="shared" si="264"/>
        <v>0</v>
      </c>
      <c r="Q348" s="34"/>
      <c r="R348" s="34"/>
      <c r="S348" s="34">
        <f t="shared" si="266"/>
        <v>0</v>
      </c>
      <c r="T348" s="34"/>
      <c r="U348" s="34"/>
      <c r="V348" s="34">
        <f t="shared" si="268"/>
        <v>0</v>
      </c>
      <c r="W348" s="34">
        <v>5000</v>
      </c>
      <c r="X348" s="34">
        <v>5000</v>
      </c>
      <c r="Y348" s="34">
        <f t="shared" si="270"/>
        <v>0</v>
      </c>
      <c r="Z348" s="34"/>
      <c r="AA348" s="34"/>
      <c r="AB348" s="34">
        <f t="shared" si="272"/>
        <v>0</v>
      </c>
    </row>
    <row r="349" spans="1:28" s="28" customFormat="1" ht="31.5" x14ac:dyDescent="0.25">
      <c r="A349" s="33" t="s">
        <v>313</v>
      </c>
      <c r="B349" s="34">
        <f t="shared" si="273"/>
        <v>150000</v>
      </c>
      <c r="C349" s="34">
        <f t="shared" si="273"/>
        <v>150000</v>
      </c>
      <c r="D349" s="34">
        <f t="shared" si="273"/>
        <v>0</v>
      </c>
      <c r="E349" s="34"/>
      <c r="F349" s="34"/>
      <c r="G349" s="34">
        <f t="shared" si="303"/>
        <v>0</v>
      </c>
      <c r="H349" s="34">
        <f>150000-21915-15750+25006</f>
        <v>137341</v>
      </c>
      <c r="I349" s="34">
        <f>150000-21915-15750+25006</f>
        <v>137341</v>
      </c>
      <c r="J349" s="34">
        <f t="shared" si="260"/>
        <v>0</v>
      </c>
      <c r="K349" s="34">
        <f>12659</f>
        <v>12659</v>
      </c>
      <c r="L349" s="34">
        <f>12659</f>
        <v>12659</v>
      </c>
      <c r="M349" s="34">
        <f t="shared" si="262"/>
        <v>0</v>
      </c>
      <c r="N349" s="34"/>
      <c r="O349" s="34"/>
      <c r="P349" s="34">
        <f t="shared" si="264"/>
        <v>0</v>
      </c>
      <c r="Q349" s="34"/>
      <c r="R349" s="34"/>
      <c r="S349" s="34">
        <f t="shared" si="266"/>
        <v>0</v>
      </c>
      <c r="T349" s="34"/>
      <c r="U349" s="34"/>
      <c r="V349" s="34">
        <f t="shared" si="268"/>
        <v>0</v>
      </c>
      <c r="W349" s="34"/>
      <c r="X349" s="34"/>
      <c r="Y349" s="34">
        <f t="shared" si="270"/>
        <v>0</v>
      </c>
      <c r="Z349" s="34">
        <f>37665-37665</f>
        <v>0</v>
      </c>
      <c r="AA349" s="34">
        <f>37665-37665</f>
        <v>0</v>
      </c>
      <c r="AB349" s="34">
        <f t="shared" si="272"/>
        <v>0</v>
      </c>
    </row>
    <row r="350" spans="1:28" s="28" customFormat="1" x14ac:dyDescent="0.25">
      <c r="A350" s="38" t="s">
        <v>314</v>
      </c>
      <c r="B350" s="34">
        <f t="shared" si="273"/>
        <v>17611</v>
      </c>
      <c r="C350" s="34">
        <f t="shared" si="273"/>
        <v>17611</v>
      </c>
      <c r="D350" s="34">
        <f t="shared" si="273"/>
        <v>0</v>
      </c>
      <c r="E350" s="34">
        <v>17611</v>
      </c>
      <c r="F350" s="34">
        <v>17611</v>
      </c>
      <c r="G350" s="34">
        <f t="shared" si="303"/>
        <v>0</v>
      </c>
      <c r="H350" s="34"/>
      <c r="I350" s="34"/>
      <c r="J350" s="34">
        <f t="shared" si="260"/>
        <v>0</v>
      </c>
      <c r="K350" s="34"/>
      <c r="L350" s="34"/>
      <c r="M350" s="34">
        <f t="shared" si="262"/>
        <v>0</v>
      </c>
      <c r="N350" s="34"/>
      <c r="O350" s="34"/>
      <c r="P350" s="34">
        <f t="shared" si="264"/>
        <v>0</v>
      </c>
      <c r="Q350" s="34"/>
      <c r="R350" s="34"/>
      <c r="S350" s="34">
        <f t="shared" si="266"/>
        <v>0</v>
      </c>
      <c r="T350" s="34"/>
      <c r="U350" s="34"/>
      <c r="V350" s="34">
        <f t="shared" si="268"/>
        <v>0</v>
      </c>
      <c r="W350" s="34"/>
      <c r="X350" s="34"/>
      <c r="Y350" s="34">
        <f t="shared" si="270"/>
        <v>0</v>
      </c>
      <c r="Z350" s="34"/>
      <c r="AA350" s="34"/>
      <c r="AB350" s="34">
        <f t="shared" si="272"/>
        <v>0</v>
      </c>
    </row>
    <row r="351" spans="1:28" s="28" customFormat="1" ht="31.5" x14ac:dyDescent="0.25">
      <c r="A351" s="33" t="s">
        <v>315</v>
      </c>
      <c r="B351" s="34">
        <f t="shared" si="273"/>
        <v>215301</v>
      </c>
      <c r="C351" s="34">
        <f t="shared" si="273"/>
        <v>215301</v>
      </c>
      <c r="D351" s="34">
        <f t="shared" si="273"/>
        <v>0</v>
      </c>
      <c r="E351" s="34">
        <f>215301-63574</f>
        <v>151727</v>
      </c>
      <c r="F351" s="34">
        <f>215301-63574</f>
        <v>151727</v>
      </c>
      <c r="G351" s="34">
        <f t="shared" si="303"/>
        <v>0</v>
      </c>
      <c r="H351" s="34">
        <f>63574-36342-8400-40</f>
        <v>18792</v>
      </c>
      <c r="I351" s="34">
        <f>63574-36342-8400-40</f>
        <v>18792</v>
      </c>
      <c r="J351" s="34">
        <f t="shared" si="260"/>
        <v>0</v>
      </c>
      <c r="K351" s="34">
        <f>36342+8400+40</f>
        <v>44782</v>
      </c>
      <c r="L351" s="34">
        <f>36342+8400+40</f>
        <v>44782</v>
      </c>
      <c r="M351" s="34">
        <f t="shared" si="262"/>
        <v>0</v>
      </c>
      <c r="N351" s="34"/>
      <c r="O351" s="34"/>
      <c r="P351" s="34">
        <f t="shared" si="264"/>
        <v>0</v>
      </c>
      <c r="Q351" s="34"/>
      <c r="R351" s="34"/>
      <c r="S351" s="34">
        <f t="shared" si="266"/>
        <v>0</v>
      </c>
      <c r="T351" s="34"/>
      <c r="U351" s="34"/>
      <c r="V351" s="34">
        <f t="shared" si="268"/>
        <v>0</v>
      </c>
      <c r="W351" s="34"/>
      <c r="X351" s="34"/>
      <c r="Y351" s="34">
        <f t="shared" si="270"/>
        <v>0</v>
      </c>
      <c r="Z351" s="34"/>
      <c r="AA351" s="34"/>
      <c r="AB351" s="34">
        <f t="shared" si="272"/>
        <v>0</v>
      </c>
    </row>
    <row r="352" spans="1:28" s="28" customFormat="1" x14ac:dyDescent="0.25">
      <c r="A352" s="40" t="s">
        <v>316</v>
      </c>
      <c r="B352" s="29">
        <f t="shared" si="273"/>
        <v>3000</v>
      </c>
      <c r="C352" s="29">
        <f t="shared" si="273"/>
        <v>3000</v>
      </c>
      <c r="D352" s="29">
        <f t="shared" si="273"/>
        <v>0</v>
      </c>
      <c r="E352" s="29">
        <f t="shared" ref="E352:AA352" si="304">SUM(E353:E353)</f>
        <v>0</v>
      </c>
      <c r="F352" s="29">
        <f t="shared" si="304"/>
        <v>0</v>
      </c>
      <c r="G352" s="29">
        <f t="shared" si="303"/>
        <v>0</v>
      </c>
      <c r="H352" s="29">
        <f t="shared" si="304"/>
        <v>0</v>
      </c>
      <c r="I352" s="29">
        <f t="shared" si="304"/>
        <v>0</v>
      </c>
      <c r="J352" s="29">
        <f t="shared" si="260"/>
        <v>0</v>
      </c>
      <c r="K352" s="29">
        <f t="shared" si="304"/>
        <v>3000</v>
      </c>
      <c r="L352" s="29">
        <f t="shared" si="304"/>
        <v>3000</v>
      </c>
      <c r="M352" s="29">
        <f t="shared" si="262"/>
        <v>0</v>
      </c>
      <c r="N352" s="29">
        <f t="shared" si="304"/>
        <v>0</v>
      </c>
      <c r="O352" s="29">
        <f t="shared" si="304"/>
        <v>0</v>
      </c>
      <c r="P352" s="29">
        <f t="shared" si="264"/>
        <v>0</v>
      </c>
      <c r="Q352" s="29">
        <f t="shared" si="304"/>
        <v>0</v>
      </c>
      <c r="R352" s="29">
        <f t="shared" si="304"/>
        <v>0</v>
      </c>
      <c r="S352" s="29">
        <f t="shared" si="266"/>
        <v>0</v>
      </c>
      <c r="T352" s="29">
        <f t="shared" si="304"/>
        <v>0</v>
      </c>
      <c r="U352" s="29">
        <f t="shared" si="304"/>
        <v>0</v>
      </c>
      <c r="V352" s="29">
        <f t="shared" si="268"/>
        <v>0</v>
      </c>
      <c r="W352" s="29">
        <f t="shared" si="304"/>
        <v>0</v>
      </c>
      <c r="X352" s="29">
        <f t="shared" si="304"/>
        <v>0</v>
      </c>
      <c r="Y352" s="29">
        <f t="shared" si="270"/>
        <v>0</v>
      </c>
      <c r="Z352" s="29">
        <f t="shared" si="304"/>
        <v>0</v>
      </c>
      <c r="AA352" s="29">
        <f t="shared" si="304"/>
        <v>0</v>
      </c>
      <c r="AB352" s="29">
        <f t="shared" si="272"/>
        <v>0</v>
      </c>
    </row>
    <row r="353" spans="1:189" s="28" customFormat="1" ht="31.5" x14ac:dyDescent="0.25">
      <c r="A353" s="33" t="s">
        <v>317</v>
      </c>
      <c r="B353" s="34">
        <f t="shared" si="273"/>
        <v>3000</v>
      </c>
      <c r="C353" s="34">
        <f t="shared" si="273"/>
        <v>3000</v>
      </c>
      <c r="D353" s="34">
        <f t="shared" si="273"/>
        <v>0</v>
      </c>
      <c r="E353" s="34"/>
      <c r="F353" s="34"/>
      <c r="G353" s="34">
        <f t="shared" si="303"/>
        <v>0</v>
      </c>
      <c r="H353" s="34"/>
      <c r="I353" s="34"/>
      <c r="J353" s="34">
        <f t="shared" si="260"/>
        <v>0</v>
      </c>
      <c r="K353" s="34">
        <v>3000</v>
      </c>
      <c r="L353" s="34">
        <v>3000</v>
      </c>
      <c r="M353" s="34">
        <f t="shared" si="262"/>
        <v>0</v>
      </c>
      <c r="N353" s="34"/>
      <c r="O353" s="34"/>
      <c r="P353" s="34">
        <f t="shared" si="264"/>
        <v>0</v>
      </c>
      <c r="Q353" s="34"/>
      <c r="R353" s="34"/>
      <c r="S353" s="34">
        <f t="shared" si="266"/>
        <v>0</v>
      </c>
      <c r="T353" s="34"/>
      <c r="U353" s="34"/>
      <c r="V353" s="34">
        <f t="shared" si="268"/>
        <v>0</v>
      </c>
      <c r="W353" s="34"/>
      <c r="X353" s="34"/>
      <c r="Y353" s="34">
        <f t="shared" si="270"/>
        <v>0</v>
      </c>
      <c r="Z353" s="34"/>
      <c r="AA353" s="34"/>
      <c r="AB353" s="34">
        <f t="shared" si="272"/>
        <v>0</v>
      </c>
      <c r="FN353" s="25"/>
      <c r="FO353" s="25"/>
      <c r="FP353" s="25"/>
      <c r="FQ353" s="25"/>
      <c r="FR353" s="25"/>
      <c r="FS353" s="25"/>
      <c r="FT353" s="25"/>
      <c r="FU353" s="25"/>
      <c r="FV353" s="25"/>
      <c r="FW353" s="25"/>
      <c r="FX353" s="25"/>
      <c r="FY353" s="25"/>
      <c r="FZ353" s="25"/>
      <c r="GA353" s="25"/>
      <c r="GB353" s="25"/>
      <c r="GC353" s="25"/>
      <c r="GD353" s="25"/>
      <c r="GE353" s="25"/>
      <c r="GF353" s="25"/>
      <c r="GG353" s="25"/>
    </row>
    <row r="354" spans="1:189" s="28" customFormat="1" ht="31.5" x14ac:dyDescent="0.25">
      <c r="A354" s="26" t="s">
        <v>141</v>
      </c>
      <c r="B354" s="27">
        <f t="shared" si="273"/>
        <v>1447527</v>
      </c>
      <c r="C354" s="27">
        <f t="shared" si="273"/>
        <v>1410325</v>
      </c>
      <c r="D354" s="27">
        <f t="shared" si="273"/>
        <v>-37202</v>
      </c>
      <c r="E354" s="27">
        <f>SUM(E363,E391,E381,E384,E355)</f>
        <v>177000</v>
      </c>
      <c r="F354" s="27">
        <f>SUM(F363,F391,F381,F384,F355)</f>
        <v>177000</v>
      </c>
      <c r="G354" s="27">
        <f t="shared" si="303"/>
        <v>0</v>
      </c>
      <c r="H354" s="27">
        <f t="shared" ref="H354:I354" si="305">SUM(H363,H391,H381,H384,H355)</f>
        <v>0</v>
      </c>
      <c r="I354" s="27">
        <f t="shared" si="305"/>
        <v>0</v>
      </c>
      <c r="J354" s="27">
        <f t="shared" si="260"/>
        <v>0</v>
      </c>
      <c r="K354" s="27">
        <f t="shared" ref="K354:L354" si="306">SUM(K363,K391,K381,K384,K355)</f>
        <v>410100</v>
      </c>
      <c r="L354" s="27">
        <f t="shared" si="306"/>
        <v>372898</v>
      </c>
      <c r="M354" s="27">
        <f t="shared" si="262"/>
        <v>-37202</v>
      </c>
      <c r="N354" s="27">
        <f t="shared" ref="N354:O354" si="307">SUM(N363,N391,N381,N384,N355)</f>
        <v>657027</v>
      </c>
      <c r="O354" s="27">
        <f t="shared" si="307"/>
        <v>657027</v>
      </c>
      <c r="P354" s="27">
        <f t="shared" si="264"/>
        <v>0</v>
      </c>
      <c r="Q354" s="27">
        <f t="shared" ref="Q354:R354" si="308">SUM(Q363,Q391,Q381,Q384,Q355)</f>
        <v>24600</v>
      </c>
      <c r="R354" s="27">
        <f t="shared" si="308"/>
        <v>24600</v>
      </c>
      <c r="S354" s="27">
        <f t="shared" si="266"/>
        <v>0</v>
      </c>
      <c r="T354" s="27">
        <f t="shared" ref="T354:U354" si="309">SUM(T363,T391,T381,T384,T355)</f>
        <v>0</v>
      </c>
      <c r="U354" s="27">
        <f t="shared" si="309"/>
        <v>0</v>
      </c>
      <c r="V354" s="27">
        <f t="shared" si="268"/>
        <v>0</v>
      </c>
      <c r="W354" s="27">
        <f t="shared" ref="W354:X354" si="310">SUM(W363,W391,W381,W384,W355)</f>
        <v>0</v>
      </c>
      <c r="X354" s="27">
        <f t="shared" si="310"/>
        <v>0</v>
      </c>
      <c r="Y354" s="27">
        <f t="shared" si="270"/>
        <v>0</v>
      </c>
      <c r="Z354" s="27">
        <f t="shared" ref="Z354:AA354" si="311">SUM(Z363,Z391,Z381,Z384,Z355)</f>
        <v>178800</v>
      </c>
      <c r="AA354" s="27">
        <f t="shared" si="311"/>
        <v>178800</v>
      </c>
      <c r="AB354" s="27">
        <f t="shared" si="272"/>
        <v>0</v>
      </c>
      <c r="AC354" s="25"/>
      <c r="AD354" s="25"/>
      <c r="AE354" s="25"/>
      <c r="AF354" s="25"/>
      <c r="AG354" s="25"/>
      <c r="AH354" s="25"/>
      <c r="AI354" s="25"/>
      <c r="AJ354" s="25"/>
      <c r="AK354" s="25"/>
      <c r="AL354" s="25"/>
      <c r="AM354" s="25"/>
      <c r="AN354" s="25"/>
      <c r="AO354" s="25"/>
      <c r="AP354" s="25"/>
      <c r="AQ354" s="25"/>
      <c r="AR354" s="25"/>
      <c r="AS354" s="25"/>
      <c r="AT354" s="25"/>
      <c r="AU354" s="25"/>
      <c r="AV354" s="25"/>
      <c r="AW354" s="25"/>
      <c r="AX354" s="25"/>
      <c r="AY354" s="25"/>
      <c r="AZ354" s="25"/>
      <c r="BA354" s="25"/>
      <c r="BB354" s="25"/>
      <c r="BC354" s="25"/>
      <c r="BD354" s="25"/>
      <c r="BE354" s="25"/>
      <c r="BF354" s="25"/>
      <c r="BG354" s="25"/>
      <c r="BH354" s="25"/>
      <c r="BI354" s="25"/>
      <c r="BJ354" s="25"/>
      <c r="BK354" s="25"/>
      <c r="BL354" s="25"/>
      <c r="BM354" s="25"/>
      <c r="BN354" s="25"/>
      <c r="BO354" s="25"/>
      <c r="BP354" s="25"/>
      <c r="BQ354" s="25"/>
      <c r="BR354" s="25"/>
      <c r="BS354" s="25"/>
      <c r="BT354" s="25"/>
      <c r="BU354" s="25"/>
      <c r="BV354" s="25"/>
      <c r="BW354" s="25"/>
      <c r="BX354" s="25"/>
      <c r="BY354" s="25"/>
      <c r="BZ354" s="25"/>
      <c r="CA354" s="25"/>
      <c r="CB354" s="25"/>
      <c r="CC354" s="25"/>
      <c r="CD354" s="25"/>
      <c r="CE354" s="25"/>
      <c r="CF354" s="25"/>
      <c r="CG354" s="25"/>
      <c r="CH354" s="25"/>
      <c r="CI354" s="25"/>
      <c r="CJ354" s="25"/>
      <c r="CK354" s="25"/>
      <c r="CL354" s="25"/>
      <c r="CM354" s="25"/>
      <c r="CN354" s="25"/>
      <c r="CO354" s="25"/>
      <c r="CP354" s="25"/>
      <c r="CQ354" s="25"/>
      <c r="CR354" s="25"/>
      <c r="CS354" s="25"/>
      <c r="CT354" s="25"/>
      <c r="CU354" s="25"/>
      <c r="CV354" s="25"/>
      <c r="CW354" s="25"/>
      <c r="CX354" s="25"/>
      <c r="CY354" s="25"/>
      <c r="CZ354" s="25"/>
      <c r="DA354" s="25"/>
      <c r="DB354" s="25"/>
      <c r="DC354" s="25"/>
      <c r="DD354" s="25"/>
      <c r="DE354" s="25"/>
      <c r="DF354" s="25"/>
      <c r="DG354" s="25"/>
      <c r="DH354" s="25"/>
      <c r="DI354" s="25"/>
      <c r="DJ354" s="25"/>
      <c r="DK354" s="25"/>
      <c r="DL354" s="25"/>
      <c r="DM354" s="25"/>
      <c r="DN354" s="25"/>
      <c r="DO354" s="25"/>
      <c r="DP354" s="25"/>
      <c r="DQ354" s="25"/>
      <c r="DR354" s="25"/>
      <c r="DS354" s="25"/>
      <c r="DT354" s="25"/>
      <c r="DU354" s="25"/>
      <c r="DV354" s="25"/>
      <c r="DW354" s="25"/>
      <c r="DX354" s="25"/>
      <c r="DY354" s="25"/>
      <c r="DZ354" s="25"/>
      <c r="EA354" s="25"/>
      <c r="EB354" s="25"/>
      <c r="EC354" s="25"/>
      <c r="ED354" s="25"/>
      <c r="EE354" s="25"/>
      <c r="EF354" s="25"/>
      <c r="EG354" s="25"/>
      <c r="EH354" s="25"/>
      <c r="EI354" s="25"/>
      <c r="EJ354" s="25"/>
      <c r="EK354" s="25"/>
      <c r="EL354" s="25"/>
      <c r="EM354" s="25"/>
      <c r="EN354" s="25"/>
      <c r="EO354" s="25"/>
      <c r="EP354" s="25"/>
      <c r="EQ354" s="25"/>
      <c r="ER354" s="25"/>
      <c r="ES354" s="25"/>
      <c r="ET354" s="25"/>
      <c r="EU354" s="25"/>
      <c r="EV354" s="25"/>
      <c r="EW354" s="25"/>
      <c r="EX354" s="25"/>
      <c r="EY354" s="25"/>
      <c r="EZ354" s="25"/>
      <c r="FA354" s="25"/>
      <c r="FB354" s="25"/>
      <c r="FC354" s="25"/>
      <c r="FD354" s="25"/>
      <c r="FE354" s="25"/>
      <c r="FF354" s="25"/>
      <c r="FG354" s="25"/>
      <c r="FH354" s="25"/>
      <c r="FI354" s="25"/>
      <c r="FJ354" s="25"/>
      <c r="FK354" s="25"/>
      <c r="FL354" s="25"/>
      <c r="FM354" s="25"/>
      <c r="FN354" s="25"/>
      <c r="FO354" s="25"/>
      <c r="FP354" s="25"/>
      <c r="FQ354" s="25"/>
      <c r="FR354" s="25"/>
      <c r="FS354" s="25"/>
      <c r="FT354" s="25"/>
      <c r="FU354" s="25"/>
      <c r="FV354" s="25"/>
      <c r="FW354" s="25"/>
      <c r="FX354" s="25"/>
      <c r="FY354" s="25"/>
      <c r="FZ354" s="25"/>
      <c r="GA354" s="25"/>
      <c r="GB354" s="25"/>
      <c r="GC354" s="25"/>
      <c r="GD354" s="25"/>
      <c r="GE354" s="25"/>
      <c r="GF354" s="25"/>
      <c r="GG354" s="25"/>
    </row>
    <row r="355" spans="1:189" s="28" customFormat="1" x14ac:dyDescent="0.25">
      <c r="A355" s="26" t="s">
        <v>169</v>
      </c>
      <c r="B355" s="27">
        <f t="shared" si="273"/>
        <v>22431</v>
      </c>
      <c r="C355" s="27">
        <f t="shared" si="273"/>
        <v>22431</v>
      </c>
      <c r="D355" s="27">
        <f t="shared" si="273"/>
        <v>0</v>
      </c>
      <c r="E355" s="27">
        <f>SUM(E356:E362)</f>
        <v>0</v>
      </c>
      <c r="F355" s="27">
        <f>SUM(F356:F362)</f>
        <v>0</v>
      </c>
      <c r="G355" s="27">
        <f t="shared" si="303"/>
        <v>0</v>
      </c>
      <c r="H355" s="27">
        <f t="shared" ref="H355:I355" si="312">SUM(H356:H362)</f>
        <v>0</v>
      </c>
      <c r="I355" s="27">
        <f t="shared" si="312"/>
        <v>0</v>
      </c>
      <c r="J355" s="27">
        <f t="shared" si="260"/>
        <v>0</v>
      </c>
      <c r="K355" s="27">
        <f t="shared" ref="K355:L355" si="313">SUM(K356:K362)</f>
        <v>21005</v>
      </c>
      <c r="L355" s="27">
        <f t="shared" si="313"/>
        <v>21005</v>
      </c>
      <c r="M355" s="27">
        <f t="shared" si="262"/>
        <v>0</v>
      </c>
      <c r="N355" s="27">
        <f t="shared" ref="N355:O355" si="314">SUM(N356:N362)</f>
        <v>1426</v>
      </c>
      <c r="O355" s="27">
        <f t="shared" si="314"/>
        <v>1426</v>
      </c>
      <c r="P355" s="27">
        <f t="shared" si="264"/>
        <v>0</v>
      </c>
      <c r="Q355" s="27">
        <f t="shared" ref="Q355:R355" si="315">SUM(Q356:Q362)</f>
        <v>0</v>
      </c>
      <c r="R355" s="27">
        <f t="shared" si="315"/>
        <v>0</v>
      </c>
      <c r="S355" s="27">
        <f t="shared" si="266"/>
        <v>0</v>
      </c>
      <c r="T355" s="27">
        <f t="shared" ref="T355:U355" si="316">SUM(T356:T362)</f>
        <v>0</v>
      </c>
      <c r="U355" s="27">
        <f t="shared" si="316"/>
        <v>0</v>
      </c>
      <c r="V355" s="27">
        <f t="shared" si="268"/>
        <v>0</v>
      </c>
      <c r="W355" s="27">
        <f t="shared" ref="W355:X355" si="317">SUM(W356:W362)</f>
        <v>0</v>
      </c>
      <c r="X355" s="27">
        <f t="shared" si="317"/>
        <v>0</v>
      </c>
      <c r="Y355" s="27">
        <f t="shared" si="270"/>
        <v>0</v>
      </c>
      <c r="Z355" s="27">
        <f t="shared" ref="Z355:AA355" si="318">SUM(Z356:Z362)</f>
        <v>0</v>
      </c>
      <c r="AA355" s="27">
        <f t="shared" si="318"/>
        <v>0</v>
      </c>
      <c r="AB355" s="27">
        <f t="shared" si="272"/>
        <v>0</v>
      </c>
      <c r="AC355" s="25"/>
      <c r="AD355" s="25"/>
      <c r="AE355" s="25"/>
      <c r="AF355" s="25"/>
      <c r="AG355" s="25"/>
      <c r="AH355" s="25"/>
      <c r="AI355" s="25"/>
      <c r="AJ355" s="25"/>
      <c r="AK355" s="25"/>
      <c r="AL355" s="25"/>
      <c r="AM355" s="25"/>
      <c r="AN355" s="25"/>
      <c r="AO355" s="25"/>
      <c r="AP355" s="25"/>
      <c r="AQ355" s="25"/>
      <c r="AR355" s="25"/>
      <c r="AS355" s="25"/>
      <c r="AT355" s="25"/>
      <c r="AU355" s="25"/>
      <c r="AV355" s="25"/>
      <c r="AW355" s="25"/>
      <c r="AX355" s="25"/>
      <c r="AY355" s="25"/>
      <c r="AZ355" s="25"/>
      <c r="BA355" s="25"/>
      <c r="BB355" s="25"/>
      <c r="BC355" s="25"/>
      <c r="BD355" s="25"/>
      <c r="BE355" s="25"/>
      <c r="BF355" s="25"/>
      <c r="BG355" s="25"/>
      <c r="BH355" s="25"/>
      <c r="BI355" s="25"/>
      <c r="BJ355" s="25"/>
      <c r="BK355" s="25"/>
      <c r="BL355" s="25"/>
      <c r="BM355" s="25"/>
      <c r="BN355" s="25"/>
      <c r="BO355" s="25"/>
      <c r="BP355" s="25"/>
      <c r="BQ355" s="25"/>
      <c r="BR355" s="25"/>
      <c r="BS355" s="25"/>
      <c r="BT355" s="25"/>
      <c r="BU355" s="25"/>
      <c r="BV355" s="25"/>
      <c r="BW355" s="25"/>
      <c r="BX355" s="25"/>
      <c r="BY355" s="25"/>
      <c r="BZ355" s="25"/>
      <c r="CA355" s="25"/>
      <c r="CB355" s="25"/>
      <c r="CC355" s="25"/>
      <c r="CD355" s="25"/>
      <c r="CE355" s="25"/>
      <c r="CF355" s="25"/>
      <c r="CG355" s="25"/>
      <c r="CH355" s="25"/>
      <c r="CI355" s="25"/>
      <c r="CJ355" s="25"/>
      <c r="CK355" s="25"/>
      <c r="CL355" s="25"/>
      <c r="CM355" s="25"/>
      <c r="CN355" s="25"/>
      <c r="CO355" s="25"/>
      <c r="CP355" s="25"/>
      <c r="CQ355" s="25"/>
      <c r="CR355" s="25"/>
      <c r="CS355" s="25"/>
      <c r="CT355" s="25"/>
      <c r="CU355" s="25"/>
      <c r="CV355" s="25"/>
      <c r="CW355" s="25"/>
      <c r="CX355" s="25"/>
      <c r="CY355" s="25"/>
      <c r="CZ355" s="25"/>
      <c r="DA355" s="25"/>
      <c r="DB355" s="25"/>
      <c r="DC355" s="25"/>
      <c r="DD355" s="25"/>
      <c r="DE355" s="25"/>
      <c r="DF355" s="25"/>
      <c r="DG355" s="25"/>
      <c r="DH355" s="25"/>
      <c r="DI355" s="25"/>
      <c r="DJ355" s="25"/>
      <c r="DK355" s="25"/>
      <c r="DL355" s="25"/>
      <c r="DM355" s="25"/>
      <c r="DN355" s="25"/>
      <c r="DO355" s="25"/>
      <c r="DP355" s="25"/>
      <c r="DQ355" s="25"/>
      <c r="DR355" s="25"/>
      <c r="DS355" s="25"/>
      <c r="DT355" s="25"/>
      <c r="DU355" s="25"/>
      <c r="DV355" s="25"/>
      <c r="DW355" s="25"/>
      <c r="DX355" s="25"/>
      <c r="DY355" s="25"/>
      <c r="DZ355" s="25"/>
      <c r="EA355" s="25"/>
      <c r="EB355" s="25"/>
      <c r="EC355" s="25"/>
      <c r="ED355" s="25"/>
      <c r="EE355" s="25"/>
      <c r="EF355" s="25"/>
      <c r="EG355" s="25"/>
      <c r="EH355" s="25"/>
      <c r="EI355" s="25"/>
      <c r="EJ355" s="25"/>
      <c r="EK355" s="25"/>
      <c r="EL355" s="25"/>
      <c r="EM355" s="25"/>
      <c r="EN355" s="25"/>
      <c r="EO355" s="25"/>
      <c r="EP355" s="25"/>
      <c r="EQ355" s="25"/>
      <c r="ER355" s="25"/>
      <c r="ES355" s="25"/>
      <c r="ET355" s="25"/>
      <c r="EU355" s="25"/>
      <c r="EV355" s="25"/>
      <c r="EW355" s="25"/>
      <c r="EX355" s="25"/>
      <c r="EY355" s="25"/>
      <c r="EZ355" s="25"/>
      <c r="FA355" s="25"/>
      <c r="FB355" s="25"/>
      <c r="FC355" s="25"/>
      <c r="FD355" s="25"/>
      <c r="FE355" s="25"/>
      <c r="FF355" s="25"/>
      <c r="FG355" s="25"/>
      <c r="FH355" s="25"/>
      <c r="FI355" s="25"/>
      <c r="FJ355" s="25"/>
      <c r="FK355" s="25"/>
      <c r="FL355" s="25"/>
      <c r="FM355" s="25"/>
      <c r="FN355" s="25"/>
      <c r="FO355" s="25"/>
      <c r="FP355" s="25"/>
      <c r="FQ355" s="25"/>
      <c r="FR355" s="25"/>
      <c r="FS355" s="25"/>
      <c r="FT355" s="25"/>
      <c r="FU355" s="25"/>
      <c r="FV355" s="25"/>
      <c r="FW355" s="25"/>
      <c r="FX355" s="25"/>
      <c r="FY355" s="25"/>
      <c r="FZ355" s="25"/>
      <c r="GA355" s="25"/>
      <c r="GB355" s="25"/>
      <c r="GC355" s="25"/>
      <c r="GD355" s="25"/>
      <c r="GE355" s="25"/>
      <c r="GF355" s="25"/>
      <c r="GG355" s="25"/>
    </row>
    <row r="356" spans="1:189" s="28" customFormat="1" ht="31.5" x14ac:dyDescent="0.25">
      <c r="A356" s="30" t="s">
        <v>318</v>
      </c>
      <c r="B356" s="34">
        <f t="shared" si="273"/>
        <v>2214</v>
      </c>
      <c r="C356" s="34">
        <f t="shared" si="273"/>
        <v>2214</v>
      </c>
      <c r="D356" s="34">
        <f t="shared" si="273"/>
        <v>0</v>
      </c>
      <c r="E356" s="34"/>
      <c r="F356" s="34"/>
      <c r="G356" s="34">
        <f t="shared" si="303"/>
        <v>0</v>
      </c>
      <c r="H356" s="34"/>
      <c r="I356" s="34"/>
      <c r="J356" s="34">
        <f t="shared" si="260"/>
        <v>0</v>
      </c>
      <c r="K356" s="34">
        <v>2214</v>
      </c>
      <c r="L356" s="34">
        <v>2214</v>
      </c>
      <c r="M356" s="34">
        <f t="shared" si="262"/>
        <v>0</v>
      </c>
      <c r="N356" s="34"/>
      <c r="O356" s="34"/>
      <c r="P356" s="34">
        <f t="shared" si="264"/>
        <v>0</v>
      </c>
      <c r="Q356" s="34"/>
      <c r="R356" s="34"/>
      <c r="S356" s="34">
        <f t="shared" si="266"/>
        <v>0</v>
      </c>
      <c r="T356" s="34"/>
      <c r="U356" s="34"/>
      <c r="V356" s="34">
        <f t="shared" si="268"/>
        <v>0</v>
      </c>
      <c r="W356" s="34"/>
      <c r="X356" s="34"/>
      <c r="Y356" s="34">
        <f t="shared" si="270"/>
        <v>0</v>
      </c>
      <c r="Z356" s="34"/>
      <c r="AA356" s="34"/>
      <c r="AB356" s="34">
        <f t="shared" si="272"/>
        <v>0</v>
      </c>
    </row>
    <row r="357" spans="1:189" s="28" customFormat="1" ht="31.5" x14ac:dyDescent="0.25">
      <c r="A357" s="30" t="s">
        <v>319</v>
      </c>
      <c r="B357" s="34">
        <f t="shared" si="273"/>
        <v>1000</v>
      </c>
      <c r="C357" s="34">
        <f t="shared" si="273"/>
        <v>1000</v>
      </c>
      <c r="D357" s="34">
        <f t="shared" si="273"/>
        <v>0</v>
      </c>
      <c r="E357" s="34"/>
      <c r="F357" s="34"/>
      <c r="G357" s="34">
        <f t="shared" si="303"/>
        <v>0</v>
      </c>
      <c r="H357" s="34"/>
      <c r="I357" s="34"/>
      <c r="J357" s="34">
        <f t="shared" si="260"/>
        <v>0</v>
      </c>
      <c r="K357" s="34">
        <v>1000</v>
      </c>
      <c r="L357" s="34">
        <v>1000</v>
      </c>
      <c r="M357" s="34">
        <f t="shared" si="262"/>
        <v>0</v>
      </c>
      <c r="N357" s="34"/>
      <c r="O357" s="34"/>
      <c r="P357" s="34">
        <f t="shared" si="264"/>
        <v>0</v>
      </c>
      <c r="Q357" s="34"/>
      <c r="R357" s="34"/>
      <c r="S357" s="34">
        <f t="shared" si="266"/>
        <v>0</v>
      </c>
      <c r="T357" s="34"/>
      <c r="U357" s="34"/>
      <c r="V357" s="34">
        <f t="shared" si="268"/>
        <v>0</v>
      </c>
      <c r="W357" s="34"/>
      <c r="X357" s="34"/>
      <c r="Y357" s="34">
        <f t="shared" si="270"/>
        <v>0</v>
      </c>
      <c r="Z357" s="34"/>
      <c r="AA357" s="34"/>
      <c r="AB357" s="34">
        <f t="shared" si="272"/>
        <v>0</v>
      </c>
    </row>
    <row r="358" spans="1:189" s="28" customFormat="1" x14ac:dyDescent="0.25">
      <c r="A358" s="30" t="s">
        <v>320</v>
      </c>
      <c r="B358" s="34">
        <f t="shared" si="273"/>
        <v>3726</v>
      </c>
      <c r="C358" s="34">
        <f t="shared" si="273"/>
        <v>3726</v>
      </c>
      <c r="D358" s="34">
        <f t="shared" si="273"/>
        <v>0</v>
      </c>
      <c r="E358" s="34"/>
      <c r="F358" s="34"/>
      <c r="G358" s="34">
        <f t="shared" si="303"/>
        <v>0</v>
      </c>
      <c r="H358" s="34"/>
      <c r="I358" s="34"/>
      <c r="J358" s="34">
        <f t="shared" si="260"/>
        <v>0</v>
      </c>
      <c r="K358" s="34">
        <v>3726</v>
      </c>
      <c r="L358" s="34">
        <v>3726</v>
      </c>
      <c r="M358" s="34">
        <f t="shared" si="262"/>
        <v>0</v>
      </c>
      <c r="N358" s="34"/>
      <c r="O358" s="34"/>
      <c r="P358" s="34">
        <f t="shared" si="264"/>
        <v>0</v>
      </c>
      <c r="Q358" s="34"/>
      <c r="R358" s="34"/>
      <c r="S358" s="34">
        <f t="shared" si="266"/>
        <v>0</v>
      </c>
      <c r="T358" s="34"/>
      <c r="U358" s="34"/>
      <c r="V358" s="34">
        <f t="shared" si="268"/>
        <v>0</v>
      </c>
      <c r="W358" s="34"/>
      <c r="X358" s="34"/>
      <c r="Y358" s="34">
        <f t="shared" si="270"/>
        <v>0</v>
      </c>
      <c r="Z358" s="34"/>
      <c r="AA358" s="34"/>
      <c r="AB358" s="34">
        <f t="shared" si="272"/>
        <v>0</v>
      </c>
    </row>
    <row r="359" spans="1:189" s="28" customFormat="1" x14ac:dyDescent="0.25">
      <c r="A359" s="30" t="s">
        <v>321</v>
      </c>
      <c r="B359" s="34">
        <f t="shared" si="273"/>
        <v>869</v>
      </c>
      <c r="C359" s="34">
        <f t="shared" si="273"/>
        <v>869</v>
      </c>
      <c r="D359" s="34">
        <f t="shared" si="273"/>
        <v>0</v>
      </c>
      <c r="E359" s="34"/>
      <c r="F359" s="34"/>
      <c r="G359" s="34">
        <f t="shared" si="303"/>
        <v>0</v>
      </c>
      <c r="H359" s="34"/>
      <c r="I359" s="34"/>
      <c r="J359" s="34">
        <f t="shared" si="260"/>
        <v>0</v>
      </c>
      <c r="K359" s="34">
        <v>869</v>
      </c>
      <c r="L359" s="34">
        <v>869</v>
      </c>
      <c r="M359" s="34">
        <f t="shared" si="262"/>
        <v>0</v>
      </c>
      <c r="N359" s="34"/>
      <c r="O359" s="34"/>
      <c r="P359" s="34">
        <f t="shared" si="264"/>
        <v>0</v>
      </c>
      <c r="Q359" s="34"/>
      <c r="R359" s="34"/>
      <c r="S359" s="34">
        <f t="shared" si="266"/>
        <v>0</v>
      </c>
      <c r="T359" s="34"/>
      <c r="U359" s="34"/>
      <c r="V359" s="34">
        <f t="shared" si="268"/>
        <v>0</v>
      </c>
      <c r="W359" s="34"/>
      <c r="X359" s="34"/>
      <c r="Y359" s="34">
        <f t="shared" si="270"/>
        <v>0</v>
      </c>
      <c r="Z359" s="34"/>
      <c r="AA359" s="34"/>
      <c r="AB359" s="34">
        <f t="shared" si="272"/>
        <v>0</v>
      </c>
    </row>
    <row r="360" spans="1:189" s="28" customFormat="1" ht="31.5" x14ac:dyDescent="0.25">
      <c r="A360" s="30" t="s">
        <v>322</v>
      </c>
      <c r="B360" s="34">
        <f t="shared" si="273"/>
        <v>4704</v>
      </c>
      <c r="C360" s="34">
        <f t="shared" si="273"/>
        <v>4704</v>
      </c>
      <c r="D360" s="34">
        <f t="shared" si="273"/>
        <v>0</v>
      </c>
      <c r="E360" s="34"/>
      <c r="F360" s="34"/>
      <c r="G360" s="34">
        <f t="shared" si="303"/>
        <v>0</v>
      </c>
      <c r="H360" s="34"/>
      <c r="I360" s="34"/>
      <c r="J360" s="34">
        <f t="shared" si="260"/>
        <v>0</v>
      </c>
      <c r="K360" s="34">
        <f>17364-13930+1270</f>
        <v>4704</v>
      </c>
      <c r="L360" s="34">
        <f>17364-13930+1270</f>
        <v>4704</v>
      </c>
      <c r="M360" s="34">
        <f t="shared" si="262"/>
        <v>0</v>
      </c>
      <c r="N360" s="34"/>
      <c r="O360" s="34"/>
      <c r="P360" s="34">
        <f t="shared" si="264"/>
        <v>0</v>
      </c>
      <c r="Q360" s="34"/>
      <c r="R360" s="34"/>
      <c r="S360" s="34">
        <f t="shared" si="266"/>
        <v>0</v>
      </c>
      <c r="T360" s="34"/>
      <c r="U360" s="34"/>
      <c r="V360" s="34">
        <f t="shared" si="268"/>
        <v>0</v>
      </c>
      <c r="W360" s="34"/>
      <c r="X360" s="34"/>
      <c r="Y360" s="34">
        <f t="shared" si="270"/>
        <v>0</v>
      </c>
      <c r="Z360" s="34"/>
      <c r="AA360" s="34"/>
      <c r="AB360" s="34">
        <f t="shared" si="272"/>
        <v>0</v>
      </c>
    </row>
    <row r="361" spans="1:189" s="28" customFormat="1" ht="31.5" x14ac:dyDescent="0.25">
      <c r="A361" s="42" t="s">
        <v>323</v>
      </c>
      <c r="B361" s="34">
        <f t="shared" si="273"/>
        <v>1426</v>
      </c>
      <c r="C361" s="34">
        <f t="shared" si="273"/>
        <v>1426</v>
      </c>
      <c r="D361" s="34">
        <f t="shared" si="273"/>
        <v>0</v>
      </c>
      <c r="E361" s="34"/>
      <c r="F361" s="34"/>
      <c r="G361" s="34">
        <f t="shared" si="303"/>
        <v>0</v>
      </c>
      <c r="H361" s="34"/>
      <c r="I361" s="34"/>
      <c r="J361" s="34">
        <f t="shared" si="260"/>
        <v>0</v>
      </c>
      <c r="K361" s="34"/>
      <c r="L361" s="34"/>
      <c r="M361" s="34">
        <f t="shared" si="262"/>
        <v>0</v>
      </c>
      <c r="N361" s="34">
        <v>1426</v>
      </c>
      <c r="O361" s="34">
        <v>1426</v>
      </c>
      <c r="P361" s="34">
        <f t="shared" si="264"/>
        <v>0</v>
      </c>
      <c r="Q361" s="34"/>
      <c r="R361" s="34"/>
      <c r="S361" s="34">
        <f t="shared" si="266"/>
        <v>0</v>
      </c>
      <c r="T361" s="34"/>
      <c r="U361" s="34"/>
      <c r="V361" s="34">
        <f t="shared" si="268"/>
        <v>0</v>
      </c>
      <c r="W361" s="34"/>
      <c r="X361" s="34"/>
      <c r="Y361" s="34">
        <f t="shared" si="270"/>
        <v>0</v>
      </c>
      <c r="Z361" s="34"/>
      <c r="AA361" s="34"/>
      <c r="AB361" s="34">
        <f t="shared" si="272"/>
        <v>0</v>
      </c>
    </row>
    <row r="362" spans="1:189" s="28" customFormat="1" ht="31.5" x14ac:dyDescent="0.25">
      <c r="A362" s="30" t="s">
        <v>324</v>
      </c>
      <c r="B362" s="34">
        <f t="shared" si="273"/>
        <v>8492</v>
      </c>
      <c r="C362" s="34">
        <f t="shared" si="273"/>
        <v>8492</v>
      </c>
      <c r="D362" s="34">
        <f t="shared" si="273"/>
        <v>0</v>
      </c>
      <c r="E362" s="34"/>
      <c r="F362" s="34"/>
      <c r="G362" s="34">
        <f t="shared" si="303"/>
        <v>0</v>
      </c>
      <c r="H362" s="34"/>
      <c r="I362" s="34"/>
      <c r="J362" s="34">
        <f t="shared" si="260"/>
        <v>0</v>
      </c>
      <c r="K362" s="34">
        <f>12500-2450-1558</f>
        <v>8492</v>
      </c>
      <c r="L362" s="34">
        <f>12500-2450-1558</f>
        <v>8492</v>
      </c>
      <c r="M362" s="34">
        <f t="shared" si="262"/>
        <v>0</v>
      </c>
      <c r="N362" s="34"/>
      <c r="O362" s="34"/>
      <c r="P362" s="34">
        <f t="shared" si="264"/>
        <v>0</v>
      </c>
      <c r="Q362" s="34"/>
      <c r="R362" s="34"/>
      <c r="S362" s="34">
        <f t="shared" si="266"/>
        <v>0</v>
      </c>
      <c r="T362" s="34"/>
      <c r="U362" s="34"/>
      <c r="V362" s="34">
        <f t="shared" si="268"/>
        <v>0</v>
      </c>
      <c r="W362" s="34"/>
      <c r="X362" s="34"/>
      <c r="Y362" s="34">
        <f t="shared" si="270"/>
        <v>0</v>
      </c>
      <c r="Z362" s="34"/>
      <c r="AA362" s="34"/>
      <c r="AB362" s="34">
        <f t="shared" si="272"/>
        <v>0</v>
      </c>
    </row>
    <row r="363" spans="1:189" s="28" customFormat="1" ht="31.5" x14ac:dyDescent="0.25">
      <c r="A363" s="26" t="s">
        <v>178</v>
      </c>
      <c r="B363" s="27">
        <f t="shared" si="273"/>
        <v>621035</v>
      </c>
      <c r="C363" s="27">
        <f>F363+I363+L363+O363+R363+U363+AA363+X363</f>
        <v>581159</v>
      </c>
      <c r="D363" s="27">
        <f t="shared" si="273"/>
        <v>-39876</v>
      </c>
      <c r="E363" s="27">
        <f>SUM(E364:E380)</f>
        <v>0</v>
      </c>
      <c r="F363" s="27">
        <f>SUM(F364:F380)</f>
        <v>0</v>
      </c>
      <c r="G363" s="27">
        <f t="shared" si="303"/>
        <v>0</v>
      </c>
      <c r="H363" s="27">
        <f t="shared" ref="H363:I363" si="319">SUM(H364:H380)</f>
        <v>0</v>
      </c>
      <c r="I363" s="27">
        <f t="shared" si="319"/>
        <v>0</v>
      </c>
      <c r="J363" s="27">
        <f t="shared" si="260"/>
        <v>0</v>
      </c>
      <c r="K363" s="27">
        <f t="shared" ref="K363:L363" si="320">SUM(K364:K380)</f>
        <v>262528</v>
      </c>
      <c r="L363" s="27">
        <f t="shared" si="320"/>
        <v>222652</v>
      </c>
      <c r="M363" s="27">
        <f t="shared" si="262"/>
        <v>-39876</v>
      </c>
      <c r="N363" s="27">
        <f>SUM(N364:N380)</f>
        <v>358507</v>
      </c>
      <c r="O363" s="27">
        <f>SUM(O364:O380)</f>
        <v>358507</v>
      </c>
      <c r="P363" s="27">
        <f t="shared" si="264"/>
        <v>0</v>
      </c>
      <c r="Q363" s="27">
        <f t="shared" ref="Q363:R363" si="321">SUM(Q364:Q380)</f>
        <v>0</v>
      </c>
      <c r="R363" s="27">
        <f t="shared" si="321"/>
        <v>0</v>
      </c>
      <c r="S363" s="27">
        <f t="shared" si="266"/>
        <v>0</v>
      </c>
      <c r="T363" s="27">
        <f t="shared" ref="T363:U363" si="322">SUM(T364:T380)</f>
        <v>0</v>
      </c>
      <c r="U363" s="27">
        <f t="shared" si="322"/>
        <v>0</v>
      </c>
      <c r="V363" s="27">
        <f t="shared" si="268"/>
        <v>0</v>
      </c>
      <c r="W363" s="27">
        <f t="shared" ref="W363:X363" si="323">SUM(W364:W380)</f>
        <v>0</v>
      </c>
      <c r="X363" s="27">
        <f t="shared" si="323"/>
        <v>0</v>
      </c>
      <c r="Y363" s="27">
        <f t="shared" si="270"/>
        <v>0</v>
      </c>
      <c r="Z363" s="27">
        <f t="shared" ref="Z363:AA363" si="324">SUM(Z364:Z380)</f>
        <v>0</v>
      </c>
      <c r="AA363" s="27">
        <f t="shared" si="324"/>
        <v>0</v>
      </c>
      <c r="AB363" s="27">
        <f t="shared" si="272"/>
        <v>0</v>
      </c>
      <c r="AC363" s="25"/>
      <c r="AD363" s="25"/>
      <c r="AE363" s="25"/>
      <c r="AF363" s="25"/>
      <c r="AG363" s="25"/>
      <c r="AH363" s="25"/>
      <c r="AI363" s="25"/>
      <c r="AJ363" s="25"/>
      <c r="AK363" s="25"/>
      <c r="AL363" s="25"/>
      <c r="AM363" s="25"/>
      <c r="AN363" s="25"/>
      <c r="AO363" s="25"/>
      <c r="AP363" s="25"/>
      <c r="AQ363" s="25"/>
      <c r="AR363" s="25"/>
      <c r="AS363" s="25"/>
      <c r="AT363" s="25"/>
      <c r="AU363" s="25"/>
      <c r="AV363" s="25"/>
      <c r="AW363" s="25"/>
      <c r="AX363" s="25"/>
      <c r="AY363" s="25"/>
      <c r="AZ363" s="25"/>
      <c r="BA363" s="25"/>
      <c r="BB363" s="25"/>
      <c r="BC363" s="25"/>
      <c r="BD363" s="25"/>
      <c r="BE363" s="25"/>
      <c r="BF363" s="25"/>
      <c r="BG363" s="25"/>
      <c r="BH363" s="25"/>
      <c r="BI363" s="25"/>
      <c r="BJ363" s="25"/>
      <c r="BK363" s="25"/>
      <c r="BL363" s="25"/>
      <c r="BM363" s="25"/>
      <c r="BN363" s="25"/>
      <c r="BO363" s="25"/>
      <c r="BP363" s="25"/>
      <c r="BQ363" s="25"/>
      <c r="BR363" s="25"/>
      <c r="BS363" s="25"/>
      <c r="BT363" s="25"/>
      <c r="BU363" s="25"/>
      <c r="BV363" s="25"/>
      <c r="BW363" s="25"/>
      <c r="BX363" s="25"/>
      <c r="BY363" s="25"/>
      <c r="BZ363" s="25"/>
      <c r="CA363" s="25"/>
      <c r="CB363" s="25"/>
      <c r="CC363" s="25"/>
      <c r="CD363" s="25"/>
      <c r="CE363" s="25"/>
      <c r="CF363" s="25"/>
      <c r="CG363" s="25"/>
      <c r="CH363" s="25"/>
      <c r="CI363" s="25"/>
      <c r="CJ363" s="25"/>
      <c r="CK363" s="25"/>
      <c r="CL363" s="25"/>
      <c r="CM363" s="25"/>
      <c r="CN363" s="25"/>
      <c r="CO363" s="25"/>
      <c r="CP363" s="25"/>
      <c r="CQ363" s="25"/>
      <c r="CR363" s="25"/>
      <c r="CS363" s="25"/>
      <c r="CT363" s="25"/>
      <c r="CU363" s="25"/>
      <c r="CV363" s="25"/>
      <c r="CW363" s="25"/>
      <c r="CX363" s="25"/>
      <c r="CY363" s="25"/>
      <c r="CZ363" s="25"/>
      <c r="DA363" s="25"/>
      <c r="DB363" s="25"/>
      <c r="DC363" s="25"/>
      <c r="DD363" s="25"/>
      <c r="DE363" s="25"/>
      <c r="DF363" s="25"/>
      <c r="DG363" s="25"/>
      <c r="DH363" s="25"/>
      <c r="DI363" s="25"/>
      <c r="DJ363" s="25"/>
      <c r="DK363" s="25"/>
      <c r="DL363" s="25"/>
      <c r="DM363" s="25"/>
      <c r="DN363" s="25"/>
      <c r="DO363" s="25"/>
      <c r="DP363" s="25"/>
      <c r="DQ363" s="25"/>
      <c r="DR363" s="25"/>
      <c r="DS363" s="25"/>
      <c r="DT363" s="25"/>
      <c r="DU363" s="25"/>
      <c r="DV363" s="25"/>
      <c r="DW363" s="25"/>
      <c r="DX363" s="25"/>
      <c r="DY363" s="25"/>
      <c r="DZ363" s="25"/>
      <c r="EA363" s="25"/>
      <c r="EB363" s="25"/>
      <c r="EC363" s="25"/>
      <c r="ED363" s="25"/>
      <c r="EE363" s="25"/>
      <c r="EF363" s="25"/>
      <c r="EG363" s="25"/>
      <c r="EH363" s="25"/>
      <c r="EI363" s="25"/>
      <c r="EJ363" s="25"/>
      <c r="EK363" s="25"/>
      <c r="EL363" s="25"/>
      <c r="EM363" s="25"/>
      <c r="EN363" s="25"/>
      <c r="EO363" s="25"/>
      <c r="EP363" s="25"/>
      <c r="EQ363" s="25"/>
      <c r="ER363" s="25"/>
      <c r="ES363" s="25"/>
      <c r="ET363" s="25"/>
      <c r="EU363" s="25"/>
      <c r="EV363" s="25"/>
      <c r="EW363" s="25"/>
      <c r="EX363" s="25"/>
      <c r="EY363" s="25"/>
      <c r="EZ363" s="25"/>
      <c r="FA363" s="25"/>
      <c r="FB363" s="25"/>
      <c r="FC363" s="25"/>
      <c r="FD363" s="25"/>
      <c r="FE363" s="25"/>
      <c r="FF363" s="25"/>
      <c r="FG363" s="25"/>
      <c r="FH363" s="25"/>
      <c r="FI363" s="25"/>
      <c r="FJ363" s="25"/>
      <c r="FK363" s="25"/>
      <c r="FL363" s="25"/>
      <c r="FM363" s="25"/>
      <c r="FN363" s="25"/>
      <c r="FO363" s="25"/>
      <c r="FP363" s="25"/>
      <c r="FQ363" s="25"/>
      <c r="FR363" s="25"/>
      <c r="FS363" s="25"/>
      <c r="FT363" s="25"/>
      <c r="FU363" s="25"/>
      <c r="FV363" s="25"/>
      <c r="FW363" s="25"/>
      <c r="FX363" s="25"/>
      <c r="FY363" s="25"/>
      <c r="FZ363" s="25"/>
      <c r="GA363" s="25"/>
      <c r="GB363" s="25"/>
      <c r="GC363" s="25"/>
      <c r="GD363" s="25"/>
      <c r="GE363" s="25"/>
      <c r="GF363" s="25"/>
      <c r="GG363" s="25"/>
    </row>
    <row r="364" spans="1:189" s="28" customFormat="1" ht="31.5" x14ac:dyDescent="0.25">
      <c r="A364" s="33" t="s">
        <v>325</v>
      </c>
      <c r="B364" s="34">
        <f t="shared" si="273"/>
        <v>80535</v>
      </c>
      <c r="C364" s="34">
        <f t="shared" si="273"/>
        <v>80535</v>
      </c>
      <c r="D364" s="34">
        <f t="shared" si="273"/>
        <v>0</v>
      </c>
      <c r="E364" s="34"/>
      <c r="F364" s="34"/>
      <c r="G364" s="34">
        <f t="shared" si="303"/>
        <v>0</v>
      </c>
      <c r="H364" s="34"/>
      <c r="I364" s="34"/>
      <c r="J364" s="34">
        <f t="shared" si="260"/>
        <v>0</v>
      </c>
      <c r="K364" s="34">
        <f>85111-4576</f>
        <v>80535</v>
      </c>
      <c r="L364" s="34">
        <f>85111-4576</f>
        <v>80535</v>
      </c>
      <c r="M364" s="34">
        <f t="shared" si="262"/>
        <v>0</v>
      </c>
      <c r="N364" s="34"/>
      <c r="O364" s="34"/>
      <c r="P364" s="34">
        <f t="shared" si="264"/>
        <v>0</v>
      </c>
      <c r="Q364" s="34"/>
      <c r="R364" s="34"/>
      <c r="S364" s="34">
        <f t="shared" si="266"/>
        <v>0</v>
      </c>
      <c r="T364" s="34"/>
      <c r="U364" s="34"/>
      <c r="V364" s="34">
        <f t="shared" si="268"/>
        <v>0</v>
      </c>
      <c r="W364" s="34"/>
      <c r="X364" s="34"/>
      <c r="Y364" s="34">
        <f t="shared" si="270"/>
        <v>0</v>
      </c>
      <c r="Z364" s="34"/>
      <c r="AA364" s="34"/>
      <c r="AB364" s="34">
        <f t="shared" si="272"/>
        <v>0</v>
      </c>
    </row>
    <row r="365" spans="1:189" s="28" customFormat="1" ht="31.5" x14ac:dyDescent="0.25">
      <c r="A365" s="33" t="s">
        <v>326</v>
      </c>
      <c r="B365" s="34">
        <f t="shared" si="273"/>
        <v>17948</v>
      </c>
      <c r="C365" s="34">
        <f t="shared" si="273"/>
        <v>17948</v>
      </c>
      <c r="D365" s="34">
        <f t="shared" si="273"/>
        <v>0</v>
      </c>
      <c r="E365" s="34"/>
      <c r="F365" s="34"/>
      <c r="G365" s="34">
        <f t="shared" si="303"/>
        <v>0</v>
      </c>
      <c r="H365" s="34"/>
      <c r="I365" s="34"/>
      <c r="J365" s="34">
        <f t="shared" si="260"/>
        <v>0</v>
      </c>
      <c r="K365" s="34">
        <v>17948</v>
      </c>
      <c r="L365" s="34">
        <v>17948</v>
      </c>
      <c r="M365" s="34">
        <f t="shared" si="262"/>
        <v>0</v>
      </c>
      <c r="N365" s="34"/>
      <c r="O365" s="34"/>
      <c r="P365" s="34">
        <f t="shared" si="264"/>
        <v>0</v>
      </c>
      <c r="Q365" s="34"/>
      <c r="R365" s="34"/>
      <c r="S365" s="34">
        <f t="shared" si="266"/>
        <v>0</v>
      </c>
      <c r="T365" s="34"/>
      <c r="U365" s="34"/>
      <c r="V365" s="34">
        <f t="shared" si="268"/>
        <v>0</v>
      </c>
      <c r="W365" s="34"/>
      <c r="X365" s="34"/>
      <c r="Y365" s="34">
        <f t="shared" si="270"/>
        <v>0</v>
      </c>
      <c r="Z365" s="34"/>
      <c r="AA365" s="34"/>
      <c r="AB365" s="34">
        <f t="shared" si="272"/>
        <v>0</v>
      </c>
    </row>
    <row r="366" spans="1:189" s="28" customFormat="1" ht="63" x14ac:dyDescent="0.25">
      <c r="A366" s="42" t="s">
        <v>327</v>
      </c>
      <c r="B366" s="34">
        <f t="shared" si="273"/>
        <v>1440</v>
      </c>
      <c r="C366" s="34">
        <f t="shared" si="273"/>
        <v>1440</v>
      </c>
      <c r="D366" s="34">
        <f t="shared" si="273"/>
        <v>0</v>
      </c>
      <c r="E366" s="34"/>
      <c r="F366" s="34"/>
      <c r="G366" s="34">
        <f t="shared" si="303"/>
        <v>0</v>
      </c>
      <c r="H366" s="34"/>
      <c r="I366" s="34"/>
      <c r="J366" s="34">
        <f t="shared" si="260"/>
        <v>0</v>
      </c>
      <c r="K366" s="34"/>
      <c r="L366" s="34"/>
      <c r="M366" s="34">
        <f t="shared" si="262"/>
        <v>0</v>
      </c>
      <c r="N366" s="34">
        <v>1440</v>
      </c>
      <c r="O366" s="34">
        <v>1440</v>
      </c>
      <c r="P366" s="34">
        <f t="shared" si="264"/>
        <v>0</v>
      </c>
      <c r="Q366" s="34"/>
      <c r="R366" s="34"/>
      <c r="S366" s="34">
        <f t="shared" si="266"/>
        <v>0</v>
      </c>
      <c r="T366" s="34"/>
      <c r="U366" s="34"/>
      <c r="V366" s="34">
        <f t="shared" si="268"/>
        <v>0</v>
      </c>
      <c r="W366" s="34"/>
      <c r="X366" s="34"/>
      <c r="Y366" s="34">
        <f t="shared" si="270"/>
        <v>0</v>
      </c>
      <c r="Z366" s="34"/>
      <c r="AA366" s="34"/>
      <c r="AB366" s="34">
        <f t="shared" si="272"/>
        <v>0</v>
      </c>
    </row>
    <row r="367" spans="1:189" s="28" customFormat="1" ht="47.25" x14ac:dyDescent="0.25">
      <c r="A367" s="42" t="s">
        <v>328</v>
      </c>
      <c r="B367" s="34">
        <f t="shared" si="273"/>
        <v>357067</v>
      </c>
      <c r="C367" s="34">
        <f t="shared" si="273"/>
        <v>357067</v>
      </c>
      <c r="D367" s="34">
        <f t="shared" si="273"/>
        <v>0</v>
      </c>
      <c r="E367" s="34"/>
      <c r="F367" s="34"/>
      <c r="G367" s="34">
        <f t="shared" si="303"/>
        <v>0</v>
      </c>
      <c r="H367" s="34"/>
      <c r="I367" s="34"/>
      <c r="J367" s="34">
        <f t="shared" si="260"/>
        <v>0</v>
      </c>
      <c r="K367" s="34"/>
      <c r="L367" s="34"/>
      <c r="M367" s="34">
        <f t="shared" si="262"/>
        <v>0</v>
      </c>
      <c r="N367" s="34">
        <v>357067</v>
      </c>
      <c r="O367" s="34">
        <v>357067</v>
      </c>
      <c r="P367" s="34">
        <f t="shared" si="264"/>
        <v>0</v>
      </c>
      <c r="Q367" s="34"/>
      <c r="R367" s="34"/>
      <c r="S367" s="34">
        <f t="shared" si="266"/>
        <v>0</v>
      </c>
      <c r="T367" s="34"/>
      <c r="U367" s="34"/>
      <c r="V367" s="34">
        <f t="shared" si="268"/>
        <v>0</v>
      </c>
      <c r="W367" s="34"/>
      <c r="X367" s="34"/>
      <c r="Y367" s="34">
        <f t="shared" si="270"/>
        <v>0</v>
      </c>
      <c r="Z367" s="34"/>
      <c r="AA367" s="34"/>
      <c r="AB367" s="34">
        <f t="shared" si="272"/>
        <v>0</v>
      </c>
    </row>
    <row r="368" spans="1:189" s="28" customFormat="1" ht="31.5" x14ac:dyDescent="0.25">
      <c r="A368" s="33" t="s">
        <v>329</v>
      </c>
      <c r="B368" s="34">
        <f t="shared" si="273"/>
        <v>11100</v>
      </c>
      <c r="C368" s="34">
        <f t="shared" si="273"/>
        <v>11100</v>
      </c>
      <c r="D368" s="34">
        <f t="shared" si="273"/>
        <v>0</v>
      </c>
      <c r="E368" s="34"/>
      <c r="F368" s="34"/>
      <c r="G368" s="34">
        <f t="shared" si="303"/>
        <v>0</v>
      </c>
      <c r="H368" s="34"/>
      <c r="I368" s="34"/>
      <c r="J368" s="34">
        <f t="shared" si="260"/>
        <v>0</v>
      </c>
      <c r="K368" s="34">
        <v>11100</v>
      </c>
      <c r="L368" s="34">
        <v>11100</v>
      </c>
      <c r="M368" s="34">
        <f t="shared" si="262"/>
        <v>0</v>
      </c>
      <c r="N368" s="34"/>
      <c r="O368" s="34"/>
      <c r="P368" s="34">
        <f t="shared" si="264"/>
        <v>0</v>
      </c>
      <c r="Q368" s="34"/>
      <c r="R368" s="34"/>
      <c r="S368" s="34">
        <f t="shared" si="266"/>
        <v>0</v>
      </c>
      <c r="T368" s="34"/>
      <c r="U368" s="34"/>
      <c r="V368" s="34">
        <f t="shared" si="268"/>
        <v>0</v>
      </c>
      <c r="W368" s="34"/>
      <c r="X368" s="34"/>
      <c r="Y368" s="34">
        <f t="shared" si="270"/>
        <v>0</v>
      </c>
      <c r="Z368" s="34"/>
      <c r="AA368" s="34"/>
      <c r="AB368" s="34">
        <f t="shared" si="272"/>
        <v>0</v>
      </c>
    </row>
    <row r="369" spans="1:189" s="28" customFormat="1" x14ac:dyDescent="0.25">
      <c r="A369" s="30" t="s">
        <v>330</v>
      </c>
      <c r="B369" s="34">
        <f t="shared" si="273"/>
        <v>4450</v>
      </c>
      <c r="C369" s="34">
        <f t="shared" si="273"/>
        <v>4450</v>
      </c>
      <c r="D369" s="34">
        <f t="shared" si="273"/>
        <v>0</v>
      </c>
      <c r="E369" s="34"/>
      <c r="F369" s="34"/>
      <c r="G369" s="34">
        <f t="shared" si="303"/>
        <v>0</v>
      </c>
      <c r="H369" s="34"/>
      <c r="I369" s="34"/>
      <c r="J369" s="34">
        <f t="shared" si="260"/>
        <v>0</v>
      </c>
      <c r="K369" s="34">
        <f>2000+2450</f>
        <v>4450</v>
      </c>
      <c r="L369" s="34">
        <f>2000+2450</f>
        <v>4450</v>
      </c>
      <c r="M369" s="34">
        <f t="shared" si="262"/>
        <v>0</v>
      </c>
      <c r="N369" s="34"/>
      <c r="O369" s="34"/>
      <c r="P369" s="34">
        <f t="shared" si="264"/>
        <v>0</v>
      </c>
      <c r="Q369" s="34"/>
      <c r="R369" s="34"/>
      <c r="S369" s="34">
        <f t="shared" si="266"/>
        <v>0</v>
      </c>
      <c r="T369" s="34"/>
      <c r="U369" s="34"/>
      <c r="V369" s="34">
        <f t="shared" si="268"/>
        <v>0</v>
      </c>
      <c r="W369" s="34"/>
      <c r="X369" s="34"/>
      <c r="Y369" s="34">
        <f t="shared" si="270"/>
        <v>0</v>
      </c>
      <c r="Z369" s="34"/>
      <c r="AA369" s="34"/>
      <c r="AB369" s="34">
        <f t="shared" si="272"/>
        <v>0</v>
      </c>
    </row>
    <row r="370" spans="1:189" s="28" customFormat="1" x14ac:dyDescent="0.25">
      <c r="A370" s="30" t="s">
        <v>331</v>
      </c>
      <c r="B370" s="34">
        <f t="shared" si="273"/>
        <v>17173</v>
      </c>
      <c r="C370" s="34">
        <f t="shared" si="273"/>
        <v>17173</v>
      </c>
      <c r="D370" s="34">
        <f t="shared" si="273"/>
        <v>0</v>
      </c>
      <c r="E370" s="34"/>
      <c r="F370" s="34"/>
      <c r="G370" s="34">
        <f t="shared" si="303"/>
        <v>0</v>
      </c>
      <c r="H370" s="34"/>
      <c r="I370" s="34"/>
      <c r="J370" s="34">
        <f t="shared" si="260"/>
        <v>0</v>
      </c>
      <c r="K370" s="34">
        <f>25980-6507-2300</f>
        <v>17173</v>
      </c>
      <c r="L370" s="34">
        <f>25980-6507-2300</f>
        <v>17173</v>
      </c>
      <c r="M370" s="34">
        <f t="shared" si="262"/>
        <v>0</v>
      </c>
      <c r="N370" s="34"/>
      <c r="O370" s="34"/>
      <c r="P370" s="34">
        <f t="shared" si="264"/>
        <v>0</v>
      </c>
      <c r="Q370" s="34"/>
      <c r="R370" s="34"/>
      <c r="S370" s="34">
        <f t="shared" si="266"/>
        <v>0</v>
      </c>
      <c r="T370" s="34"/>
      <c r="U370" s="34"/>
      <c r="V370" s="34">
        <f t="shared" si="268"/>
        <v>0</v>
      </c>
      <c r="W370" s="34"/>
      <c r="X370" s="34"/>
      <c r="Y370" s="34">
        <f t="shared" si="270"/>
        <v>0</v>
      </c>
      <c r="Z370" s="34"/>
      <c r="AA370" s="34"/>
      <c r="AB370" s="34">
        <f t="shared" si="272"/>
        <v>0</v>
      </c>
    </row>
    <row r="371" spans="1:189" s="28" customFormat="1" x14ac:dyDescent="0.25">
      <c r="A371" s="30" t="s">
        <v>332</v>
      </c>
      <c r="B371" s="34">
        <f t="shared" si="273"/>
        <v>23400</v>
      </c>
      <c r="C371" s="34">
        <f t="shared" si="273"/>
        <v>11456</v>
      </c>
      <c r="D371" s="34">
        <f t="shared" si="273"/>
        <v>-11944</v>
      </c>
      <c r="E371" s="34"/>
      <c r="F371" s="34"/>
      <c r="G371" s="34"/>
      <c r="H371" s="34"/>
      <c r="I371" s="34"/>
      <c r="J371" s="34"/>
      <c r="K371" s="34">
        <v>23400</v>
      </c>
      <c r="L371" s="34">
        <f>23400-11944</f>
        <v>11456</v>
      </c>
      <c r="M371" s="34">
        <f t="shared" si="262"/>
        <v>-11944</v>
      </c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  <c r="AA371" s="34"/>
      <c r="AB371" s="34"/>
    </row>
    <row r="372" spans="1:189" s="45" customFormat="1" x14ac:dyDescent="0.25">
      <c r="A372" s="47" t="s">
        <v>333</v>
      </c>
      <c r="B372" s="44">
        <f t="shared" si="273"/>
        <v>2234</v>
      </c>
      <c r="C372" s="44">
        <f t="shared" si="273"/>
        <v>2234</v>
      </c>
      <c r="D372" s="44">
        <f t="shared" si="273"/>
        <v>0</v>
      </c>
      <c r="E372" s="44"/>
      <c r="F372" s="44"/>
      <c r="G372" s="44">
        <f t="shared" si="303"/>
        <v>0</v>
      </c>
      <c r="H372" s="44"/>
      <c r="I372" s="44"/>
      <c r="J372" s="44">
        <f t="shared" si="260"/>
        <v>0</v>
      </c>
      <c r="K372" s="44">
        <v>2234</v>
      </c>
      <c r="L372" s="44">
        <v>2234</v>
      </c>
      <c r="M372" s="44">
        <f t="shared" si="262"/>
        <v>0</v>
      </c>
      <c r="N372" s="44"/>
      <c r="O372" s="44"/>
      <c r="P372" s="44">
        <f t="shared" si="264"/>
        <v>0</v>
      </c>
      <c r="Q372" s="44"/>
      <c r="R372" s="44"/>
      <c r="S372" s="44">
        <f t="shared" si="266"/>
        <v>0</v>
      </c>
      <c r="T372" s="44"/>
      <c r="U372" s="44"/>
      <c r="V372" s="44">
        <f t="shared" si="268"/>
        <v>0</v>
      </c>
      <c r="W372" s="44"/>
      <c r="X372" s="44"/>
      <c r="Y372" s="44">
        <f t="shared" si="270"/>
        <v>0</v>
      </c>
      <c r="Z372" s="44"/>
      <c r="AA372" s="44"/>
      <c r="AB372" s="44">
        <f t="shared" si="272"/>
        <v>0</v>
      </c>
    </row>
    <row r="373" spans="1:189" s="45" customFormat="1" ht="26.25" customHeight="1" x14ac:dyDescent="0.25">
      <c r="A373" s="47" t="s">
        <v>334</v>
      </c>
      <c r="B373" s="44">
        <f t="shared" si="273"/>
        <v>1566</v>
      </c>
      <c r="C373" s="44">
        <f t="shared" si="273"/>
        <v>1566</v>
      </c>
      <c r="D373" s="44">
        <f t="shared" si="273"/>
        <v>0</v>
      </c>
      <c r="E373" s="44"/>
      <c r="F373" s="44"/>
      <c r="G373" s="44">
        <f t="shared" si="303"/>
        <v>0</v>
      </c>
      <c r="H373" s="44"/>
      <c r="I373" s="44"/>
      <c r="J373" s="44">
        <f t="shared" si="260"/>
        <v>0</v>
      </c>
      <c r="K373" s="44">
        <v>1566</v>
      </c>
      <c r="L373" s="44">
        <v>1566</v>
      </c>
      <c r="M373" s="44">
        <f t="shared" si="262"/>
        <v>0</v>
      </c>
      <c r="N373" s="44"/>
      <c r="O373" s="44"/>
      <c r="P373" s="44">
        <f t="shared" si="264"/>
        <v>0</v>
      </c>
      <c r="Q373" s="44"/>
      <c r="R373" s="44"/>
      <c r="S373" s="44">
        <f t="shared" si="266"/>
        <v>0</v>
      </c>
      <c r="T373" s="44"/>
      <c r="U373" s="44"/>
      <c r="V373" s="44">
        <f t="shared" si="268"/>
        <v>0</v>
      </c>
      <c r="W373" s="44"/>
      <c r="X373" s="44"/>
      <c r="Y373" s="44">
        <f t="shared" si="270"/>
        <v>0</v>
      </c>
      <c r="Z373" s="44"/>
      <c r="AA373" s="44"/>
      <c r="AB373" s="44">
        <f t="shared" si="272"/>
        <v>0</v>
      </c>
    </row>
    <row r="374" spans="1:189" s="28" customFormat="1" ht="31.5" x14ac:dyDescent="0.25">
      <c r="A374" s="30" t="s">
        <v>335</v>
      </c>
      <c r="B374" s="34">
        <f t="shared" si="273"/>
        <v>0</v>
      </c>
      <c r="C374" s="34">
        <f t="shared" si="273"/>
        <v>0</v>
      </c>
      <c r="D374" s="34">
        <f t="shared" si="273"/>
        <v>0</v>
      </c>
      <c r="E374" s="34"/>
      <c r="F374" s="34"/>
      <c r="G374" s="34">
        <f t="shared" si="303"/>
        <v>0</v>
      </c>
      <c r="H374" s="34"/>
      <c r="I374" s="34"/>
      <c r="J374" s="34">
        <f t="shared" si="260"/>
        <v>0</v>
      </c>
      <c r="K374" s="34">
        <f>3800-3800</f>
        <v>0</v>
      </c>
      <c r="L374" s="34">
        <f>3800-3800</f>
        <v>0</v>
      </c>
      <c r="M374" s="34">
        <f t="shared" si="262"/>
        <v>0</v>
      </c>
      <c r="N374" s="34"/>
      <c r="O374" s="34"/>
      <c r="P374" s="34">
        <f t="shared" si="264"/>
        <v>0</v>
      </c>
      <c r="Q374" s="34"/>
      <c r="R374" s="34"/>
      <c r="S374" s="34">
        <f t="shared" si="266"/>
        <v>0</v>
      </c>
      <c r="T374" s="34"/>
      <c r="U374" s="34"/>
      <c r="V374" s="34">
        <f t="shared" si="268"/>
        <v>0</v>
      </c>
      <c r="W374" s="34"/>
      <c r="X374" s="34"/>
      <c r="Y374" s="34">
        <f t="shared" si="270"/>
        <v>0</v>
      </c>
      <c r="Z374" s="34"/>
      <c r="AA374" s="34"/>
      <c r="AB374" s="34">
        <f t="shared" si="272"/>
        <v>0</v>
      </c>
    </row>
    <row r="375" spans="1:189" s="28" customFormat="1" ht="31.5" x14ac:dyDescent="0.25">
      <c r="A375" s="33" t="s">
        <v>336</v>
      </c>
      <c r="B375" s="34">
        <f t="shared" si="273"/>
        <v>3290</v>
      </c>
      <c r="C375" s="34">
        <f t="shared" si="273"/>
        <v>3290</v>
      </c>
      <c r="D375" s="34">
        <f t="shared" si="273"/>
        <v>0</v>
      </c>
      <c r="E375" s="34"/>
      <c r="F375" s="34"/>
      <c r="G375" s="34">
        <f t="shared" si="303"/>
        <v>0</v>
      </c>
      <c r="H375" s="34"/>
      <c r="I375" s="34"/>
      <c r="J375" s="34">
        <f t="shared" si="260"/>
        <v>0</v>
      </c>
      <c r="K375" s="34">
        <v>3290</v>
      </c>
      <c r="L375" s="34">
        <v>3290</v>
      </c>
      <c r="M375" s="34">
        <f t="shared" si="262"/>
        <v>0</v>
      </c>
      <c r="N375" s="34"/>
      <c r="O375" s="34"/>
      <c r="P375" s="34">
        <f t="shared" si="264"/>
        <v>0</v>
      </c>
      <c r="Q375" s="34"/>
      <c r="R375" s="34"/>
      <c r="S375" s="34">
        <f t="shared" si="266"/>
        <v>0</v>
      </c>
      <c r="T375" s="34"/>
      <c r="U375" s="34"/>
      <c r="V375" s="34">
        <f t="shared" si="268"/>
        <v>0</v>
      </c>
      <c r="W375" s="34"/>
      <c r="X375" s="34"/>
      <c r="Y375" s="34">
        <f t="shared" si="270"/>
        <v>0</v>
      </c>
      <c r="Z375" s="34"/>
      <c r="AA375" s="34"/>
      <c r="AB375" s="34">
        <f t="shared" si="272"/>
        <v>0</v>
      </c>
    </row>
    <row r="376" spans="1:189" s="28" customFormat="1" x14ac:dyDescent="0.25">
      <c r="A376" s="33" t="s">
        <v>337</v>
      </c>
      <c r="B376" s="34">
        <f t="shared" si="273"/>
        <v>4000</v>
      </c>
      <c r="C376" s="34">
        <f t="shared" si="273"/>
        <v>4000</v>
      </c>
      <c r="D376" s="34">
        <f t="shared" si="273"/>
        <v>0</v>
      </c>
      <c r="E376" s="34"/>
      <c r="F376" s="34"/>
      <c r="G376" s="34">
        <f t="shared" si="303"/>
        <v>0</v>
      </c>
      <c r="H376" s="34"/>
      <c r="I376" s="34"/>
      <c r="J376" s="34">
        <f t="shared" si="260"/>
        <v>0</v>
      </c>
      <c r="K376" s="34">
        <v>4000</v>
      </c>
      <c r="L376" s="34">
        <v>4000</v>
      </c>
      <c r="M376" s="34">
        <f t="shared" si="262"/>
        <v>0</v>
      </c>
      <c r="N376" s="34"/>
      <c r="O376" s="34"/>
      <c r="P376" s="34">
        <f t="shared" si="264"/>
        <v>0</v>
      </c>
      <c r="Q376" s="34"/>
      <c r="R376" s="34"/>
      <c r="S376" s="34">
        <f t="shared" si="266"/>
        <v>0</v>
      </c>
      <c r="T376" s="34"/>
      <c r="U376" s="34"/>
      <c r="V376" s="34">
        <f t="shared" si="268"/>
        <v>0</v>
      </c>
      <c r="W376" s="34"/>
      <c r="X376" s="34"/>
      <c r="Y376" s="34">
        <f t="shared" si="270"/>
        <v>0</v>
      </c>
      <c r="Z376" s="34"/>
      <c r="AA376" s="34"/>
      <c r="AB376" s="34">
        <f t="shared" si="272"/>
        <v>0</v>
      </c>
    </row>
    <row r="377" spans="1:189" s="28" customFormat="1" x14ac:dyDescent="0.25">
      <c r="A377" s="30" t="s">
        <v>338</v>
      </c>
      <c r="B377" s="34">
        <f t="shared" si="273"/>
        <v>2800</v>
      </c>
      <c r="C377" s="34">
        <f t="shared" si="273"/>
        <v>2800</v>
      </c>
      <c r="D377" s="34">
        <f t="shared" si="273"/>
        <v>0</v>
      </c>
      <c r="E377" s="34"/>
      <c r="F377" s="34"/>
      <c r="G377" s="34">
        <f t="shared" si="303"/>
        <v>0</v>
      </c>
      <c r="H377" s="34"/>
      <c r="I377" s="34"/>
      <c r="J377" s="34">
        <f t="shared" si="260"/>
        <v>0</v>
      </c>
      <c r="K377" s="34">
        <v>2800</v>
      </c>
      <c r="L377" s="34">
        <v>2800</v>
      </c>
      <c r="M377" s="34">
        <f t="shared" si="262"/>
        <v>0</v>
      </c>
      <c r="N377" s="34"/>
      <c r="O377" s="34"/>
      <c r="P377" s="34">
        <f t="shared" si="264"/>
        <v>0</v>
      </c>
      <c r="Q377" s="34"/>
      <c r="R377" s="34"/>
      <c r="S377" s="34">
        <f t="shared" si="266"/>
        <v>0</v>
      </c>
      <c r="T377" s="34"/>
      <c r="U377" s="34"/>
      <c r="V377" s="34">
        <f t="shared" si="268"/>
        <v>0</v>
      </c>
      <c r="W377" s="34"/>
      <c r="X377" s="34"/>
      <c r="Y377" s="34">
        <f t="shared" si="270"/>
        <v>0</v>
      </c>
      <c r="Z377" s="34"/>
      <c r="AA377" s="34"/>
      <c r="AB377" s="34">
        <f t="shared" si="272"/>
        <v>0</v>
      </c>
    </row>
    <row r="378" spans="1:189" s="28" customFormat="1" ht="31.5" x14ac:dyDescent="0.25">
      <c r="A378" s="30" t="s">
        <v>339</v>
      </c>
      <c r="B378" s="34">
        <f t="shared" si="273"/>
        <v>27932</v>
      </c>
      <c r="C378" s="34">
        <f t="shared" si="273"/>
        <v>0</v>
      </c>
      <c r="D378" s="34">
        <f t="shared" si="273"/>
        <v>-27932</v>
      </c>
      <c r="E378" s="34"/>
      <c r="F378" s="34"/>
      <c r="G378" s="34">
        <f t="shared" si="303"/>
        <v>0</v>
      </c>
      <c r="H378" s="34"/>
      <c r="I378" s="34"/>
      <c r="J378" s="34">
        <f t="shared" si="260"/>
        <v>0</v>
      </c>
      <c r="K378" s="34">
        <v>27932</v>
      </c>
      <c r="L378" s="34">
        <v>0</v>
      </c>
      <c r="M378" s="34">
        <f t="shared" si="262"/>
        <v>-27932</v>
      </c>
      <c r="N378" s="34"/>
      <c r="O378" s="34"/>
      <c r="P378" s="34">
        <f t="shared" si="264"/>
        <v>0</v>
      </c>
      <c r="Q378" s="34"/>
      <c r="R378" s="34"/>
      <c r="S378" s="34">
        <f t="shared" si="266"/>
        <v>0</v>
      </c>
      <c r="T378" s="34"/>
      <c r="U378" s="34"/>
      <c r="V378" s="34">
        <f t="shared" si="268"/>
        <v>0</v>
      </c>
      <c r="W378" s="34"/>
      <c r="X378" s="34"/>
      <c r="Y378" s="34">
        <f t="shared" si="270"/>
        <v>0</v>
      </c>
      <c r="Z378" s="34"/>
      <c r="AA378" s="34"/>
      <c r="AB378" s="34">
        <f t="shared" si="272"/>
        <v>0</v>
      </c>
    </row>
    <row r="379" spans="1:189" s="28" customFormat="1" ht="47.25" x14ac:dyDescent="0.25">
      <c r="A379" s="33" t="s">
        <v>340</v>
      </c>
      <c r="B379" s="34">
        <f t="shared" si="273"/>
        <v>62000</v>
      </c>
      <c r="C379" s="34">
        <f t="shared" si="273"/>
        <v>62000</v>
      </c>
      <c r="D379" s="34">
        <f t="shared" si="273"/>
        <v>0</v>
      </c>
      <c r="E379" s="34"/>
      <c r="F379" s="34"/>
      <c r="G379" s="34">
        <f t="shared" si="303"/>
        <v>0</v>
      </c>
      <c r="H379" s="34"/>
      <c r="I379" s="34"/>
      <c r="J379" s="34">
        <f t="shared" si="260"/>
        <v>0</v>
      </c>
      <c r="K379" s="34">
        <v>62000</v>
      </c>
      <c r="L379" s="34">
        <v>62000</v>
      </c>
      <c r="M379" s="34">
        <f t="shared" si="262"/>
        <v>0</v>
      </c>
      <c r="N379" s="34"/>
      <c r="O379" s="34"/>
      <c r="P379" s="34">
        <f t="shared" si="264"/>
        <v>0</v>
      </c>
      <c r="Q379" s="34"/>
      <c r="R379" s="34"/>
      <c r="S379" s="34">
        <f t="shared" si="266"/>
        <v>0</v>
      </c>
      <c r="T379" s="34"/>
      <c r="U379" s="34"/>
      <c r="V379" s="34">
        <f t="shared" si="268"/>
        <v>0</v>
      </c>
      <c r="W379" s="34"/>
      <c r="X379" s="34"/>
      <c r="Y379" s="34">
        <f t="shared" si="270"/>
        <v>0</v>
      </c>
      <c r="Z379" s="34"/>
      <c r="AA379" s="34"/>
      <c r="AB379" s="34">
        <f t="shared" si="272"/>
        <v>0</v>
      </c>
      <c r="FN379" s="25"/>
      <c r="FO379" s="25"/>
      <c r="FP379" s="25"/>
      <c r="FQ379" s="25"/>
      <c r="FR379" s="25"/>
      <c r="FS379" s="25"/>
      <c r="FT379" s="25"/>
      <c r="FU379" s="25"/>
      <c r="FV379" s="25"/>
      <c r="FW379" s="25"/>
      <c r="FX379" s="25"/>
      <c r="FY379" s="25"/>
      <c r="FZ379" s="25"/>
      <c r="GA379" s="25"/>
      <c r="GB379" s="25"/>
      <c r="GC379" s="25"/>
      <c r="GD379" s="25"/>
      <c r="GE379" s="25"/>
      <c r="GF379" s="25"/>
      <c r="GG379" s="25"/>
    </row>
    <row r="380" spans="1:189" s="28" customFormat="1" ht="31.5" x14ac:dyDescent="0.25">
      <c r="A380" s="30" t="s">
        <v>341</v>
      </c>
      <c r="B380" s="34">
        <f t="shared" si="273"/>
        <v>4100</v>
      </c>
      <c r="C380" s="34">
        <f t="shared" si="273"/>
        <v>4100</v>
      </c>
      <c r="D380" s="34">
        <f t="shared" si="273"/>
        <v>0</v>
      </c>
      <c r="E380" s="34"/>
      <c r="F380" s="34"/>
      <c r="G380" s="34">
        <f t="shared" si="303"/>
        <v>0</v>
      </c>
      <c r="H380" s="34"/>
      <c r="I380" s="34"/>
      <c r="J380" s="34">
        <f t="shared" si="260"/>
        <v>0</v>
      </c>
      <c r="K380" s="48">
        <v>4100</v>
      </c>
      <c r="L380" s="48">
        <v>4100</v>
      </c>
      <c r="M380" s="34">
        <f t="shared" si="262"/>
        <v>0</v>
      </c>
      <c r="N380" s="34"/>
      <c r="O380" s="34"/>
      <c r="P380" s="34">
        <f t="shared" si="264"/>
        <v>0</v>
      </c>
      <c r="Q380" s="34"/>
      <c r="R380" s="34"/>
      <c r="S380" s="34">
        <f t="shared" si="266"/>
        <v>0</v>
      </c>
      <c r="T380" s="34"/>
      <c r="U380" s="34"/>
      <c r="V380" s="34">
        <f t="shared" si="268"/>
        <v>0</v>
      </c>
      <c r="W380" s="34"/>
      <c r="X380" s="34"/>
      <c r="Y380" s="34">
        <f t="shared" si="270"/>
        <v>0</v>
      </c>
      <c r="Z380" s="34"/>
      <c r="AA380" s="34"/>
      <c r="AB380" s="34">
        <f t="shared" si="272"/>
        <v>0</v>
      </c>
    </row>
    <row r="381" spans="1:189" s="28" customFormat="1" x14ac:dyDescent="0.25">
      <c r="A381" s="26" t="s">
        <v>182</v>
      </c>
      <c r="B381" s="27">
        <f t="shared" si="273"/>
        <v>49800</v>
      </c>
      <c r="C381" s="27">
        <f t="shared" si="273"/>
        <v>49800</v>
      </c>
      <c r="D381" s="27">
        <f t="shared" si="273"/>
        <v>0</v>
      </c>
      <c r="E381" s="27">
        <f>SUM(E382:E383)</f>
        <v>0</v>
      </c>
      <c r="F381" s="27">
        <f>SUM(F382:F383)</f>
        <v>0</v>
      </c>
      <c r="G381" s="27">
        <f t="shared" si="303"/>
        <v>0</v>
      </c>
      <c r="H381" s="27">
        <f t="shared" ref="H381:I381" si="325">SUM(H382:H383)</f>
        <v>0</v>
      </c>
      <c r="I381" s="27">
        <f t="shared" si="325"/>
        <v>0</v>
      </c>
      <c r="J381" s="27">
        <f t="shared" si="260"/>
        <v>0</v>
      </c>
      <c r="K381" s="27">
        <f t="shared" ref="K381:L381" si="326">SUM(K382:K383)</f>
        <v>25200</v>
      </c>
      <c r="L381" s="27">
        <f t="shared" si="326"/>
        <v>25200</v>
      </c>
      <c r="M381" s="27">
        <f t="shared" si="262"/>
        <v>0</v>
      </c>
      <c r="N381" s="27">
        <f t="shared" ref="N381:O381" si="327">SUM(N382:N383)</f>
        <v>0</v>
      </c>
      <c r="O381" s="27">
        <f t="shared" si="327"/>
        <v>0</v>
      </c>
      <c r="P381" s="27">
        <f t="shared" si="264"/>
        <v>0</v>
      </c>
      <c r="Q381" s="27">
        <f t="shared" ref="Q381:R381" si="328">SUM(Q382:Q383)</f>
        <v>24600</v>
      </c>
      <c r="R381" s="27">
        <f t="shared" si="328"/>
        <v>24600</v>
      </c>
      <c r="S381" s="27">
        <f t="shared" si="266"/>
        <v>0</v>
      </c>
      <c r="T381" s="27">
        <f t="shared" ref="T381:U381" si="329">SUM(T382:T383)</f>
        <v>0</v>
      </c>
      <c r="U381" s="27">
        <f t="shared" si="329"/>
        <v>0</v>
      </c>
      <c r="V381" s="27">
        <f t="shared" si="268"/>
        <v>0</v>
      </c>
      <c r="W381" s="27">
        <f t="shared" ref="W381:X381" si="330">SUM(W382:W383)</f>
        <v>0</v>
      </c>
      <c r="X381" s="27">
        <f t="shared" si="330"/>
        <v>0</v>
      </c>
      <c r="Y381" s="27">
        <f t="shared" si="270"/>
        <v>0</v>
      </c>
      <c r="Z381" s="27">
        <f t="shared" ref="Z381:AA381" si="331">SUM(Z382:Z383)</f>
        <v>0</v>
      </c>
      <c r="AA381" s="27">
        <f t="shared" si="331"/>
        <v>0</v>
      </c>
      <c r="AB381" s="27">
        <f t="shared" si="272"/>
        <v>0</v>
      </c>
      <c r="AC381" s="25"/>
      <c r="AD381" s="25"/>
      <c r="AE381" s="25"/>
      <c r="AF381" s="25"/>
      <c r="AG381" s="25"/>
      <c r="AH381" s="25"/>
      <c r="AI381" s="25"/>
      <c r="AJ381" s="25"/>
      <c r="AK381" s="25"/>
      <c r="AL381" s="25"/>
      <c r="AM381" s="25"/>
      <c r="AN381" s="25"/>
      <c r="AO381" s="25"/>
      <c r="AP381" s="25"/>
      <c r="AQ381" s="25"/>
      <c r="AR381" s="25"/>
      <c r="AS381" s="25"/>
      <c r="AT381" s="25"/>
      <c r="AU381" s="25"/>
      <c r="AV381" s="25"/>
      <c r="AW381" s="25"/>
      <c r="AX381" s="25"/>
      <c r="AY381" s="25"/>
      <c r="AZ381" s="25"/>
      <c r="BA381" s="25"/>
      <c r="BB381" s="25"/>
      <c r="BC381" s="25"/>
      <c r="BD381" s="25"/>
      <c r="BE381" s="25"/>
      <c r="BF381" s="25"/>
      <c r="BG381" s="25"/>
      <c r="BH381" s="25"/>
      <c r="BI381" s="25"/>
      <c r="BJ381" s="25"/>
      <c r="BK381" s="25"/>
      <c r="BL381" s="25"/>
      <c r="BM381" s="25"/>
      <c r="BN381" s="25"/>
      <c r="BO381" s="25"/>
      <c r="BP381" s="25"/>
      <c r="BQ381" s="25"/>
      <c r="BR381" s="25"/>
      <c r="BS381" s="25"/>
      <c r="BT381" s="25"/>
      <c r="BU381" s="25"/>
      <c r="BV381" s="25"/>
      <c r="BW381" s="25"/>
      <c r="BX381" s="25"/>
      <c r="BY381" s="25"/>
      <c r="BZ381" s="25"/>
      <c r="CA381" s="25"/>
      <c r="CB381" s="25"/>
      <c r="CC381" s="25"/>
      <c r="CD381" s="25"/>
      <c r="CE381" s="25"/>
      <c r="CF381" s="25"/>
      <c r="CG381" s="25"/>
      <c r="CH381" s="25"/>
      <c r="CI381" s="25"/>
      <c r="CJ381" s="25"/>
      <c r="CK381" s="25"/>
      <c r="CL381" s="25"/>
      <c r="CM381" s="25"/>
      <c r="CN381" s="25"/>
      <c r="CO381" s="25"/>
      <c r="CP381" s="25"/>
      <c r="CQ381" s="25"/>
      <c r="CR381" s="25"/>
      <c r="CS381" s="25"/>
      <c r="CT381" s="25"/>
      <c r="CU381" s="25"/>
      <c r="CV381" s="25"/>
      <c r="CW381" s="25"/>
      <c r="CX381" s="25"/>
      <c r="CY381" s="25"/>
      <c r="CZ381" s="25"/>
      <c r="DA381" s="25"/>
      <c r="DB381" s="25"/>
      <c r="DC381" s="25"/>
      <c r="DD381" s="25"/>
      <c r="DE381" s="25"/>
      <c r="DF381" s="25"/>
      <c r="DG381" s="25"/>
      <c r="DH381" s="25"/>
      <c r="DI381" s="25"/>
      <c r="DJ381" s="25"/>
      <c r="DK381" s="25"/>
      <c r="DL381" s="25"/>
      <c r="DM381" s="25"/>
      <c r="DN381" s="25"/>
      <c r="DO381" s="25"/>
      <c r="DP381" s="25"/>
      <c r="DQ381" s="25"/>
      <c r="DR381" s="25"/>
      <c r="DS381" s="25"/>
      <c r="DT381" s="25"/>
      <c r="DU381" s="25"/>
      <c r="DV381" s="25"/>
      <c r="DW381" s="25"/>
      <c r="DX381" s="25"/>
      <c r="DY381" s="25"/>
      <c r="DZ381" s="25"/>
      <c r="EA381" s="25"/>
      <c r="EB381" s="25"/>
      <c r="EC381" s="25"/>
      <c r="ED381" s="25"/>
      <c r="EE381" s="25"/>
      <c r="EF381" s="25"/>
      <c r="EG381" s="25"/>
      <c r="EH381" s="25"/>
      <c r="EI381" s="25"/>
      <c r="EJ381" s="25"/>
      <c r="EK381" s="25"/>
      <c r="EL381" s="25"/>
      <c r="EM381" s="25"/>
      <c r="EN381" s="25"/>
      <c r="EO381" s="25"/>
      <c r="EP381" s="25"/>
      <c r="EQ381" s="25"/>
      <c r="ER381" s="25"/>
      <c r="ES381" s="25"/>
      <c r="ET381" s="25"/>
      <c r="EU381" s="25"/>
      <c r="EV381" s="25"/>
      <c r="EW381" s="25"/>
      <c r="EX381" s="25"/>
      <c r="EY381" s="25"/>
      <c r="EZ381" s="25"/>
      <c r="FA381" s="25"/>
      <c r="FB381" s="25"/>
      <c r="FC381" s="25"/>
      <c r="FD381" s="25"/>
      <c r="FE381" s="25"/>
      <c r="FF381" s="25"/>
      <c r="FG381" s="25"/>
      <c r="FH381" s="25"/>
      <c r="FI381" s="25"/>
      <c r="FJ381" s="25"/>
      <c r="FK381" s="25"/>
      <c r="FL381" s="25"/>
      <c r="FM381" s="25"/>
      <c r="FN381" s="25"/>
      <c r="FO381" s="25"/>
      <c r="FP381" s="25"/>
      <c r="FQ381" s="25"/>
      <c r="FR381" s="25"/>
      <c r="FS381" s="25"/>
      <c r="FT381" s="25"/>
      <c r="FU381" s="25"/>
      <c r="FV381" s="25"/>
      <c r="FW381" s="25"/>
      <c r="FX381" s="25"/>
      <c r="FY381" s="25"/>
      <c r="FZ381" s="25"/>
      <c r="GA381" s="25"/>
      <c r="GB381" s="25"/>
      <c r="GC381" s="25"/>
      <c r="GD381" s="25"/>
      <c r="GE381" s="25"/>
      <c r="GF381" s="25"/>
      <c r="GG381" s="25"/>
    </row>
    <row r="382" spans="1:189" s="28" customFormat="1" ht="31.5" x14ac:dyDescent="0.25">
      <c r="A382" s="33" t="s">
        <v>342</v>
      </c>
      <c r="B382" s="34">
        <f t="shared" si="273"/>
        <v>24600</v>
      </c>
      <c r="C382" s="34">
        <f t="shared" si="273"/>
        <v>24600</v>
      </c>
      <c r="D382" s="34">
        <f t="shared" si="273"/>
        <v>0</v>
      </c>
      <c r="E382" s="34"/>
      <c r="F382" s="34"/>
      <c r="G382" s="34">
        <f t="shared" si="303"/>
        <v>0</v>
      </c>
      <c r="H382" s="34"/>
      <c r="I382" s="34"/>
      <c r="J382" s="34">
        <f t="shared" si="260"/>
        <v>0</v>
      </c>
      <c r="K382" s="34"/>
      <c r="L382" s="34"/>
      <c r="M382" s="34">
        <f t="shared" si="262"/>
        <v>0</v>
      </c>
      <c r="N382" s="34"/>
      <c r="O382" s="34"/>
      <c r="P382" s="34">
        <f t="shared" si="264"/>
        <v>0</v>
      </c>
      <c r="Q382" s="34">
        <f>55000+1000-31400</f>
        <v>24600</v>
      </c>
      <c r="R382" s="34">
        <f>55000+1000-31400</f>
        <v>24600</v>
      </c>
      <c r="S382" s="34">
        <f t="shared" si="266"/>
        <v>0</v>
      </c>
      <c r="T382" s="34"/>
      <c r="U382" s="34"/>
      <c r="V382" s="34">
        <f t="shared" si="268"/>
        <v>0</v>
      </c>
      <c r="W382" s="34"/>
      <c r="X382" s="34"/>
      <c r="Y382" s="34">
        <f t="shared" si="270"/>
        <v>0</v>
      </c>
      <c r="Z382" s="34"/>
      <c r="AA382" s="34"/>
      <c r="AB382" s="34">
        <f t="shared" si="272"/>
        <v>0</v>
      </c>
    </row>
    <row r="383" spans="1:189" s="28" customFormat="1" ht="31.5" x14ac:dyDescent="0.25">
      <c r="A383" s="33" t="s">
        <v>343</v>
      </c>
      <c r="B383" s="34">
        <f t="shared" si="273"/>
        <v>25200</v>
      </c>
      <c r="C383" s="34">
        <f t="shared" si="273"/>
        <v>25200</v>
      </c>
      <c r="D383" s="34">
        <f t="shared" si="273"/>
        <v>0</v>
      </c>
      <c r="E383" s="34"/>
      <c r="F383" s="34"/>
      <c r="G383" s="34">
        <f t="shared" si="303"/>
        <v>0</v>
      </c>
      <c r="H383" s="34"/>
      <c r="I383" s="34"/>
      <c r="J383" s="34">
        <f t="shared" si="260"/>
        <v>0</v>
      </c>
      <c r="K383" s="34">
        <v>25200</v>
      </c>
      <c r="L383" s="34">
        <v>25200</v>
      </c>
      <c r="M383" s="34">
        <f t="shared" si="262"/>
        <v>0</v>
      </c>
      <c r="N383" s="34"/>
      <c r="O383" s="34"/>
      <c r="P383" s="34">
        <f t="shared" si="264"/>
        <v>0</v>
      </c>
      <c r="Q383" s="34"/>
      <c r="R383" s="34"/>
      <c r="S383" s="34">
        <f t="shared" si="266"/>
        <v>0</v>
      </c>
      <c r="T383" s="34"/>
      <c r="U383" s="34"/>
      <c r="V383" s="34">
        <f t="shared" si="268"/>
        <v>0</v>
      </c>
      <c r="W383" s="34"/>
      <c r="X383" s="34"/>
      <c r="Y383" s="34">
        <f t="shared" si="270"/>
        <v>0</v>
      </c>
      <c r="Z383" s="34"/>
      <c r="AA383" s="34"/>
      <c r="AB383" s="34">
        <f t="shared" si="272"/>
        <v>0</v>
      </c>
    </row>
    <row r="384" spans="1:189" s="28" customFormat="1" x14ac:dyDescent="0.25">
      <c r="A384" s="26" t="s">
        <v>184</v>
      </c>
      <c r="B384" s="27">
        <f t="shared" si="273"/>
        <v>307261</v>
      </c>
      <c r="C384" s="27">
        <f t="shared" si="273"/>
        <v>309935</v>
      </c>
      <c r="D384" s="27">
        <f t="shared" si="273"/>
        <v>2674</v>
      </c>
      <c r="E384" s="27">
        <f>SUM(E385:E390)</f>
        <v>0</v>
      </c>
      <c r="F384" s="27">
        <f>SUM(F385:F390)</f>
        <v>0</v>
      </c>
      <c r="G384" s="27">
        <f t="shared" si="303"/>
        <v>0</v>
      </c>
      <c r="H384" s="27">
        <f t="shared" ref="H384:I384" si="332">SUM(H385:H390)</f>
        <v>0</v>
      </c>
      <c r="I384" s="27">
        <f t="shared" si="332"/>
        <v>0</v>
      </c>
      <c r="J384" s="27">
        <f t="shared" si="260"/>
        <v>0</v>
      </c>
      <c r="K384" s="27">
        <f t="shared" ref="K384:L384" si="333">SUM(K385:K390)</f>
        <v>10167</v>
      </c>
      <c r="L384" s="27">
        <f t="shared" si="333"/>
        <v>12841</v>
      </c>
      <c r="M384" s="27">
        <f t="shared" si="262"/>
        <v>2674</v>
      </c>
      <c r="N384" s="27">
        <f t="shared" ref="N384:O384" si="334">SUM(N385:N390)</f>
        <v>297094</v>
      </c>
      <c r="O384" s="27">
        <f t="shared" si="334"/>
        <v>297094</v>
      </c>
      <c r="P384" s="27">
        <f t="shared" si="264"/>
        <v>0</v>
      </c>
      <c r="Q384" s="27">
        <f t="shared" ref="Q384:R384" si="335">SUM(Q385:Q390)</f>
        <v>0</v>
      </c>
      <c r="R384" s="27">
        <f t="shared" si="335"/>
        <v>0</v>
      </c>
      <c r="S384" s="27">
        <f t="shared" si="266"/>
        <v>0</v>
      </c>
      <c r="T384" s="27">
        <f t="shared" ref="T384:U384" si="336">SUM(T385:T390)</f>
        <v>0</v>
      </c>
      <c r="U384" s="27">
        <f t="shared" si="336"/>
        <v>0</v>
      </c>
      <c r="V384" s="27">
        <f t="shared" si="268"/>
        <v>0</v>
      </c>
      <c r="W384" s="27">
        <f t="shared" ref="W384:X384" si="337">SUM(W385:W390)</f>
        <v>0</v>
      </c>
      <c r="X384" s="27">
        <f t="shared" si="337"/>
        <v>0</v>
      </c>
      <c r="Y384" s="27">
        <f t="shared" si="270"/>
        <v>0</v>
      </c>
      <c r="Z384" s="27">
        <f t="shared" ref="Z384:AA384" si="338">SUM(Z385:Z390)</f>
        <v>0</v>
      </c>
      <c r="AA384" s="27">
        <f t="shared" si="338"/>
        <v>0</v>
      </c>
      <c r="AB384" s="27">
        <f t="shared" si="272"/>
        <v>0</v>
      </c>
      <c r="AC384" s="25"/>
      <c r="AD384" s="25"/>
      <c r="AE384" s="25"/>
      <c r="AF384" s="25"/>
      <c r="AG384" s="25"/>
      <c r="AH384" s="25"/>
      <c r="AI384" s="25"/>
      <c r="AJ384" s="25"/>
      <c r="AK384" s="25"/>
      <c r="AL384" s="25"/>
      <c r="AM384" s="25"/>
      <c r="AN384" s="25"/>
      <c r="AO384" s="25"/>
      <c r="AP384" s="25"/>
      <c r="AQ384" s="25"/>
      <c r="AR384" s="25"/>
      <c r="AS384" s="25"/>
      <c r="AT384" s="25"/>
      <c r="AU384" s="25"/>
      <c r="AV384" s="25"/>
      <c r="AW384" s="25"/>
      <c r="AX384" s="25"/>
      <c r="AY384" s="25"/>
      <c r="AZ384" s="25"/>
      <c r="BA384" s="25"/>
      <c r="BB384" s="25"/>
      <c r="BC384" s="25"/>
      <c r="BD384" s="25"/>
      <c r="BE384" s="25"/>
      <c r="BF384" s="25"/>
      <c r="BG384" s="25"/>
      <c r="BH384" s="25"/>
      <c r="BI384" s="25"/>
      <c r="BJ384" s="25"/>
      <c r="BK384" s="25"/>
      <c r="BL384" s="25"/>
      <c r="BM384" s="25"/>
      <c r="BN384" s="25"/>
      <c r="BO384" s="25"/>
      <c r="BP384" s="25"/>
      <c r="BQ384" s="25"/>
      <c r="BR384" s="25"/>
      <c r="BS384" s="25"/>
      <c r="BT384" s="25"/>
      <c r="BU384" s="25"/>
      <c r="BV384" s="25"/>
      <c r="BW384" s="25"/>
      <c r="BX384" s="25"/>
      <c r="BY384" s="25"/>
      <c r="BZ384" s="25"/>
      <c r="CA384" s="25"/>
      <c r="CB384" s="25"/>
      <c r="CC384" s="25"/>
      <c r="CD384" s="25"/>
      <c r="CE384" s="25"/>
      <c r="CF384" s="25"/>
      <c r="CG384" s="25"/>
      <c r="CH384" s="25"/>
      <c r="CI384" s="25"/>
      <c r="CJ384" s="25"/>
      <c r="CK384" s="25"/>
      <c r="CL384" s="25"/>
      <c r="CM384" s="25"/>
      <c r="CN384" s="25"/>
      <c r="CO384" s="25"/>
      <c r="CP384" s="25"/>
      <c r="CQ384" s="25"/>
      <c r="CR384" s="25"/>
      <c r="CS384" s="25"/>
      <c r="CT384" s="25"/>
      <c r="CU384" s="25"/>
      <c r="CV384" s="25"/>
      <c r="CW384" s="25"/>
      <c r="CX384" s="25"/>
      <c r="CY384" s="25"/>
      <c r="CZ384" s="25"/>
      <c r="DA384" s="25"/>
      <c r="DB384" s="25"/>
      <c r="DC384" s="25"/>
      <c r="DD384" s="25"/>
      <c r="DE384" s="25"/>
      <c r="DF384" s="25"/>
      <c r="DG384" s="25"/>
      <c r="DH384" s="25"/>
      <c r="DI384" s="25"/>
      <c r="DJ384" s="25"/>
      <c r="DK384" s="25"/>
      <c r="DL384" s="25"/>
      <c r="DM384" s="25"/>
      <c r="DN384" s="25"/>
      <c r="DO384" s="25"/>
      <c r="DP384" s="25"/>
      <c r="DQ384" s="25"/>
      <c r="DR384" s="25"/>
      <c r="DS384" s="25"/>
      <c r="DT384" s="25"/>
      <c r="DU384" s="25"/>
      <c r="DV384" s="25"/>
      <c r="DW384" s="25"/>
      <c r="DX384" s="25"/>
      <c r="DY384" s="25"/>
      <c r="DZ384" s="25"/>
      <c r="EA384" s="25"/>
      <c r="EB384" s="25"/>
      <c r="EC384" s="25"/>
      <c r="ED384" s="25"/>
      <c r="EE384" s="25"/>
      <c r="EF384" s="25"/>
      <c r="EG384" s="25"/>
      <c r="EH384" s="25"/>
      <c r="EI384" s="25"/>
      <c r="EJ384" s="25"/>
      <c r="EK384" s="25"/>
      <c r="EL384" s="25"/>
      <c r="EM384" s="25"/>
      <c r="EN384" s="25"/>
      <c r="EO384" s="25"/>
      <c r="EP384" s="25"/>
      <c r="EQ384" s="25"/>
      <c r="ER384" s="25"/>
      <c r="ES384" s="25"/>
      <c r="ET384" s="25"/>
      <c r="EU384" s="25"/>
      <c r="EV384" s="25"/>
      <c r="EW384" s="25"/>
      <c r="EX384" s="25"/>
      <c r="EY384" s="25"/>
      <c r="EZ384" s="25"/>
      <c r="FA384" s="25"/>
      <c r="FB384" s="25"/>
      <c r="FC384" s="25"/>
      <c r="FD384" s="25"/>
      <c r="FE384" s="25"/>
      <c r="FF384" s="25"/>
      <c r="FG384" s="25"/>
      <c r="FH384" s="25"/>
      <c r="FI384" s="25"/>
      <c r="FJ384" s="25"/>
      <c r="FK384" s="25"/>
      <c r="FL384" s="25"/>
      <c r="FM384" s="25"/>
      <c r="FN384" s="25"/>
      <c r="FO384" s="25"/>
      <c r="FP384" s="25"/>
      <c r="FQ384" s="25"/>
      <c r="FR384" s="25"/>
      <c r="FS384" s="25"/>
      <c r="FT384" s="25"/>
      <c r="FU384" s="25"/>
      <c r="FV384" s="25"/>
      <c r="FW384" s="25"/>
      <c r="FX384" s="25"/>
      <c r="FY384" s="25"/>
      <c r="FZ384" s="25"/>
      <c r="GA384" s="25"/>
      <c r="GB384" s="25"/>
      <c r="GC384" s="25"/>
      <c r="GD384" s="25"/>
      <c r="GE384" s="25"/>
      <c r="GF384" s="25"/>
      <c r="GG384" s="25"/>
    </row>
    <row r="385" spans="1:189" s="28" customFormat="1" ht="78.75" x14ac:dyDescent="0.25">
      <c r="A385" s="42" t="s">
        <v>344</v>
      </c>
      <c r="B385" s="34">
        <f t="shared" si="273"/>
        <v>297094</v>
      </c>
      <c r="C385" s="34">
        <f t="shared" si="273"/>
        <v>297094</v>
      </c>
      <c r="D385" s="34">
        <f t="shared" si="273"/>
        <v>0</v>
      </c>
      <c r="E385" s="34"/>
      <c r="F385" s="34"/>
      <c r="G385" s="34">
        <f t="shared" si="303"/>
        <v>0</v>
      </c>
      <c r="H385" s="34"/>
      <c r="I385" s="34"/>
      <c r="J385" s="34">
        <f t="shared" si="260"/>
        <v>0</v>
      </c>
      <c r="K385" s="34"/>
      <c r="L385" s="34"/>
      <c r="M385" s="34">
        <f t="shared" si="262"/>
        <v>0</v>
      </c>
      <c r="N385" s="34">
        <f>170764+126330</f>
        <v>297094</v>
      </c>
      <c r="O385" s="34">
        <f>170764+126330</f>
        <v>297094</v>
      </c>
      <c r="P385" s="34">
        <f t="shared" si="264"/>
        <v>0</v>
      </c>
      <c r="Q385" s="34"/>
      <c r="R385" s="34"/>
      <c r="S385" s="34">
        <f t="shared" si="266"/>
        <v>0</v>
      </c>
      <c r="T385" s="34"/>
      <c r="U385" s="34"/>
      <c r="V385" s="34">
        <f t="shared" si="268"/>
        <v>0</v>
      </c>
      <c r="W385" s="34"/>
      <c r="X385" s="34"/>
      <c r="Y385" s="34">
        <f t="shared" si="270"/>
        <v>0</v>
      </c>
      <c r="Z385" s="34"/>
      <c r="AA385" s="34"/>
      <c r="AB385" s="34">
        <f t="shared" si="272"/>
        <v>0</v>
      </c>
    </row>
    <row r="386" spans="1:189" s="28" customFormat="1" x14ac:dyDescent="0.25">
      <c r="A386" s="30" t="s">
        <v>345</v>
      </c>
      <c r="B386" s="34">
        <f t="shared" si="273"/>
        <v>3831</v>
      </c>
      <c r="C386" s="34">
        <f t="shared" si="273"/>
        <v>3831</v>
      </c>
      <c r="D386" s="34">
        <f t="shared" si="273"/>
        <v>0</v>
      </c>
      <c r="E386" s="34"/>
      <c r="F386" s="34"/>
      <c r="G386" s="34">
        <f t="shared" si="303"/>
        <v>0</v>
      </c>
      <c r="H386" s="34"/>
      <c r="I386" s="34"/>
      <c r="J386" s="34">
        <f t="shared" si="260"/>
        <v>0</v>
      </c>
      <c r="K386" s="34">
        <f>3866-35</f>
        <v>3831</v>
      </c>
      <c r="L386" s="34">
        <f>3866-35</f>
        <v>3831</v>
      </c>
      <c r="M386" s="34">
        <f t="shared" si="262"/>
        <v>0</v>
      </c>
      <c r="N386" s="34"/>
      <c r="O386" s="34"/>
      <c r="P386" s="34">
        <f t="shared" si="264"/>
        <v>0</v>
      </c>
      <c r="Q386" s="34"/>
      <c r="R386" s="34"/>
      <c r="S386" s="34">
        <f t="shared" si="266"/>
        <v>0</v>
      </c>
      <c r="T386" s="34"/>
      <c r="U386" s="34"/>
      <c r="V386" s="34">
        <f t="shared" si="268"/>
        <v>0</v>
      </c>
      <c r="W386" s="34"/>
      <c r="X386" s="34"/>
      <c r="Y386" s="34">
        <f t="shared" si="270"/>
        <v>0</v>
      </c>
      <c r="Z386" s="34"/>
      <c r="AA386" s="34"/>
      <c r="AB386" s="34">
        <f t="shared" si="272"/>
        <v>0</v>
      </c>
    </row>
    <row r="387" spans="1:189" s="28" customFormat="1" ht="31.5" x14ac:dyDescent="0.25">
      <c r="A387" s="30" t="s">
        <v>346</v>
      </c>
      <c r="B387" s="34">
        <f t="shared" si="273"/>
        <v>0</v>
      </c>
      <c r="C387" s="34">
        <f t="shared" si="273"/>
        <v>1324</v>
      </c>
      <c r="D387" s="34">
        <f t="shared" si="273"/>
        <v>1324</v>
      </c>
      <c r="E387" s="34"/>
      <c r="F387" s="34"/>
      <c r="G387" s="34">
        <f t="shared" si="303"/>
        <v>0</v>
      </c>
      <c r="H387" s="34"/>
      <c r="I387" s="34"/>
      <c r="J387" s="34">
        <f t="shared" si="260"/>
        <v>0</v>
      </c>
      <c r="K387" s="34"/>
      <c r="L387" s="34">
        <v>1324</v>
      </c>
      <c r="M387" s="34">
        <f t="shared" si="262"/>
        <v>1324</v>
      </c>
      <c r="N387" s="34"/>
      <c r="O387" s="34"/>
      <c r="P387" s="34">
        <f t="shared" si="264"/>
        <v>0</v>
      </c>
      <c r="Q387" s="34"/>
      <c r="R387" s="34"/>
      <c r="S387" s="34">
        <f t="shared" si="266"/>
        <v>0</v>
      </c>
      <c r="T387" s="34"/>
      <c r="U387" s="34"/>
      <c r="V387" s="34">
        <f t="shared" si="268"/>
        <v>0</v>
      </c>
      <c r="W387" s="34"/>
      <c r="X387" s="34"/>
      <c r="Y387" s="34">
        <f t="shared" si="270"/>
        <v>0</v>
      </c>
      <c r="Z387" s="34"/>
      <c r="AA387" s="34"/>
      <c r="AB387" s="34">
        <f t="shared" si="272"/>
        <v>0</v>
      </c>
    </row>
    <row r="388" spans="1:189" s="28" customFormat="1" x14ac:dyDescent="0.25">
      <c r="A388" s="30" t="s">
        <v>347</v>
      </c>
      <c r="B388" s="34">
        <f t="shared" si="273"/>
        <v>1336</v>
      </c>
      <c r="C388" s="34">
        <f t="shared" si="273"/>
        <v>1336</v>
      </c>
      <c r="D388" s="34">
        <f t="shared" si="273"/>
        <v>0</v>
      </c>
      <c r="E388" s="34"/>
      <c r="F388" s="34"/>
      <c r="G388" s="34">
        <f t="shared" si="303"/>
        <v>0</v>
      </c>
      <c r="H388" s="34"/>
      <c r="I388" s="34"/>
      <c r="J388" s="34">
        <f t="shared" si="260"/>
        <v>0</v>
      </c>
      <c r="K388" s="34">
        <v>1336</v>
      </c>
      <c r="L388" s="34">
        <v>1336</v>
      </c>
      <c r="M388" s="34">
        <f t="shared" si="262"/>
        <v>0</v>
      </c>
      <c r="N388" s="34"/>
      <c r="O388" s="34"/>
      <c r="P388" s="34">
        <f t="shared" si="264"/>
        <v>0</v>
      </c>
      <c r="Q388" s="34"/>
      <c r="R388" s="34"/>
      <c r="S388" s="34">
        <f t="shared" si="266"/>
        <v>0</v>
      </c>
      <c r="T388" s="34"/>
      <c r="U388" s="34"/>
      <c r="V388" s="34">
        <f t="shared" si="268"/>
        <v>0</v>
      </c>
      <c r="W388" s="34"/>
      <c r="X388" s="34"/>
      <c r="Y388" s="34">
        <f t="shared" si="270"/>
        <v>0</v>
      </c>
      <c r="Z388" s="34"/>
      <c r="AA388" s="34"/>
      <c r="AB388" s="34">
        <f t="shared" si="272"/>
        <v>0</v>
      </c>
    </row>
    <row r="389" spans="1:189" s="28" customFormat="1" ht="31.5" x14ac:dyDescent="0.25">
      <c r="A389" s="30" t="s">
        <v>348</v>
      </c>
      <c r="B389" s="34">
        <f t="shared" si="273"/>
        <v>0</v>
      </c>
      <c r="C389" s="34">
        <f t="shared" si="273"/>
        <v>1350</v>
      </c>
      <c r="D389" s="34">
        <f t="shared" si="273"/>
        <v>1350</v>
      </c>
      <c r="E389" s="34"/>
      <c r="F389" s="34"/>
      <c r="G389" s="34">
        <f t="shared" si="303"/>
        <v>0</v>
      </c>
      <c r="H389" s="34"/>
      <c r="I389" s="34"/>
      <c r="J389" s="34">
        <f t="shared" si="260"/>
        <v>0</v>
      </c>
      <c r="K389" s="34"/>
      <c r="L389" s="34">
        <v>1350</v>
      </c>
      <c r="M389" s="34">
        <f t="shared" si="262"/>
        <v>1350</v>
      </c>
      <c r="N389" s="34"/>
      <c r="O389" s="34"/>
      <c r="P389" s="34">
        <f t="shared" si="264"/>
        <v>0</v>
      </c>
      <c r="Q389" s="34"/>
      <c r="R389" s="34"/>
      <c r="S389" s="34">
        <f t="shared" si="266"/>
        <v>0</v>
      </c>
      <c r="T389" s="34"/>
      <c r="U389" s="34"/>
      <c r="V389" s="34">
        <f t="shared" si="268"/>
        <v>0</v>
      </c>
      <c r="W389" s="34"/>
      <c r="X389" s="34"/>
      <c r="Y389" s="34">
        <f t="shared" si="270"/>
        <v>0</v>
      </c>
      <c r="Z389" s="34"/>
      <c r="AA389" s="34"/>
      <c r="AB389" s="34">
        <f t="shared" si="272"/>
        <v>0</v>
      </c>
    </row>
    <row r="390" spans="1:189" s="28" customFormat="1" ht="31.5" x14ac:dyDescent="0.25">
      <c r="A390" s="30" t="s">
        <v>349</v>
      </c>
      <c r="B390" s="34">
        <f t="shared" si="273"/>
        <v>5000</v>
      </c>
      <c r="C390" s="34">
        <f t="shared" si="273"/>
        <v>5000</v>
      </c>
      <c r="D390" s="34">
        <f t="shared" si="273"/>
        <v>0</v>
      </c>
      <c r="E390" s="34"/>
      <c r="F390" s="34"/>
      <c r="G390" s="34">
        <f t="shared" si="303"/>
        <v>0</v>
      </c>
      <c r="H390" s="34"/>
      <c r="I390" s="34"/>
      <c r="J390" s="34">
        <f t="shared" si="260"/>
        <v>0</v>
      </c>
      <c r="K390" s="34">
        <v>5000</v>
      </c>
      <c r="L390" s="34">
        <v>5000</v>
      </c>
      <c r="M390" s="34">
        <f t="shared" si="262"/>
        <v>0</v>
      </c>
      <c r="N390" s="34"/>
      <c r="O390" s="34"/>
      <c r="P390" s="34">
        <f t="shared" si="264"/>
        <v>0</v>
      </c>
      <c r="Q390" s="34"/>
      <c r="R390" s="34"/>
      <c r="S390" s="34">
        <f t="shared" si="266"/>
        <v>0</v>
      </c>
      <c r="T390" s="34"/>
      <c r="U390" s="34"/>
      <c r="V390" s="34">
        <f t="shared" si="268"/>
        <v>0</v>
      </c>
      <c r="W390" s="34"/>
      <c r="X390" s="34"/>
      <c r="Y390" s="34">
        <f t="shared" si="270"/>
        <v>0</v>
      </c>
      <c r="Z390" s="34"/>
      <c r="AA390" s="34"/>
      <c r="AB390" s="34">
        <f t="shared" si="272"/>
        <v>0</v>
      </c>
    </row>
    <row r="391" spans="1:189" s="28" customFormat="1" x14ac:dyDescent="0.25">
      <c r="A391" s="26" t="s">
        <v>191</v>
      </c>
      <c r="B391" s="27">
        <f t="shared" si="273"/>
        <v>447000</v>
      </c>
      <c r="C391" s="27">
        <f t="shared" si="273"/>
        <v>447000</v>
      </c>
      <c r="D391" s="27">
        <f t="shared" si="273"/>
        <v>0</v>
      </c>
      <c r="E391" s="27">
        <f t="shared" ref="E391:AA391" si="339">SUM(E392:E395)</f>
        <v>177000</v>
      </c>
      <c r="F391" s="27">
        <f t="shared" si="339"/>
        <v>177000</v>
      </c>
      <c r="G391" s="27">
        <f t="shared" si="303"/>
        <v>0</v>
      </c>
      <c r="H391" s="27">
        <f t="shared" ref="H391" si="340">SUM(H392:H395)</f>
        <v>0</v>
      </c>
      <c r="I391" s="27">
        <f t="shared" si="339"/>
        <v>0</v>
      </c>
      <c r="J391" s="27">
        <f t="shared" si="260"/>
        <v>0</v>
      </c>
      <c r="K391" s="27">
        <f t="shared" ref="K391" si="341">SUM(K392:K395)</f>
        <v>91200</v>
      </c>
      <c r="L391" s="27">
        <f t="shared" si="339"/>
        <v>91200</v>
      </c>
      <c r="M391" s="27">
        <f t="shared" si="262"/>
        <v>0</v>
      </c>
      <c r="N391" s="27">
        <f t="shared" ref="N391" si="342">SUM(N392:N395)</f>
        <v>0</v>
      </c>
      <c r="O391" s="27">
        <f t="shared" si="339"/>
        <v>0</v>
      </c>
      <c r="P391" s="27">
        <f t="shared" si="264"/>
        <v>0</v>
      </c>
      <c r="Q391" s="27">
        <f t="shared" ref="Q391" si="343">SUM(Q392:Q395)</f>
        <v>0</v>
      </c>
      <c r="R391" s="27">
        <f t="shared" si="339"/>
        <v>0</v>
      </c>
      <c r="S391" s="27">
        <f t="shared" si="266"/>
        <v>0</v>
      </c>
      <c r="T391" s="27">
        <f t="shared" ref="T391" si="344">SUM(T392:T395)</f>
        <v>0</v>
      </c>
      <c r="U391" s="27">
        <f t="shared" si="339"/>
        <v>0</v>
      </c>
      <c r="V391" s="27">
        <f t="shared" si="268"/>
        <v>0</v>
      </c>
      <c r="W391" s="27">
        <f t="shared" ref="W391" si="345">SUM(W392:W395)</f>
        <v>0</v>
      </c>
      <c r="X391" s="27">
        <f t="shared" si="339"/>
        <v>0</v>
      </c>
      <c r="Y391" s="27">
        <f t="shared" si="270"/>
        <v>0</v>
      </c>
      <c r="Z391" s="27">
        <f t="shared" ref="Z391" si="346">SUM(Z392:Z395)</f>
        <v>178800</v>
      </c>
      <c r="AA391" s="27">
        <f t="shared" si="339"/>
        <v>178800</v>
      </c>
      <c r="AB391" s="27">
        <f t="shared" si="272"/>
        <v>0</v>
      </c>
      <c r="AC391" s="25"/>
      <c r="AD391" s="25"/>
      <c r="AE391" s="25"/>
      <c r="AF391" s="25"/>
      <c r="AG391" s="25"/>
      <c r="AH391" s="25"/>
      <c r="AI391" s="25"/>
      <c r="AJ391" s="25"/>
      <c r="AK391" s="25"/>
      <c r="AL391" s="25"/>
      <c r="AM391" s="25"/>
      <c r="AN391" s="25"/>
      <c r="AO391" s="25"/>
      <c r="AP391" s="25"/>
      <c r="AQ391" s="25"/>
      <c r="AR391" s="25"/>
      <c r="AS391" s="25"/>
      <c r="AT391" s="25"/>
      <c r="AU391" s="25"/>
      <c r="AV391" s="25"/>
      <c r="AW391" s="25"/>
      <c r="AX391" s="25"/>
      <c r="AY391" s="25"/>
      <c r="AZ391" s="25"/>
      <c r="BA391" s="25"/>
      <c r="BB391" s="25"/>
      <c r="BC391" s="25"/>
      <c r="BD391" s="25"/>
      <c r="BE391" s="25"/>
      <c r="BF391" s="25"/>
      <c r="BG391" s="25"/>
      <c r="BH391" s="25"/>
      <c r="BI391" s="25"/>
      <c r="BJ391" s="25"/>
      <c r="BK391" s="25"/>
      <c r="BL391" s="25"/>
      <c r="BM391" s="25"/>
      <c r="BN391" s="25"/>
      <c r="BO391" s="25"/>
      <c r="BP391" s="25"/>
      <c r="BQ391" s="25"/>
      <c r="BR391" s="25"/>
      <c r="BS391" s="25"/>
      <c r="BT391" s="25"/>
      <c r="BU391" s="25"/>
      <c r="BV391" s="25"/>
      <c r="BW391" s="25"/>
      <c r="BX391" s="25"/>
      <c r="BY391" s="25"/>
      <c r="BZ391" s="25"/>
      <c r="CA391" s="25"/>
      <c r="CB391" s="25"/>
      <c r="CC391" s="25"/>
      <c r="CD391" s="25"/>
      <c r="CE391" s="25"/>
      <c r="CF391" s="25"/>
      <c r="CG391" s="25"/>
      <c r="CH391" s="25"/>
      <c r="CI391" s="25"/>
      <c r="CJ391" s="25"/>
      <c r="CK391" s="25"/>
      <c r="CL391" s="25"/>
      <c r="CM391" s="25"/>
      <c r="CN391" s="25"/>
      <c r="CO391" s="25"/>
      <c r="CP391" s="25"/>
      <c r="CQ391" s="25"/>
      <c r="CR391" s="25"/>
      <c r="CS391" s="25"/>
      <c r="CT391" s="25"/>
      <c r="CU391" s="25"/>
      <c r="CV391" s="25"/>
      <c r="CW391" s="25"/>
      <c r="CX391" s="25"/>
      <c r="CY391" s="25"/>
      <c r="CZ391" s="25"/>
      <c r="DA391" s="25"/>
      <c r="DB391" s="25"/>
      <c r="DC391" s="25"/>
      <c r="DD391" s="25"/>
      <c r="DE391" s="25"/>
      <c r="DF391" s="25"/>
      <c r="DG391" s="25"/>
      <c r="DH391" s="25"/>
      <c r="DI391" s="25"/>
      <c r="DJ391" s="25"/>
      <c r="DK391" s="25"/>
      <c r="DL391" s="25"/>
      <c r="DM391" s="25"/>
      <c r="DN391" s="25"/>
      <c r="DO391" s="25"/>
      <c r="DP391" s="25"/>
      <c r="DQ391" s="25"/>
      <c r="DR391" s="25"/>
      <c r="DS391" s="25"/>
      <c r="DT391" s="25"/>
      <c r="DU391" s="25"/>
      <c r="DV391" s="25"/>
      <c r="DW391" s="25"/>
      <c r="DX391" s="25"/>
      <c r="DY391" s="25"/>
      <c r="DZ391" s="25"/>
      <c r="EA391" s="25"/>
      <c r="EB391" s="25"/>
      <c r="EC391" s="25"/>
      <c r="ED391" s="25"/>
      <c r="EE391" s="25"/>
      <c r="EF391" s="25"/>
      <c r="EG391" s="25"/>
      <c r="EH391" s="25"/>
      <c r="EI391" s="25"/>
      <c r="EJ391" s="25"/>
      <c r="EK391" s="25"/>
      <c r="EL391" s="25"/>
      <c r="EM391" s="25"/>
      <c r="EN391" s="25"/>
      <c r="EO391" s="25"/>
      <c r="EP391" s="25"/>
      <c r="EQ391" s="25"/>
      <c r="ER391" s="25"/>
      <c r="ES391" s="25"/>
      <c r="ET391" s="25"/>
      <c r="EU391" s="25"/>
      <c r="EV391" s="25"/>
      <c r="EW391" s="25"/>
      <c r="EX391" s="25"/>
      <c r="EY391" s="25"/>
      <c r="EZ391" s="25"/>
      <c r="FA391" s="25"/>
      <c r="FB391" s="25"/>
      <c r="FC391" s="25"/>
      <c r="FD391" s="25"/>
      <c r="FE391" s="25"/>
      <c r="FF391" s="25"/>
      <c r="FG391" s="25"/>
      <c r="FH391" s="25"/>
      <c r="FI391" s="25"/>
      <c r="FJ391" s="25"/>
      <c r="FK391" s="25"/>
      <c r="FL391" s="25"/>
      <c r="FM391" s="25"/>
      <c r="FN391" s="25"/>
      <c r="FO391" s="25"/>
      <c r="FP391" s="25"/>
      <c r="FQ391" s="25"/>
      <c r="FR391" s="25"/>
      <c r="FS391" s="25"/>
      <c r="FT391" s="25"/>
      <c r="FU391" s="25"/>
      <c r="FV391" s="25"/>
      <c r="FW391" s="25"/>
      <c r="FX391" s="25"/>
      <c r="FY391" s="25"/>
      <c r="FZ391" s="25"/>
      <c r="GA391" s="25"/>
      <c r="GB391" s="25"/>
      <c r="GC391" s="25"/>
      <c r="GD391" s="25"/>
      <c r="GE391" s="25"/>
      <c r="GF391" s="25"/>
      <c r="GG391" s="25"/>
    </row>
    <row r="392" spans="1:189" s="28" customFormat="1" ht="47.25" x14ac:dyDescent="0.25">
      <c r="A392" s="33" t="s">
        <v>350</v>
      </c>
      <c r="B392" s="34">
        <f t="shared" si="273"/>
        <v>5500</v>
      </c>
      <c r="C392" s="34">
        <f t="shared" si="273"/>
        <v>5500</v>
      </c>
      <c r="D392" s="34">
        <f t="shared" si="273"/>
        <v>0</v>
      </c>
      <c r="E392" s="34"/>
      <c r="F392" s="34"/>
      <c r="G392" s="34">
        <f t="shared" si="303"/>
        <v>0</v>
      </c>
      <c r="H392" s="34"/>
      <c r="I392" s="34"/>
      <c r="J392" s="34">
        <f t="shared" si="260"/>
        <v>0</v>
      </c>
      <c r="K392" s="34">
        <v>5500</v>
      </c>
      <c r="L392" s="34">
        <v>5500</v>
      </c>
      <c r="M392" s="34">
        <f t="shared" si="262"/>
        <v>0</v>
      </c>
      <c r="N392" s="34"/>
      <c r="O392" s="34"/>
      <c r="P392" s="34">
        <f t="shared" si="264"/>
        <v>0</v>
      </c>
      <c r="Q392" s="34"/>
      <c r="R392" s="34"/>
      <c r="S392" s="34">
        <f t="shared" si="266"/>
        <v>0</v>
      </c>
      <c r="T392" s="34"/>
      <c r="U392" s="34"/>
      <c r="V392" s="34">
        <f t="shared" si="268"/>
        <v>0</v>
      </c>
      <c r="W392" s="34"/>
      <c r="X392" s="34"/>
      <c r="Y392" s="34">
        <f t="shared" si="270"/>
        <v>0</v>
      </c>
      <c r="Z392" s="34"/>
      <c r="AA392" s="34"/>
      <c r="AB392" s="34">
        <f t="shared" si="272"/>
        <v>0</v>
      </c>
      <c r="FN392" s="25"/>
      <c r="FO392" s="25"/>
      <c r="FP392" s="25"/>
      <c r="FQ392" s="25"/>
      <c r="FR392" s="25"/>
      <c r="FS392" s="25"/>
      <c r="FT392" s="25"/>
      <c r="FU392" s="25"/>
      <c r="FV392" s="25"/>
      <c r="FW392" s="25"/>
      <c r="FX392" s="25"/>
      <c r="FY392" s="25"/>
      <c r="FZ392" s="25"/>
      <c r="GA392" s="25"/>
      <c r="GB392" s="25"/>
      <c r="GC392" s="25"/>
      <c r="GD392" s="25"/>
      <c r="GE392" s="25"/>
      <c r="GF392" s="25"/>
      <c r="GG392" s="25"/>
    </row>
    <row r="393" spans="1:189" s="28" customFormat="1" ht="31.5" x14ac:dyDescent="0.25">
      <c r="A393" s="33" t="s">
        <v>351</v>
      </c>
      <c r="B393" s="34">
        <f t="shared" si="273"/>
        <v>36700</v>
      </c>
      <c r="C393" s="34">
        <f t="shared" si="273"/>
        <v>36700</v>
      </c>
      <c r="D393" s="34">
        <f t="shared" si="273"/>
        <v>0</v>
      </c>
      <c r="E393" s="34"/>
      <c r="F393" s="34"/>
      <c r="G393" s="34">
        <f t="shared" si="303"/>
        <v>0</v>
      </c>
      <c r="H393" s="34"/>
      <c r="I393" s="34"/>
      <c r="J393" s="34">
        <f t="shared" si="260"/>
        <v>0</v>
      </c>
      <c r="K393" s="34">
        <v>36700</v>
      </c>
      <c r="L393" s="34">
        <v>36700</v>
      </c>
      <c r="M393" s="34">
        <f t="shared" si="262"/>
        <v>0</v>
      </c>
      <c r="N393" s="34"/>
      <c r="O393" s="34"/>
      <c r="P393" s="34">
        <f t="shared" si="264"/>
        <v>0</v>
      </c>
      <c r="Q393" s="34"/>
      <c r="R393" s="34"/>
      <c r="S393" s="34">
        <f t="shared" si="266"/>
        <v>0</v>
      </c>
      <c r="T393" s="34"/>
      <c r="U393" s="34"/>
      <c r="V393" s="34">
        <f t="shared" si="268"/>
        <v>0</v>
      </c>
      <c r="W393" s="34"/>
      <c r="X393" s="34"/>
      <c r="Y393" s="34">
        <f t="shared" si="270"/>
        <v>0</v>
      </c>
      <c r="Z393" s="34"/>
      <c r="AA393" s="34"/>
      <c r="AB393" s="34">
        <f t="shared" si="272"/>
        <v>0</v>
      </c>
      <c r="FN393" s="25"/>
      <c r="FO393" s="25"/>
      <c r="FP393" s="25"/>
      <c r="FQ393" s="25"/>
      <c r="FR393" s="25"/>
      <c r="FS393" s="25"/>
      <c r="FT393" s="25"/>
      <c r="FU393" s="25"/>
      <c r="FV393" s="25"/>
      <c r="FW393" s="25"/>
      <c r="FX393" s="25"/>
      <c r="FY393" s="25"/>
      <c r="FZ393" s="25"/>
      <c r="GA393" s="25"/>
      <c r="GB393" s="25"/>
      <c r="GC393" s="25"/>
      <c r="GD393" s="25"/>
      <c r="GE393" s="25"/>
      <c r="GF393" s="25"/>
      <c r="GG393" s="25"/>
    </row>
    <row r="394" spans="1:189" s="28" customFormat="1" ht="31.5" x14ac:dyDescent="0.25">
      <c r="A394" s="33" t="s">
        <v>352</v>
      </c>
      <c r="B394" s="34">
        <f t="shared" si="273"/>
        <v>355800</v>
      </c>
      <c r="C394" s="34">
        <f t="shared" si="273"/>
        <v>355800</v>
      </c>
      <c r="D394" s="34">
        <f t="shared" si="273"/>
        <v>0</v>
      </c>
      <c r="E394" s="34">
        <v>177000</v>
      </c>
      <c r="F394" s="34">
        <v>177000</v>
      </c>
      <c r="G394" s="34">
        <f t="shared" si="303"/>
        <v>0</v>
      </c>
      <c r="H394" s="34"/>
      <c r="I394" s="34"/>
      <c r="J394" s="34">
        <f t="shared" si="260"/>
        <v>0</v>
      </c>
      <c r="K394" s="34"/>
      <c r="L394" s="34"/>
      <c r="M394" s="34">
        <f t="shared" si="262"/>
        <v>0</v>
      </c>
      <c r="N394" s="34"/>
      <c r="O394" s="34"/>
      <c r="P394" s="34">
        <f t="shared" si="264"/>
        <v>0</v>
      </c>
      <c r="Q394" s="34"/>
      <c r="R394" s="34"/>
      <c r="S394" s="34">
        <f t="shared" si="266"/>
        <v>0</v>
      </c>
      <c r="T394" s="34"/>
      <c r="U394" s="34"/>
      <c r="V394" s="34">
        <f t="shared" si="268"/>
        <v>0</v>
      </c>
      <c r="W394" s="34"/>
      <c r="X394" s="34"/>
      <c r="Y394" s="34">
        <f t="shared" si="270"/>
        <v>0</v>
      </c>
      <c r="Z394" s="34">
        <v>178800</v>
      </c>
      <c r="AA394" s="34">
        <v>178800</v>
      </c>
      <c r="AB394" s="34">
        <f t="shared" si="272"/>
        <v>0</v>
      </c>
      <c r="FN394" s="25"/>
      <c r="FO394" s="25"/>
      <c r="FP394" s="25"/>
      <c r="FQ394" s="25"/>
      <c r="FR394" s="25"/>
      <c r="FS394" s="25"/>
      <c r="FT394" s="25"/>
      <c r="FU394" s="25"/>
      <c r="FV394" s="25"/>
      <c r="FW394" s="25"/>
      <c r="FX394" s="25"/>
      <c r="FY394" s="25"/>
      <c r="FZ394" s="25"/>
      <c r="GA394" s="25"/>
      <c r="GB394" s="25"/>
      <c r="GC394" s="25"/>
      <c r="GD394" s="25"/>
      <c r="GE394" s="25"/>
      <c r="GF394" s="25"/>
      <c r="GG394" s="25"/>
    </row>
    <row r="395" spans="1:189" s="28" customFormat="1" ht="31.5" x14ac:dyDescent="0.25">
      <c r="A395" s="33" t="s">
        <v>353</v>
      </c>
      <c r="B395" s="34">
        <f t="shared" si="273"/>
        <v>49000</v>
      </c>
      <c r="C395" s="34">
        <f t="shared" si="273"/>
        <v>49000</v>
      </c>
      <c r="D395" s="34">
        <f t="shared" si="273"/>
        <v>0</v>
      </c>
      <c r="E395" s="34"/>
      <c r="F395" s="34"/>
      <c r="G395" s="34">
        <f t="shared" si="303"/>
        <v>0</v>
      </c>
      <c r="H395" s="34"/>
      <c r="I395" s="34"/>
      <c r="J395" s="34">
        <f t="shared" si="260"/>
        <v>0</v>
      </c>
      <c r="K395" s="34">
        <v>49000</v>
      </c>
      <c r="L395" s="34">
        <v>49000</v>
      </c>
      <c r="M395" s="34">
        <f t="shared" si="262"/>
        <v>0</v>
      </c>
      <c r="N395" s="34"/>
      <c r="O395" s="34"/>
      <c r="P395" s="34">
        <f t="shared" si="264"/>
        <v>0</v>
      </c>
      <c r="Q395" s="34"/>
      <c r="R395" s="34"/>
      <c r="S395" s="34">
        <f t="shared" si="266"/>
        <v>0</v>
      </c>
      <c r="T395" s="34"/>
      <c r="U395" s="34"/>
      <c r="V395" s="34">
        <f t="shared" si="268"/>
        <v>0</v>
      </c>
      <c r="W395" s="34"/>
      <c r="X395" s="34"/>
      <c r="Y395" s="34">
        <f t="shared" si="270"/>
        <v>0</v>
      </c>
      <c r="Z395" s="34"/>
      <c r="AA395" s="34"/>
      <c r="AB395" s="34">
        <f t="shared" si="272"/>
        <v>0</v>
      </c>
      <c r="FN395" s="25"/>
      <c r="FO395" s="25"/>
      <c r="FP395" s="25"/>
      <c r="FQ395" s="25"/>
      <c r="FR395" s="25"/>
      <c r="FS395" s="25"/>
      <c r="FT395" s="25"/>
      <c r="FU395" s="25"/>
      <c r="FV395" s="25"/>
      <c r="FW395" s="25"/>
      <c r="FX395" s="25"/>
      <c r="FY395" s="25"/>
      <c r="FZ395" s="25"/>
      <c r="GA395" s="25"/>
      <c r="GB395" s="25"/>
      <c r="GC395" s="25"/>
      <c r="GD395" s="25"/>
      <c r="GE395" s="25"/>
      <c r="GF395" s="25"/>
      <c r="GG395" s="25"/>
    </row>
    <row r="396" spans="1:189" s="28" customFormat="1" x14ac:dyDescent="0.25">
      <c r="A396" s="26" t="s">
        <v>162</v>
      </c>
      <c r="B396" s="27">
        <f t="shared" si="273"/>
        <v>2400593</v>
      </c>
      <c r="C396" s="27">
        <f t="shared" si="273"/>
        <v>2400593</v>
      </c>
      <c r="D396" s="27">
        <f t="shared" si="273"/>
        <v>0</v>
      </c>
      <c r="E396" s="27">
        <f>SUM(E397,E400,E402,E404)</f>
        <v>0</v>
      </c>
      <c r="F396" s="27">
        <f>SUM(F397,F400,F402,F404)</f>
        <v>0</v>
      </c>
      <c r="G396" s="27">
        <f t="shared" si="303"/>
        <v>0</v>
      </c>
      <c r="H396" s="27">
        <f t="shared" ref="H396:I396" si="347">SUM(H397,H400,H402,H404)</f>
        <v>0</v>
      </c>
      <c r="I396" s="27">
        <f t="shared" si="347"/>
        <v>0</v>
      </c>
      <c r="J396" s="27">
        <f t="shared" si="260"/>
        <v>0</v>
      </c>
      <c r="K396" s="27">
        <f t="shared" ref="K396:L396" si="348">SUM(K397,K400,K402,K404)</f>
        <v>3318</v>
      </c>
      <c r="L396" s="27">
        <f t="shared" si="348"/>
        <v>3318</v>
      </c>
      <c r="M396" s="27">
        <f t="shared" si="262"/>
        <v>0</v>
      </c>
      <c r="N396" s="27">
        <f t="shared" ref="N396:O396" si="349">SUM(N397,N400,N402,N404)</f>
        <v>2397275</v>
      </c>
      <c r="O396" s="27">
        <f t="shared" si="349"/>
        <v>2397275</v>
      </c>
      <c r="P396" s="27">
        <f t="shared" si="264"/>
        <v>0</v>
      </c>
      <c r="Q396" s="27">
        <f t="shared" ref="Q396:R396" si="350">SUM(Q397,Q400,Q402,Q404)</f>
        <v>0</v>
      </c>
      <c r="R396" s="27">
        <f t="shared" si="350"/>
        <v>0</v>
      </c>
      <c r="S396" s="27">
        <f t="shared" si="266"/>
        <v>0</v>
      </c>
      <c r="T396" s="27">
        <f t="shared" ref="T396:U396" si="351">SUM(T397,T400,T402,T404)</f>
        <v>0</v>
      </c>
      <c r="U396" s="27">
        <f t="shared" si="351"/>
        <v>0</v>
      </c>
      <c r="V396" s="27">
        <f t="shared" si="268"/>
        <v>0</v>
      </c>
      <c r="W396" s="27">
        <f t="shared" ref="W396:X396" si="352">SUM(W397,W400,W402,W404)</f>
        <v>0</v>
      </c>
      <c r="X396" s="27">
        <f t="shared" si="352"/>
        <v>0</v>
      </c>
      <c r="Y396" s="27">
        <f t="shared" si="270"/>
        <v>0</v>
      </c>
      <c r="Z396" s="27">
        <f t="shared" ref="Z396:AA396" si="353">SUM(Z397,Z400,Z402,Z404)</f>
        <v>0</v>
      </c>
      <c r="AA396" s="27">
        <f t="shared" si="353"/>
        <v>0</v>
      </c>
      <c r="AB396" s="27">
        <f t="shared" si="272"/>
        <v>0</v>
      </c>
      <c r="FN396" s="25"/>
      <c r="FO396" s="25"/>
      <c r="FP396" s="25"/>
      <c r="FQ396" s="25"/>
      <c r="FR396" s="25"/>
      <c r="FS396" s="25"/>
      <c r="FT396" s="25"/>
      <c r="FU396" s="25"/>
      <c r="FV396" s="25"/>
      <c r="FW396" s="25"/>
      <c r="FX396" s="25"/>
      <c r="FY396" s="25"/>
      <c r="FZ396" s="25"/>
      <c r="GA396" s="25"/>
      <c r="GB396" s="25"/>
      <c r="GC396" s="25"/>
      <c r="GD396" s="25"/>
      <c r="GE396" s="25"/>
      <c r="GF396" s="25"/>
      <c r="GG396" s="25"/>
    </row>
    <row r="397" spans="1:189" s="28" customFormat="1" x14ac:dyDescent="0.25">
      <c r="A397" s="26" t="s">
        <v>169</v>
      </c>
      <c r="B397" s="27">
        <f t="shared" si="273"/>
        <v>3318</v>
      </c>
      <c r="C397" s="27">
        <f t="shared" si="273"/>
        <v>3318</v>
      </c>
      <c r="D397" s="27">
        <f t="shared" si="273"/>
        <v>0</v>
      </c>
      <c r="E397" s="27">
        <f t="shared" ref="E397:F397" si="354">SUM(E398:E399)</f>
        <v>0</v>
      </c>
      <c r="F397" s="27">
        <f t="shared" si="354"/>
        <v>0</v>
      </c>
      <c r="G397" s="27">
        <f t="shared" si="303"/>
        <v>0</v>
      </c>
      <c r="H397" s="27">
        <f t="shared" ref="H397:AA397" si="355">SUM(H398:H399)</f>
        <v>0</v>
      </c>
      <c r="I397" s="27">
        <f t="shared" si="355"/>
        <v>0</v>
      </c>
      <c r="J397" s="27">
        <f t="shared" si="260"/>
        <v>0</v>
      </c>
      <c r="K397" s="27">
        <f t="shared" ref="K397" si="356">SUM(K398:K399)</f>
        <v>3318</v>
      </c>
      <c r="L397" s="27">
        <f t="shared" si="355"/>
        <v>3318</v>
      </c>
      <c r="M397" s="27">
        <f t="shared" si="262"/>
        <v>0</v>
      </c>
      <c r="N397" s="27">
        <f t="shared" ref="N397" si="357">SUM(N398:N399)</f>
        <v>0</v>
      </c>
      <c r="O397" s="27">
        <f t="shared" si="355"/>
        <v>0</v>
      </c>
      <c r="P397" s="27">
        <f t="shared" si="264"/>
        <v>0</v>
      </c>
      <c r="Q397" s="27">
        <f t="shared" ref="Q397" si="358">SUM(Q398:Q399)</f>
        <v>0</v>
      </c>
      <c r="R397" s="27">
        <f t="shared" si="355"/>
        <v>0</v>
      </c>
      <c r="S397" s="27">
        <f t="shared" si="266"/>
        <v>0</v>
      </c>
      <c r="T397" s="27">
        <f t="shared" ref="T397" si="359">SUM(T398:T399)</f>
        <v>0</v>
      </c>
      <c r="U397" s="27">
        <f t="shared" si="355"/>
        <v>0</v>
      </c>
      <c r="V397" s="27">
        <f t="shared" si="268"/>
        <v>0</v>
      </c>
      <c r="W397" s="27">
        <f t="shared" ref="W397" si="360">SUM(W398:W399)</f>
        <v>0</v>
      </c>
      <c r="X397" s="27">
        <f t="shared" si="355"/>
        <v>0</v>
      </c>
      <c r="Y397" s="27">
        <f t="shared" si="270"/>
        <v>0</v>
      </c>
      <c r="Z397" s="27">
        <f t="shared" ref="Z397" si="361">SUM(Z398:Z399)</f>
        <v>0</v>
      </c>
      <c r="AA397" s="27">
        <f t="shared" si="355"/>
        <v>0</v>
      </c>
      <c r="AB397" s="27">
        <f t="shared" si="272"/>
        <v>0</v>
      </c>
      <c r="AC397" s="25"/>
      <c r="AD397" s="25"/>
      <c r="AE397" s="25"/>
      <c r="AF397" s="25"/>
      <c r="AG397" s="25"/>
      <c r="AH397" s="25"/>
      <c r="AI397" s="25"/>
      <c r="AJ397" s="25"/>
      <c r="AK397" s="25"/>
      <c r="AL397" s="25"/>
      <c r="AM397" s="25"/>
      <c r="AN397" s="25"/>
      <c r="AO397" s="25"/>
      <c r="AP397" s="25"/>
      <c r="AQ397" s="25"/>
      <c r="AR397" s="25"/>
      <c r="AS397" s="25"/>
      <c r="AT397" s="25"/>
      <c r="AU397" s="25"/>
      <c r="AV397" s="25"/>
      <c r="AW397" s="25"/>
      <c r="AX397" s="25"/>
      <c r="AY397" s="25"/>
      <c r="AZ397" s="25"/>
      <c r="BA397" s="25"/>
      <c r="BB397" s="25"/>
      <c r="BC397" s="25"/>
      <c r="BD397" s="25"/>
      <c r="BE397" s="25"/>
      <c r="BF397" s="25"/>
      <c r="BG397" s="25"/>
      <c r="BH397" s="25"/>
      <c r="BI397" s="25"/>
      <c r="BJ397" s="25"/>
      <c r="BK397" s="25"/>
      <c r="BL397" s="25"/>
      <c r="BM397" s="25"/>
      <c r="BN397" s="25"/>
      <c r="BO397" s="25"/>
      <c r="BP397" s="25"/>
      <c r="BQ397" s="25"/>
      <c r="BR397" s="25"/>
      <c r="BS397" s="25"/>
      <c r="BT397" s="25"/>
      <c r="BU397" s="25"/>
      <c r="BV397" s="25"/>
      <c r="BW397" s="25"/>
      <c r="BX397" s="25"/>
      <c r="BY397" s="25"/>
      <c r="BZ397" s="25"/>
      <c r="CA397" s="25"/>
      <c r="CB397" s="25"/>
      <c r="CC397" s="25"/>
      <c r="CD397" s="25"/>
      <c r="CE397" s="25"/>
      <c r="CF397" s="25"/>
      <c r="CG397" s="25"/>
      <c r="CH397" s="25"/>
      <c r="CI397" s="25"/>
      <c r="CJ397" s="25"/>
      <c r="CK397" s="25"/>
      <c r="CL397" s="25"/>
      <c r="CM397" s="25"/>
      <c r="CN397" s="25"/>
      <c r="CO397" s="25"/>
      <c r="CP397" s="25"/>
      <c r="CQ397" s="25"/>
      <c r="CR397" s="25"/>
      <c r="CS397" s="25"/>
      <c r="CT397" s="25"/>
      <c r="CU397" s="25"/>
      <c r="CV397" s="25"/>
      <c r="CW397" s="25"/>
      <c r="CX397" s="25"/>
      <c r="CY397" s="25"/>
      <c r="CZ397" s="25"/>
      <c r="DA397" s="25"/>
      <c r="DB397" s="25"/>
      <c r="DC397" s="25"/>
      <c r="DD397" s="25"/>
      <c r="DE397" s="25"/>
      <c r="DF397" s="25"/>
      <c r="DG397" s="25"/>
      <c r="DH397" s="25"/>
      <c r="DI397" s="25"/>
      <c r="DJ397" s="25"/>
      <c r="DK397" s="25"/>
      <c r="DL397" s="25"/>
      <c r="DM397" s="25"/>
      <c r="DN397" s="25"/>
      <c r="DO397" s="25"/>
      <c r="DP397" s="25"/>
      <c r="DQ397" s="25"/>
      <c r="DR397" s="25"/>
      <c r="DS397" s="25"/>
      <c r="DT397" s="25"/>
      <c r="DU397" s="25"/>
      <c r="DV397" s="25"/>
      <c r="DW397" s="25"/>
      <c r="DX397" s="25"/>
      <c r="DY397" s="25"/>
      <c r="DZ397" s="25"/>
      <c r="EA397" s="25"/>
      <c r="EB397" s="25"/>
      <c r="EC397" s="25"/>
      <c r="ED397" s="25"/>
      <c r="EE397" s="25"/>
      <c r="EF397" s="25"/>
      <c r="EG397" s="25"/>
      <c r="EH397" s="25"/>
      <c r="EI397" s="25"/>
      <c r="EJ397" s="25"/>
      <c r="EK397" s="25"/>
      <c r="EL397" s="25"/>
      <c r="EM397" s="25"/>
      <c r="EN397" s="25"/>
      <c r="EO397" s="25"/>
      <c r="EP397" s="25"/>
      <c r="EQ397" s="25"/>
      <c r="ER397" s="25"/>
      <c r="ES397" s="25"/>
      <c r="ET397" s="25"/>
      <c r="EU397" s="25"/>
      <c r="EV397" s="25"/>
      <c r="EW397" s="25"/>
      <c r="EX397" s="25"/>
      <c r="EY397" s="25"/>
      <c r="EZ397" s="25"/>
      <c r="FA397" s="25"/>
      <c r="FB397" s="25"/>
      <c r="FC397" s="25"/>
      <c r="FD397" s="25"/>
      <c r="FE397" s="25"/>
      <c r="FF397" s="25"/>
      <c r="FG397" s="25"/>
      <c r="FH397" s="25"/>
      <c r="FI397" s="25"/>
      <c r="FJ397" s="25"/>
      <c r="FK397" s="25"/>
      <c r="FL397" s="25"/>
      <c r="FM397" s="25"/>
    </row>
    <row r="398" spans="1:189" s="28" customFormat="1" ht="31.5" x14ac:dyDescent="0.25">
      <c r="A398" s="33" t="s">
        <v>354</v>
      </c>
      <c r="B398" s="34">
        <f t="shared" si="273"/>
        <v>2400</v>
      </c>
      <c r="C398" s="34">
        <f t="shared" si="273"/>
        <v>2400</v>
      </c>
      <c r="D398" s="34">
        <f t="shared" si="273"/>
        <v>0</v>
      </c>
      <c r="E398" s="34"/>
      <c r="F398" s="34"/>
      <c r="G398" s="34">
        <f t="shared" si="303"/>
        <v>0</v>
      </c>
      <c r="H398" s="34"/>
      <c r="I398" s="34"/>
      <c r="J398" s="34">
        <f t="shared" si="260"/>
        <v>0</v>
      </c>
      <c r="K398" s="34">
        <v>2400</v>
      </c>
      <c r="L398" s="34">
        <v>2400</v>
      </c>
      <c r="M398" s="34">
        <f t="shared" si="262"/>
        <v>0</v>
      </c>
      <c r="N398" s="34"/>
      <c r="O398" s="34"/>
      <c r="P398" s="34">
        <f t="shared" si="264"/>
        <v>0</v>
      </c>
      <c r="Q398" s="34"/>
      <c r="R398" s="34"/>
      <c r="S398" s="34">
        <f t="shared" si="266"/>
        <v>0</v>
      </c>
      <c r="T398" s="34"/>
      <c r="U398" s="34"/>
      <c r="V398" s="34">
        <f t="shared" si="268"/>
        <v>0</v>
      </c>
      <c r="W398" s="34"/>
      <c r="X398" s="34"/>
      <c r="Y398" s="34">
        <f t="shared" si="270"/>
        <v>0</v>
      </c>
      <c r="Z398" s="34"/>
      <c r="AA398" s="34"/>
      <c r="AB398" s="34">
        <f t="shared" si="272"/>
        <v>0</v>
      </c>
      <c r="FN398" s="25"/>
      <c r="FO398" s="25"/>
      <c r="FP398" s="25"/>
      <c r="FQ398" s="25"/>
      <c r="FR398" s="25"/>
      <c r="FS398" s="25"/>
      <c r="FT398" s="25"/>
      <c r="FU398" s="25"/>
      <c r="FV398" s="25"/>
      <c r="FW398" s="25"/>
      <c r="FX398" s="25"/>
      <c r="FY398" s="25"/>
      <c r="FZ398" s="25"/>
      <c r="GA398" s="25"/>
      <c r="GB398" s="25"/>
      <c r="GC398" s="25"/>
      <c r="GD398" s="25"/>
      <c r="GE398" s="25"/>
      <c r="GF398" s="25"/>
      <c r="GG398" s="25"/>
    </row>
    <row r="399" spans="1:189" s="28" customFormat="1" ht="31.5" x14ac:dyDescent="0.25">
      <c r="A399" s="33" t="s">
        <v>355</v>
      </c>
      <c r="B399" s="34">
        <f t="shared" si="273"/>
        <v>918</v>
      </c>
      <c r="C399" s="34">
        <f t="shared" si="273"/>
        <v>918</v>
      </c>
      <c r="D399" s="34">
        <f t="shared" si="273"/>
        <v>0</v>
      </c>
      <c r="E399" s="34"/>
      <c r="F399" s="34"/>
      <c r="G399" s="34">
        <f t="shared" si="303"/>
        <v>0</v>
      </c>
      <c r="H399" s="34"/>
      <c r="I399" s="34"/>
      <c r="J399" s="34">
        <f t="shared" si="260"/>
        <v>0</v>
      </c>
      <c r="K399" s="34">
        <v>918</v>
      </c>
      <c r="L399" s="34">
        <v>918</v>
      </c>
      <c r="M399" s="34">
        <f t="shared" si="262"/>
        <v>0</v>
      </c>
      <c r="N399" s="34"/>
      <c r="O399" s="34"/>
      <c r="P399" s="34">
        <f t="shared" si="264"/>
        <v>0</v>
      </c>
      <c r="Q399" s="34"/>
      <c r="R399" s="34"/>
      <c r="S399" s="34">
        <f t="shared" si="266"/>
        <v>0</v>
      </c>
      <c r="T399" s="34"/>
      <c r="U399" s="34"/>
      <c r="V399" s="34">
        <f t="shared" si="268"/>
        <v>0</v>
      </c>
      <c r="W399" s="34"/>
      <c r="X399" s="34"/>
      <c r="Y399" s="34">
        <f t="shared" si="270"/>
        <v>0</v>
      </c>
      <c r="Z399" s="34"/>
      <c r="AA399" s="34"/>
      <c r="AB399" s="34">
        <f t="shared" si="272"/>
        <v>0</v>
      </c>
      <c r="FN399" s="25"/>
      <c r="FO399" s="25"/>
      <c r="FP399" s="25"/>
      <c r="FQ399" s="25"/>
      <c r="FR399" s="25"/>
      <c r="FS399" s="25"/>
      <c r="FT399" s="25"/>
      <c r="FU399" s="25"/>
      <c r="FV399" s="25"/>
      <c r="FW399" s="25"/>
      <c r="FX399" s="25"/>
      <c r="FY399" s="25"/>
      <c r="FZ399" s="25"/>
      <c r="GA399" s="25"/>
      <c r="GB399" s="25"/>
      <c r="GC399" s="25"/>
      <c r="GD399" s="25"/>
      <c r="GE399" s="25"/>
      <c r="GF399" s="25"/>
      <c r="GG399" s="25"/>
    </row>
    <row r="400" spans="1:189" s="28" customFormat="1" ht="31.5" x14ac:dyDescent="0.25">
      <c r="A400" s="26" t="s">
        <v>178</v>
      </c>
      <c r="B400" s="27">
        <f t="shared" si="273"/>
        <v>997275</v>
      </c>
      <c r="C400" s="27">
        <f t="shared" si="273"/>
        <v>997275</v>
      </c>
      <c r="D400" s="27">
        <f t="shared" si="273"/>
        <v>0</v>
      </c>
      <c r="E400" s="27">
        <f t="shared" ref="E400:AA400" si="362">SUM(E401:E401)</f>
        <v>0</v>
      </c>
      <c r="F400" s="27">
        <f t="shared" si="362"/>
        <v>0</v>
      </c>
      <c r="G400" s="27">
        <f t="shared" si="303"/>
        <v>0</v>
      </c>
      <c r="H400" s="27">
        <f t="shared" si="362"/>
        <v>0</v>
      </c>
      <c r="I400" s="27">
        <f t="shared" si="362"/>
        <v>0</v>
      </c>
      <c r="J400" s="27">
        <f t="shared" si="260"/>
        <v>0</v>
      </c>
      <c r="K400" s="27">
        <f t="shared" si="362"/>
        <v>0</v>
      </c>
      <c r="L400" s="27">
        <f t="shared" si="362"/>
        <v>0</v>
      </c>
      <c r="M400" s="27">
        <f t="shared" si="262"/>
        <v>0</v>
      </c>
      <c r="N400" s="27">
        <f t="shared" si="362"/>
        <v>997275</v>
      </c>
      <c r="O400" s="27">
        <f t="shared" si="362"/>
        <v>997275</v>
      </c>
      <c r="P400" s="27">
        <f t="shared" si="264"/>
        <v>0</v>
      </c>
      <c r="Q400" s="27">
        <f t="shared" si="362"/>
        <v>0</v>
      </c>
      <c r="R400" s="27">
        <f t="shared" si="362"/>
        <v>0</v>
      </c>
      <c r="S400" s="27">
        <f t="shared" si="266"/>
        <v>0</v>
      </c>
      <c r="T400" s="27">
        <f t="shared" si="362"/>
        <v>0</v>
      </c>
      <c r="U400" s="27">
        <f t="shared" si="362"/>
        <v>0</v>
      </c>
      <c r="V400" s="27">
        <f t="shared" si="268"/>
        <v>0</v>
      </c>
      <c r="W400" s="27">
        <f t="shared" si="362"/>
        <v>0</v>
      </c>
      <c r="X400" s="27">
        <f t="shared" si="362"/>
        <v>0</v>
      </c>
      <c r="Y400" s="27">
        <f t="shared" si="270"/>
        <v>0</v>
      </c>
      <c r="Z400" s="27">
        <f t="shared" si="362"/>
        <v>0</v>
      </c>
      <c r="AA400" s="27">
        <f t="shared" si="362"/>
        <v>0</v>
      </c>
      <c r="AB400" s="27">
        <f t="shared" si="272"/>
        <v>0</v>
      </c>
      <c r="AC400" s="25"/>
      <c r="AD400" s="25"/>
      <c r="AE400" s="25"/>
      <c r="AF400" s="25"/>
      <c r="AG400" s="25"/>
      <c r="AH400" s="25"/>
      <c r="AI400" s="25"/>
      <c r="AJ400" s="25"/>
      <c r="AK400" s="25"/>
      <c r="AL400" s="25"/>
      <c r="AM400" s="25"/>
      <c r="AN400" s="25"/>
      <c r="AO400" s="25"/>
      <c r="AP400" s="25"/>
      <c r="AQ400" s="25"/>
      <c r="AR400" s="25"/>
      <c r="AS400" s="25"/>
      <c r="AT400" s="25"/>
      <c r="AU400" s="25"/>
      <c r="AV400" s="25"/>
      <c r="AW400" s="25"/>
      <c r="AX400" s="25"/>
      <c r="AY400" s="25"/>
      <c r="AZ400" s="25"/>
      <c r="BA400" s="25"/>
      <c r="BB400" s="25"/>
      <c r="BC400" s="25"/>
      <c r="BD400" s="25"/>
      <c r="BE400" s="25"/>
      <c r="BF400" s="25"/>
      <c r="BG400" s="25"/>
      <c r="BH400" s="25"/>
      <c r="BI400" s="25"/>
      <c r="BJ400" s="25"/>
      <c r="BK400" s="25"/>
      <c r="BL400" s="25"/>
      <c r="BM400" s="25"/>
      <c r="BN400" s="25"/>
      <c r="BO400" s="25"/>
      <c r="BP400" s="25"/>
      <c r="BQ400" s="25"/>
      <c r="BR400" s="25"/>
      <c r="BS400" s="25"/>
      <c r="BT400" s="25"/>
      <c r="BU400" s="25"/>
      <c r="BV400" s="25"/>
      <c r="BW400" s="25"/>
      <c r="BX400" s="25"/>
      <c r="BY400" s="25"/>
      <c r="BZ400" s="25"/>
      <c r="CA400" s="25"/>
      <c r="CB400" s="25"/>
      <c r="CC400" s="25"/>
      <c r="CD400" s="25"/>
      <c r="CE400" s="25"/>
      <c r="CF400" s="25"/>
      <c r="CG400" s="25"/>
      <c r="CH400" s="25"/>
      <c r="CI400" s="25"/>
      <c r="CJ400" s="25"/>
      <c r="CK400" s="25"/>
      <c r="CL400" s="25"/>
      <c r="CM400" s="25"/>
      <c r="CN400" s="25"/>
      <c r="CO400" s="25"/>
      <c r="CP400" s="25"/>
      <c r="CQ400" s="25"/>
      <c r="CR400" s="25"/>
      <c r="CS400" s="25"/>
      <c r="CT400" s="25"/>
      <c r="CU400" s="25"/>
      <c r="CV400" s="25"/>
      <c r="CW400" s="25"/>
      <c r="CX400" s="25"/>
      <c r="CY400" s="25"/>
      <c r="CZ400" s="25"/>
      <c r="DA400" s="25"/>
      <c r="DB400" s="25"/>
      <c r="DC400" s="25"/>
      <c r="DD400" s="25"/>
      <c r="DE400" s="25"/>
      <c r="DF400" s="25"/>
      <c r="DG400" s="25"/>
      <c r="DH400" s="25"/>
      <c r="DI400" s="25"/>
      <c r="DJ400" s="25"/>
      <c r="DK400" s="25"/>
      <c r="DL400" s="25"/>
      <c r="DM400" s="25"/>
      <c r="DN400" s="25"/>
      <c r="DO400" s="25"/>
      <c r="DP400" s="25"/>
      <c r="DQ400" s="25"/>
      <c r="DR400" s="25"/>
      <c r="DS400" s="25"/>
      <c r="DT400" s="25"/>
      <c r="DU400" s="25"/>
      <c r="DV400" s="25"/>
      <c r="DW400" s="25"/>
      <c r="DX400" s="25"/>
      <c r="DY400" s="25"/>
      <c r="DZ400" s="25"/>
      <c r="EA400" s="25"/>
      <c r="EB400" s="25"/>
      <c r="EC400" s="25"/>
      <c r="ED400" s="25"/>
      <c r="EE400" s="25"/>
      <c r="EF400" s="25"/>
      <c r="EG400" s="25"/>
      <c r="EH400" s="25"/>
      <c r="EI400" s="25"/>
      <c r="EJ400" s="25"/>
      <c r="EK400" s="25"/>
      <c r="EL400" s="25"/>
      <c r="EM400" s="25"/>
      <c r="EN400" s="25"/>
      <c r="EO400" s="25"/>
      <c r="EP400" s="25"/>
      <c r="EQ400" s="25"/>
      <c r="ER400" s="25"/>
      <c r="ES400" s="25"/>
      <c r="ET400" s="25"/>
      <c r="EU400" s="25"/>
      <c r="EV400" s="25"/>
      <c r="EW400" s="25"/>
      <c r="EX400" s="25"/>
      <c r="EY400" s="25"/>
      <c r="EZ400" s="25"/>
      <c r="FA400" s="25"/>
      <c r="FB400" s="25"/>
      <c r="FC400" s="25"/>
      <c r="FD400" s="25"/>
      <c r="FE400" s="25"/>
      <c r="FF400" s="25"/>
      <c r="FG400" s="25"/>
      <c r="FH400" s="25"/>
      <c r="FI400" s="25"/>
      <c r="FJ400" s="25"/>
      <c r="FK400" s="25"/>
      <c r="FL400" s="25"/>
      <c r="FM400" s="25"/>
    </row>
    <row r="401" spans="1:189" s="28" customFormat="1" ht="94.5" x14ac:dyDescent="0.25">
      <c r="A401" s="33" t="s">
        <v>356</v>
      </c>
      <c r="B401" s="34">
        <f t="shared" si="273"/>
        <v>997275</v>
      </c>
      <c r="C401" s="34">
        <f t="shared" si="273"/>
        <v>997275</v>
      </c>
      <c r="D401" s="34">
        <f t="shared" si="273"/>
        <v>0</v>
      </c>
      <c r="E401" s="34"/>
      <c r="F401" s="34"/>
      <c r="G401" s="34">
        <f t="shared" si="303"/>
        <v>0</v>
      </c>
      <c r="H401" s="34"/>
      <c r="I401" s="34"/>
      <c r="J401" s="34">
        <f t="shared" si="260"/>
        <v>0</v>
      </c>
      <c r="K401" s="34"/>
      <c r="L401" s="34"/>
      <c r="M401" s="34">
        <f t="shared" si="262"/>
        <v>0</v>
      </c>
      <c r="N401" s="34">
        <v>997275</v>
      </c>
      <c r="O401" s="34">
        <v>997275</v>
      </c>
      <c r="P401" s="34">
        <f t="shared" si="264"/>
        <v>0</v>
      </c>
      <c r="Q401" s="34"/>
      <c r="R401" s="34"/>
      <c r="S401" s="34">
        <f t="shared" si="266"/>
        <v>0</v>
      </c>
      <c r="T401" s="34"/>
      <c r="U401" s="34"/>
      <c r="V401" s="34">
        <f t="shared" si="268"/>
        <v>0</v>
      </c>
      <c r="W401" s="34"/>
      <c r="X401" s="34"/>
      <c r="Y401" s="34">
        <f t="shared" si="270"/>
        <v>0</v>
      </c>
      <c r="Z401" s="34"/>
      <c r="AA401" s="34"/>
      <c r="AB401" s="34">
        <f t="shared" si="272"/>
        <v>0</v>
      </c>
      <c r="FN401" s="25"/>
      <c r="FO401" s="25"/>
      <c r="FP401" s="25"/>
      <c r="FQ401" s="25"/>
      <c r="FR401" s="25"/>
      <c r="FS401" s="25"/>
      <c r="FT401" s="25"/>
      <c r="FU401" s="25"/>
      <c r="FV401" s="25"/>
      <c r="FW401" s="25"/>
      <c r="FX401" s="25"/>
      <c r="FY401" s="25"/>
      <c r="FZ401" s="25"/>
      <c r="GA401" s="25"/>
      <c r="GB401" s="25"/>
      <c r="GC401" s="25"/>
      <c r="GD401" s="25"/>
      <c r="GE401" s="25"/>
      <c r="GF401" s="25"/>
      <c r="GG401" s="25"/>
    </row>
    <row r="402" spans="1:189" s="28" customFormat="1" x14ac:dyDescent="0.25">
      <c r="A402" s="26" t="s">
        <v>191</v>
      </c>
      <c r="B402" s="27">
        <f t="shared" si="273"/>
        <v>700000</v>
      </c>
      <c r="C402" s="27">
        <f t="shared" si="273"/>
        <v>700000</v>
      </c>
      <c r="D402" s="27">
        <f t="shared" si="273"/>
        <v>0</v>
      </c>
      <c r="E402" s="27">
        <f t="shared" ref="E402:AA402" si="363">SUM(E403:E403)</f>
        <v>0</v>
      </c>
      <c r="F402" s="27">
        <f t="shared" si="363"/>
        <v>0</v>
      </c>
      <c r="G402" s="27">
        <f t="shared" si="303"/>
        <v>0</v>
      </c>
      <c r="H402" s="27">
        <f t="shared" si="363"/>
        <v>0</v>
      </c>
      <c r="I402" s="27">
        <f t="shared" si="363"/>
        <v>0</v>
      </c>
      <c r="J402" s="27">
        <f t="shared" si="260"/>
        <v>0</v>
      </c>
      <c r="K402" s="27">
        <f t="shared" si="363"/>
        <v>0</v>
      </c>
      <c r="L402" s="27">
        <f t="shared" si="363"/>
        <v>0</v>
      </c>
      <c r="M402" s="27">
        <f t="shared" si="262"/>
        <v>0</v>
      </c>
      <c r="N402" s="27">
        <f t="shared" si="363"/>
        <v>700000</v>
      </c>
      <c r="O402" s="27">
        <f t="shared" si="363"/>
        <v>700000</v>
      </c>
      <c r="P402" s="27">
        <f t="shared" si="264"/>
        <v>0</v>
      </c>
      <c r="Q402" s="27">
        <f t="shared" si="363"/>
        <v>0</v>
      </c>
      <c r="R402" s="27">
        <f t="shared" si="363"/>
        <v>0</v>
      </c>
      <c r="S402" s="27">
        <f t="shared" si="266"/>
        <v>0</v>
      </c>
      <c r="T402" s="27">
        <f t="shared" si="363"/>
        <v>0</v>
      </c>
      <c r="U402" s="27">
        <f t="shared" si="363"/>
        <v>0</v>
      </c>
      <c r="V402" s="27">
        <f t="shared" si="268"/>
        <v>0</v>
      </c>
      <c r="W402" s="27">
        <f t="shared" si="363"/>
        <v>0</v>
      </c>
      <c r="X402" s="27">
        <f t="shared" si="363"/>
        <v>0</v>
      </c>
      <c r="Y402" s="27">
        <f t="shared" si="270"/>
        <v>0</v>
      </c>
      <c r="Z402" s="27">
        <f t="shared" si="363"/>
        <v>0</v>
      </c>
      <c r="AA402" s="27">
        <f t="shared" si="363"/>
        <v>0</v>
      </c>
      <c r="AB402" s="27">
        <f t="shared" si="272"/>
        <v>0</v>
      </c>
      <c r="AC402" s="25"/>
      <c r="AD402" s="25"/>
      <c r="AE402" s="25"/>
      <c r="AF402" s="25"/>
      <c r="AG402" s="25"/>
      <c r="AH402" s="25"/>
      <c r="AI402" s="25"/>
      <c r="AJ402" s="25"/>
      <c r="AK402" s="25"/>
      <c r="AL402" s="25"/>
      <c r="AM402" s="25"/>
      <c r="AN402" s="25"/>
      <c r="AO402" s="25"/>
      <c r="AP402" s="25"/>
      <c r="AQ402" s="25"/>
      <c r="AR402" s="25"/>
      <c r="AS402" s="25"/>
      <c r="AT402" s="25"/>
      <c r="AU402" s="25"/>
      <c r="AV402" s="25"/>
      <c r="AW402" s="25"/>
      <c r="AX402" s="25"/>
      <c r="AY402" s="25"/>
      <c r="AZ402" s="25"/>
      <c r="BA402" s="25"/>
      <c r="BB402" s="25"/>
      <c r="BC402" s="25"/>
      <c r="BD402" s="25"/>
      <c r="BE402" s="25"/>
      <c r="BF402" s="25"/>
      <c r="BG402" s="25"/>
      <c r="BH402" s="25"/>
      <c r="BI402" s="25"/>
      <c r="BJ402" s="25"/>
      <c r="BK402" s="25"/>
      <c r="BL402" s="25"/>
      <c r="BM402" s="25"/>
      <c r="BN402" s="25"/>
      <c r="BO402" s="25"/>
      <c r="BP402" s="25"/>
      <c r="BQ402" s="25"/>
      <c r="BR402" s="25"/>
      <c r="BS402" s="25"/>
      <c r="BT402" s="25"/>
      <c r="BU402" s="25"/>
      <c r="BV402" s="25"/>
      <c r="BW402" s="25"/>
      <c r="BX402" s="25"/>
      <c r="BY402" s="25"/>
      <c r="BZ402" s="25"/>
      <c r="CA402" s="25"/>
      <c r="CB402" s="25"/>
      <c r="CC402" s="25"/>
      <c r="CD402" s="25"/>
      <c r="CE402" s="25"/>
      <c r="CF402" s="25"/>
      <c r="CG402" s="25"/>
      <c r="CH402" s="25"/>
      <c r="CI402" s="25"/>
      <c r="CJ402" s="25"/>
      <c r="CK402" s="25"/>
      <c r="CL402" s="25"/>
      <c r="CM402" s="25"/>
      <c r="CN402" s="25"/>
      <c r="CO402" s="25"/>
      <c r="CP402" s="25"/>
      <c r="CQ402" s="25"/>
      <c r="CR402" s="25"/>
      <c r="CS402" s="25"/>
      <c r="CT402" s="25"/>
      <c r="CU402" s="25"/>
      <c r="CV402" s="25"/>
      <c r="CW402" s="25"/>
      <c r="CX402" s="25"/>
      <c r="CY402" s="25"/>
      <c r="CZ402" s="25"/>
      <c r="DA402" s="25"/>
      <c r="DB402" s="25"/>
      <c r="DC402" s="25"/>
      <c r="DD402" s="25"/>
      <c r="DE402" s="25"/>
      <c r="DF402" s="25"/>
      <c r="DG402" s="25"/>
      <c r="DH402" s="25"/>
      <c r="DI402" s="25"/>
      <c r="DJ402" s="25"/>
      <c r="DK402" s="25"/>
      <c r="DL402" s="25"/>
      <c r="DM402" s="25"/>
      <c r="DN402" s="25"/>
      <c r="DO402" s="25"/>
      <c r="DP402" s="25"/>
      <c r="DQ402" s="25"/>
      <c r="DR402" s="25"/>
      <c r="DS402" s="25"/>
      <c r="DT402" s="25"/>
      <c r="DU402" s="25"/>
      <c r="DV402" s="25"/>
      <c r="DW402" s="25"/>
      <c r="DX402" s="25"/>
      <c r="DY402" s="25"/>
      <c r="DZ402" s="25"/>
      <c r="EA402" s="25"/>
      <c r="EB402" s="25"/>
      <c r="EC402" s="25"/>
      <c r="ED402" s="25"/>
      <c r="EE402" s="25"/>
      <c r="EF402" s="25"/>
      <c r="EG402" s="25"/>
      <c r="EH402" s="25"/>
      <c r="EI402" s="25"/>
      <c r="EJ402" s="25"/>
      <c r="EK402" s="25"/>
      <c r="EL402" s="25"/>
      <c r="EM402" s="25"/>
      <c r="EN402" s="25"/>
      <c r="EO402" s="25"/>
      <c r="EP402" s="25"/>
      <c r="EQ402" s="25"/>
      <c r="ER402" s="25"/>
      <c r="ES402" s="25"/>
      <c r="ET402" s="25"/>
      <c r="EU402" s="25"/>
      <c r="EV402" s="25"/>
      <c r="EW402" s="25"/>
      <c r="EX402" s="25"/>
      <c r="EY402" s="25"/>
      <c r="EZ402" s="25"/>
      <c r="FA402" s="25"/>
      <c r="FB402" s="25"/>
      <c r="FC402" s="25"/>
      <c r="FD402" s="25"/>
      <c r="FE402" s="25"/>
      <c r="FF402" s="25"/>
      <c r="FG402" s="25"/>
      <c r="FH402" s="25"/>
      <c r="FI402" s="25"/>
      <c r="FJ402" s="25"/>
      <c r="FK402" s="25"/>
      <c r="FL402" s="25"/>
      <c r="FM402" s="25"/>
      <c r="FN402" s="25"/>
      <c r="FO402" s="25"/>
      <c r="FP402" s="25"/>
      <c r="FQ402" s="25"/>
      <c r="FR402" s="25"/>
      <c r="FS402" s="25"/>
      <c r="FT402" s="25"/>
      <c r="FU402" s="25"/>
      <c r="FV402" s="25"/>
      <c r="FW402" s="25"/>
      <c r="FX402" s="25"/>
      <c r="FY402" s="25"/>
      <c r="FZ402" s="25"/>
      <c r="GA402" s="25"/>
      <c r="GB402" s="25"/>
      <c r="GC402" s="25"/>
      <c r="GD402" s="25"/>
      <c r="GE402" s="25"/>
      <c r="GF402" s="25"/>
      <c r="GG402" s="25"/>
    </row>
    <row r="403" spans="1:189" s="28" customFormat="1" ht="94.5" x14ac:dyDescent="0.25">
      <c r="A403" s="33" t="s">
        <v>357</v>
      </c>
      <c r="B403" s="34">
        <f t="shared" ref="B403:D427" si="364">E403+H403+K403+N403+Q403+T403+Z403+W403</f>
        <v>700000</v>
      </c>
      <c r="C403" s="34">
        <f t="shared" si="364"/>
        <v>700000</v>
      </c>
      <c r="D403" s="34">
        <f t="shared" si="364"/>
        <v>0</v>
      </c>
      <c r="E403" s="34"/>
      <c r="F403" s="34"/>
      <c r="G403" s="34">
        <f t="shared" si="303"/>
        <v>0</v>
      </c>
      <c r="H403" s="34"/>
      <c r="I403" s="34"/>
      <c r="J403" s="34">
        <f t="shared" si="260"/>
        <v>0</v>
      </c>
      <c r="K403" s="34"/>
      <c r="L403" s="34"/>
      <c r="M403" s="34">
        <f t="shared" si="262"/>
        <v>0</v>
      </c>
      <c r="N403" s="34">
        <v>700000</v>
      </c>
      <c r="O403" s="34">
        <v>700000</v>
      </c>
      <c r="P403" s="34">
        <f t="shared" si="264"/>
        <v>0</v>
      </c>
      <c r="Q403" s="34"/>
      <c r="R403" s="34"/>
      <c r="S403" s="34">
        <f t="shared" si="266"/>
        <v>0</v>
      </c>
      <c r="T403" s="34"/>
      <c r="U403" s="34"/>
      <c r="V403" s="34">
        <f t="shared" si="268"/>
        <v>0</v>
      </c>
      <c r="W403" s="34"/>
      <c r="X403" s="34"/>
      <c r="Y403" s="34">
        <f t="shared" si="270"/>
        <v>0</v>
      </c>
      <c r="Z403" s="34"/>
      <c r="AA403" s="34"/>
      <c r="AB403" s="34">
        <f t="shared" si="272"/>
        <v>0</v>
      </c>
      <c r="FN403" s="25"/>
      <c r="FO403" s="25"/>
      <c r="FP403" s="25"/>
      <c r="FQ403" s="25"/>
      <c r="FR403" s="25"/>
      <c r="FS403" s="25"/>
      <c r="FT403" s="25"/>
      <c r="FU403" s="25"/>
      <c r="FV403" s="25"/>
      <c r="FW403" s="25"/>
      <c r="FX403" s="25"/>
      <c r="FY403" s="25"/>
      <c r="FZ403" s="25"/>
      <c r="GA403" s="25"/>
      <c r="GB403" s="25"/>
      <c r="GC403" s="25"/>
      <c r="GD403" s="25"/>
      <c r="GE403" s="25"/>
      <c r="GF403" s="25"/>
      <c r="GG403" s="25"/>
    </row>
    <row r="404" spans="1:189" s="28" customFormat="1" x14ac:dyDescent="0.25">
      <c r="A404" s="26" t="s">
        <v>316</v>
      </c>
      <c r="B404" s="27">
        <f t="shared" si="364"/>
        <v>700000</v>
      </c>
      <c r="C404" s="27">
        <f t="shared" si="364"/>
        <v>700000</v>
      </c>
      <c r="D404" s="27">
        <f t="shared" si="364"/>
        <v>0</v>
      </c>
      <c r="E404" s="27">
        <f t="shared" ref="E404:AA404" si="365">SUM(E405:E405)</f>
        <v>0</v>
      </c>
      <c r="F404" s="27">
        <f t="shared" si="365"/>
        <v>0</v>
      </c>
      <c r="G404" s="27">
        <f t="shared" si="303"/>
        <v>0</v>
      </c>
      <c r="H404" s="27">
        <f t="shared" si="365"/>
        <v>0</v>
      </c>
      <c r="I404" s="27">
        <f t="shared" si="365"/>
        <v>0</v>
      </c>
      <c r="J404" s="27">
        <f t="shared" si="260"/>
        <v>0</v>
      </c>
      <c r="K404" s="27">
        <f t="shared" si="365"/>
        <v>0</v>
      </c>
      <c r="L404" s="27">
        <f t="shared" si="365"/>
        <v>0</v>
      </c>
      <c r="M404" s="27">
        <f t="shared" si="262"/>
        <v>0</v>
      </c>
      <c r="N404" s="27">
        <f t="shared" si="365"/>
        <v>700000</v>
      </c>
      <c r="O404" s="27">
        <f t="shared" si="365"/>
        <v>700000</v>
      </c>
      <c r="P404" s="27">
        <f t="shared" si="264"/>
        <v>0</v>
      </c>
      <c r="Q404" s="27">
        <f t="shared" si="365"/>
        <v>0</v>
      </c>
      <c r="R404" s="27">
        <f t="shared" si="365"/>
        <v>0</v>
      </c>
      <c r="S404" s="27">
        <f t="shared" si="266"/>
        <v>0</v>
      </c>
      <c r="T404" s="27">
        <f t="shared" si="365"/>
        <v>0</v>
      </c>
      <c r="U404" s="27">
        <f t="shared" si="365"/>
        <v>0</v>
      </c>
      <c r="V404" s="27">
        <f t="shared" si="268"/>
        <v>0</v>
      </c>
      <c r="W404" s="27">
        <f t="shared" si="365"/>
        <v>0</v>
      </c>
      <c r="X404" s="27">
        <f t="shared" si="365"/>
        <v>0</v>
      </c>
      <c r="Y404" s="27">
        <f t="shared" si="270"/>
        <v>0</v>
      </c>
      <c r="Z404" s="27">
        <f t="shared" si="365"/>
        <v>0</v>
      </c>
      <c r="AA404" s="27">
        <f t="shared" si="365"/>
        <v>0</v>
      </c>
      <c r="AB404" s="27">
        <f t="shared" si="272"/>
        <v>0</v>
      </c>
      <c r="AC404" s="25"/>
      <c r="AD404" s="25"/>
      <c r="AE404" s="25"/>
      <c r="AF404" s="25"/>
      <c r="AG404" s="25"/>
      <c r="AH404" s="25"/>
      <c r="AI404" s="25"/>
      <c r="AJ404" s="25"/>
      <c r="AK404" s="25"/>
      <c r="AL404" s="25"/>
      <c r="AM404" s="25"/>
      <c r="AN404" s="25"/>
      <c r="AO404" s="25"/>
      <c r="AP404" s="25"/>
      <c r="AQ404" s="25"/>
      <c r="AR404" s="25"/>
      <c r="AS404" s="25"/>
      <c r="AT404" s="25"/>
      <c r="AU404" s="25"/>
      <c r="AV404" s="25"/>
      <c r="AW404" s="25"/>
      <c r="AX404" s="25"/>
      <c r="AY404" s="25"/>
      <c r="AZ404" s="25"/>
      <c r="BA404" s="25"/>
      <c r="BB404" s="25"/>
      <c r="BC404" s="25"/>
      <c r="BD404" s="25"/>
      <c r="BE404" s="25"/>
      <c r="BF404" s="25"/>
      <c r="BG404" s="25"/>
      <c r="BH404" s="25"/>
      <c r="BI404" s="25"/>
      <c r="BJ404" s="25"/>
      <c r="BK404" s="25"/>
      <c r="BL404" s="25"/>
      <c r="BM404" s="25"/>
      <c r="BN404" s="25"/>
      <c r="BO404" s="25"/>
      <c r="BP404" s="25"/>
      <c r="BQ404" s="25"/>
      <c r="BR404" s="25"/>
      <c r="BS404" s="25"/>
      <c r="BT404" s="25"/>
      <c r="BU404" s="25"/>
      <c r="BV404" s="25"/>
      <c r="BW404" s="25"/>
      <c r="BX404" s="25"/>
      <c r="BY404" s="25"/>
      <c r="BZ404" s="25"/>
      <c r="CA404" s="25"/>
      <c r="CB404" s="25"/>
      <c r="CC404" s="25"/>
      <c r="CD404" s="25"/>
      <c r="CE404" s="25"/>
      <c r="CF404" s="25"/>
      <c r="CG404" s="25"/>
      <c r="CH404" s="25"/>
      <c r="CI404" s="25"/>
      <c r="CJ404" s="25"/>
      <c r="CK404" s="25"/>
      <c r="CL404" s="25"/>
      <c r="CM404" s="25"/>
      <c r="CN404" s="25"/>
      <c r="CO404" s="25"/>
      <c r="CP404" s="25"/>
      <c r="CQ404" s="25"/>
      <c r="CR404" s="25"/>
      <c r="CS404" s="25"/>
      <c r="CT404" s="25"/>
      <c r="CU404" s="25"/>
      <c r="CV404" s="25"/>
      <c r="CW404" s="25"/>
      <c r="CX404" s="25"/>
      <c r="CY404" s="25"/>
      <c r="CZ404" s="25"/>
      <c r="DA404" s="25"/>
      <c r="DB404" s="25"/>
      <c r="DC404" s="25"/>
      <c r="DD404" s="25"/>
      <c r="DE404" s="25"/>
      <c r="DF404" s="25"/>
      <c r="DG404" s="25"/>
      <c r="DH404" s="25"/>
      <c r="DI404" s="25"/>
      <c r="DJ404" s="25"/>
      <c r="DK404" s="25"/>
      <c r="DL404" s="25"/>
      <c r="DM404" s="25"/>
      <c r="DN404" s="25"/>
      <c r="DO404" s="25"/>
      <c r="DP404" s="25"/>
      <c r="DQ404" s="25"/>
      <c r="DR404" s="25"/>
      <c r="DS404" s="25"/>
      <c r="DT404" s="25"/>
      <c r="DU404" s="25"/>
      <c r="DV404" s="25"/>
      <c r="DW404" s="25"/>
      <c r="DX404" s="25"/>
      <c r="DY404" s="25"/>
      <c r="DZ404" s="25"/>
      <c r="EA404" s="25"/>
      <c r="EB404" s="25"/>
      <c r="EC404" s="25"/>
      <c r="ED404" s="25"/>
      <c r="EE404" s="25"/>
      <c r="EF404" s="25"/>
      <c r="EG404" s="25"/>
      <c r="EH404" s="25"/>
      <c r="EI404" s="25"/>
      <c r="EJ404" s="25"/>
      <c r="EK404" s="25"/>
      <c r="EL404" s="25"/>
      <c r="EM404" s="25"/>
      <c r="EN404" s="25"/>
      <c r="EO404" s="25"/>
      <c r="EP404" s="25"/>
      <c r="EQ404" s="25"/>
      <c r="ER404" s="25"/>
      <c r="ES404" s="25"/>
      <c r="ET404" s="25"/>
      <c r="EU404" s="25"/>
      <c r="EV404" s="25"/>
      <c r="EW404" s="25"/>
      <c r="EX404" s="25"/>
      <c r="EY404" s="25"/>
      <c r="EZ404" s="25"/>
      <c r="FA404" s="25"/>
      <c r="FB404" s="25"/>
      <c r="FC404" s="25"/>
      <c r="FD404" s="25"/>
      <c r="FE404" s="25"/>
      <c r="FF404" s="25"/>
      <c r="FG404" s="25"/>
      <c r="FH404" s="25"/>
      <c r="FI404" s="25"/>
      <c r="FJ404" s="25"/>
      <c r="FK404" s="25"/>
      <c r="FL404" s="25"/>
      <c r="FM404" s="25"/>
      <c r="FN404" s="25"/>
      <c r="FO404" s="25"/>
      <c r="FP404" s="25"/>
      <c r="FQ404" s="25"/>
      <c r="FR404" s="25"/>
      <c r="FS404" s="25"/>
      <c r="FT404" s="25"/>
      <c r="FU404" s="25"/>
      <c r="FV404" s="25"/>
      <c r="FW404" s="25"/>
      <c r="FX404" s="25"/>
      <c r="FY404" s="25"/>
      <c r="FZ404" s="25"/>
      <c r="GA404" s="25"/>
      <c r="GB404" s="25"/>
      <c r="GC404" s="25"/>
      <c r="GD404" s="25"/>
      <c r="GE404" s="25"/>
      <c r="GF404" s="25"/>
      <c r="GG404" s="25"/>
    </row>
    <row r="405" spans="1:189" s="28" customFormat="1" ht="78.75" x14ac:dyDescent="0.25">
      <c r="A405" s="33" t="s">
        <v>358</v>
      </c>
      <c r="B405" s="34">
        <f t="shared" si="364"/>
        <v>700000</v>
      </c>
      <c r="C405" s="34">
        <f t="shared" si="364"/>
        <v>700000</v>
      </c>
      <c r="D405" s="34">
        <f t="shared" si="364"/>
        <v>0</v>
      </c>
      <c r="E405" s="34"/>
      <c r="F405" s="34"/>
      <c r="G405" s="34">
        <f t="shared" si="303"/>
        <v>0</v>
      </c>
      <c r="H405" s="34"/>
      <c r="I405" s="34"/>
      <c r="J405" s="34">
        <f t="shared" si="260"/>
        <v>0</v>
      </c>
      <c r="K405" s="34"/>
      <c r="L405" s="34"/>
      <c r="M405" s="34">
        <f t="shared" si="262"/>
        <v>0</v>
      </c>
      <c r="N405" s="34">
        <v>700000</v>
      </c>
      <c r="O405" s="34">
        <v>700000</v>
      </c>
      <c r="P405" s="34">
        <f t="shared" si="264"/>
        <v>0</v>
      </c>
      <c r="Q405" s="34"/>
      <c r="R405" s="34"/>
      <c r="S405" s="34">
        <f t="shared" si="266"/>
        <v>0</v>
      </c>
      <c r="T405" s="34"/>
      <c r="U405" s="34"/>
      <c r="V405" s="34">
        <f t="shared" si="268"/>
        <v>0</v>
      </c>
      <c r="W405" s="34"/>
      <c r="X405" s="34"/>
      <c r="Y405" s="34">
        <f t="shared" si="270"/>
        <v>0</v>
      </c>
      <c r="Z405" s="34"/>
      <c r="AA405" s="34"/>
      <c r="AB405" s="34">
        <f t="shared" si="272"/>
        <v>0</v>
      </c>
      <c r="FN405" s="25"/>
      <c r="FO405" s="25"/>
      <c r="FP405" s="25"/>
      <c r="FQ405" s="25"/>
      <c r="FR405" s="25"/>
      <c r="FS405" s="25"/>
      <c r="FT405" s="25"/>
      <c r="FU405" s="25"/>
      <c r="FV405" s="25"/>
      <c r="FW405" s="25"/>
      <c r="FX405" s="25"/>
      <c r="FY405" s="25"/>
      <c r="FZ405" s="25"/>
      <c r="GA405" s="25"/>
      <c r="GB405" s="25"/>
      <c r="GC405" s="25"/>
      <c r="GD405" s="25"/>
      <c r="GE405" s="25"/>
      <c r="GF405" s="25"/>
      <c r="GG405" s="25"/>
    </row>
    <row r="406" spans="1:189" s="25" customFormat="1" x14ac:dyDescent="0.25">
      <c r="A406" s="26" t="s">
        <v>359</v>
      </c>
      <c r="B406" s="27">
        <f t="shared" si="364"/>
        <v>133255</v>
      </c>
      <c r="C406" s="27">
        <f t="shared" si="364"/>
        <v>98251</v>
      </c>
      <c r="D406" s="27">
        <f t="shared" si="364"/>
        <v>-35004</v>
      </c>
      <c r="E406" s="27">
        <f>SUM(E407,E412,E420)</f>
        <v>0</v>
      </c>
      <c r="F406" s="27">
        <f>SUM(F407,F412,F420)</f>
        <v>0</v>
      </c>
      <c r="G406" s="27">
        <f t="shared" si="303"/>
        <v>0</v>
      </c>
      <c r="H406" s="27">
        <f t="shared" ref="H406:I406" si="366">SUM(H407,H412,H420)</f>
        <v>0</v>
      </c>
      <c r="I406" s="27">
        <f t="shared" si="366"/>
        <v>0</v>
      </c>
      <c r="J406" s="27">
        <f t="shared" si="260"/>
        <v>0</v>
      </c>
      <c r="K406" s="27">
        <f t="shared" ref="K406:L406" si="367">SUM(K407,K412,K420)</f>
        <v>97984</v>
      </c>
      <c r="L406" s="27">
        <f t="shared" si="367"/>
        <v>61984</v>
      </c>
      <c r="M406" s="27">
        <f t="shared" si="262"/>
        <v>-36000</v>
      </c>
      <c r="N406" s="27">
        <f t="shared" ref="N406:O406" si="368">SUM(N407,N412,N420)</f>
        <v>0</v>
      </c>
      <c r="O406" s="27">
        <f t="shared" si="368"/>
        <v>996</v>
      </c>
      <c r="P406" s="27">
        <f t="shared" si="264"/>
        <v>996</v>
      </c>
      <c r="Q406" s="27">
        <f t="shared" ref="Q406:R406" si="369">SUM(Q407,Q412,Q420)</f>
        <v>12396</v>
      </c>
      <c r="R406" s="27">
        <f t="shared" si="369"/>
        <v>12396</v>
      </c>
      <c r="S406" s="27">
        <f t="shared" si="266"/>
        <v>0</v>
      </c>
      <c r="T406" s="27">
        <f t="shared" ref="T406:U406" si="370">SUM(T407,T412,T420)</f>
        <v>0</v>
      </c>
      <c r="U406" s="27">
        <f t="shared" si="370"/>
        <v>0</v>
      </c>
      <c r="V406" s="27">
        <f t="shared" si="268"/>
        <v>0</v>
      </c>
      <c r="W406" s="27">
        <f t="shared" ref="W406:X406" si="371">SUM(W407,W412,W420)</f>
        <v>1935</v>
      </c>
      <c r="X406" s="27">
        <f t="shared" si="371"/>
        <v>1935</v>
      </c>
      <c r="Y406" s="27">
        <f t="shared" si="270"/>
        <v>0</v>
      </c>
      <c r="Z406" s="27">
        <f t="shared" ref="Z406:AA406" si="372">SUM(Z407,Z412,Z420)</f>
        <v>20940</v>
      </c>
      <c r="AA406" s="27">
        <f t="shared" si="372"/>
        <v>20940</v>
      </c>
      <c r="AB406" s="27">
        <f t="shared" si="272"/>
        <v>0</v>
      </c>
      <c r="FN406" s="28"/>
      <c r="FO406" s="28"/>
      <c r="FP406" s="28"/>
      <c r="FQ406" s="28"/>
      <c r="FR406" s="28"/>
      <c r="FS406" s="28"/>
      <c r="FT406" s="28"/>
      <c r="FU406" s="28"/>
      <c r="FV406" s="28"/>
      <c r="FW406" s="28"/>
      <c r="FX406" s="28"/>
      <c r="FY406" s="28"/>
      <c r="FZ406" s="28"/>
      <c r="GA406" s="28"/>
      <c r="GB406" s="28"/>
      <c r="GC406" s="28"/>
      <c r="GD406" s="28"/>
      <c r="GE406" s="28"/>
      <c r="GF406" s="28"/>
      <c r="GG406" s="28"/>
    </row>
    <row r="407" spans="1:189" s="28" customFormat="1" x14ac:dyDescent="0.25">
      <c r="A407" s="26" t="s">
        <v>23</v>
      </c>
      <c r="B407" s="27">
        <f t="shared" si="364"/>
        <v>107940</v>
      </c>
      <c r="C407" s="27">
        <f t="shared" si="364"/>
        <v>71940</v>
      </c>
      <c r="D407" s="27">
        <f t="shared" si="364"/>
        <v>-36000</v>
      </c>
      <c r="E407" s="27">
        <f>SUM(E408)</f>
        <v>0</v>
      </c>
      <c r="F407" s="27">
        <f>SUM(F408)</f>
        <v>0</v>
      </c>
      <c r="G407" s="27">
        <f t="shared" si="303"/>
        <v>0</v>
      </c>
      <c r="H407" s="27">
        <f t="shared" ref="H407:I407" si="373">SUM(H408)</f>
        <v>0</v>
      </c>
      <c r="I407" s="27">
        <f t="shared" si="373"/>
        <v>0</v>
      </c>
      <c r="J407" s="27">
        <f t="shared" si="260"/>
        <v>0</v>
      </c>
      <c r="K407" s="27">
        <f t="shared" ref="K407:L407" si="374">SUM(K408)</f>
        <v>87000</v>
      </c>
      <c r="L407" s="27">
        <f t="shared" si="374"/>
        <v>51000</v>
      </c>
      <c r="M407" s="27">
        <f t="shared" si="262"/>
        <v>-36000</v>
      </c>
      <c r="N407" s="27">
        <f t="shared" ref="N407:O407" si="375">SUM(N408)</f>
        <v>0</v>
      </c>
      <c r="O407" s="27">
        <f t="shared" si="375"/>
        <v>0</v>
      </c>
      <c r="P407" s="27">
        <f t="shared" si="264"/>
        <v>0</v>
      </c>
      <c r="Q407" s="27">
        <f t="shared" ref="Q407:R407" si="376">SUM(Q408)</f>
        <v>0</v>
      </c>
      <c r="R407" s="27">
        <f t="shared" si="376"/>
        <v>0</v>
      </c>
      <c r="S407" s="27">
        <f t="shared" si="266"/>
        <v>0</v>
      </c>
      <c r="T407" s="27">
        <f t="shared" ref="T407:U407" si="377">SUM(T408)</f>
        <v>0</v>
      </c>
      <c r="U407" s="27">
        <f t="shared" si="377"/>
        <v>0</v>
      </c>
      <c r="V407" s="27">
        <f t="shared" si="268"/>
        <v>0</v>
      </c>
      <c r="W407" s="27">
        <f t="shared" ref="W407:X407" si="378">SUM(W408)</f>
        <v>0</v>
      </c>
      <c r="X407" s="27">
        <f t="shared" si="378"/>
        <v>0</v>
      </c>
      <c r="Y407" s="27">
        <f t="shared" si="270"/>
        <v>0</v>
      </c>
      <c r="Z407" s="27">
        <f t="shared" ref="Z407:AA407" si="379">SUM(Z408)</f>
        <v>20940</v>
      </c>
      <c r="AA407" s="27">
        <f t="shared" si="379"/>
        <v>20940</v>
      </c>
      <c r="AB407" s="27">
        <f t="shared" si="272"/>
        <v>0</v>
      </c>
    </row>
    <row r="408" spans="1:189" s="28" customFormat="1" ht="31.5" x14ac:dyDescent="0.25">
      <c r="A408" s="26" t="s">
        <v>360</v>
      </c>
      <c r="B408" s="27">
        <f t="shared" si="364"/>
        <v>107940</v>
      </c>
      <c r="C408" s="27">
        <f t="shared" si="364"/>
        <v>71940</v>
      </c>
      <c r="D408" s="27">
        <f t="shared" si="364"/>
        <v>-36000</v>
      </c>
      <c r="E408" s="27">
        <f t="shared" ref="E408:F408" si="380">SUM(E409:E411)</f>
        <v>0</v>
      </c>
      <c r="F408" s="27">
        <f t="shared" si="380"/>
        <v>0</v>
      </c>
      <c r="G408" s="27">
        <f t="shared" si="303"/>
        <v>0</v>
      </c>
      <c r="H408" s="27">
        <f t="shared" ref="H408:AA408" si="381">SUM(H409:H411)</f>
        <v>0</v>
      </c>
      <c r="I408" s="27">
        <f t="shared" si="381"/>
        <v>0</v>
      </c>
      <c r="J408" s="27">
        <f t="shared" si="260"/>
        <v>0</v>
      </c>
      <c r="K408" s="27">
        <f t="shared" ref="K408" si="382">SUM(K409:K411)</f>
        <v>87000</v>
      </c>
      <c r="L408" s="27">
        <f t="shared" si="381"/>
        <v>51000</v>
      </c>
      <c r="M408" s="27">
        <f t="shared" si="262"/>
        <v>-36000</v>
      </c>
      <c r="N408" s="27">
        <f t="shared" ref="N408" si="383">SUM(N409:N411)</f>
        <v>0</v>
      </c>
      <c r="O408" s="27">
        <f t="shared" si="381"/>
        <v>0</v>
      </c>
      <c r="P408" s="27">
        <f t="shared" si="264"/>
        <v>0</v>
      </c>
      <c r="Q408" s="27">
        <f t="shared" ref="Q408" si="384">SUM(Q409:Q411)</f>
        <v>0</v>
      </c>
      <c r="R408" s="27">
        <f t="shared" si="381"/>
        <v>0</v>
      </c>
      <c r="S408" s="27">
        <f t="shared" si="266"/>
        <v>0</v>
      </c>
      <c r="T408" s="27">
        <f t="shared" ref="T408" si="385">SUM(T409:T411)</f>
        <v>0</v>
      </c>
      <c r="U408" s="27">
        <f t="shared" si="381"/>
        <v>0</v>
      </c>
      <c r="V408" s="27">
        <f t="shared" si="268"/>
        <v>0</v>
      </c>
      <c r="W408" s="27">
        <f t="shared" ref="W408" si="386">SUM(W409:W411)</f>
        <v>0</v>
      </c>
      <c r="X408" s="27">
        <f t="shared" si="381"/>
        <v>0</v>
      </c>
      <c r="Y408" s="27">
        <f t="shared" si="270"/>
        <v>0</v>
      </c>
      <c r="Z408" s="27">
        <f t="shared" ref="Z408" si="387">SUM(Z409:Z411)</f>
        <v>20940</v>
      </c>
      <c r="AA408" s="27">
        <f t="shared" si="381"/>
        <v>20940</v>
      </c>
      <c r="AB408" s="27">
        <f t="shared" si="272"/>
        <v>0</v>
      </c>
    </row>
    <row r="409" spans="1:189" s="28" customFormat="1" ht="78.75" x14ac:dyDescent="0.25">
      <c r="A409" s="41" t="s">
        <v>361</v>
      </c>
      <c r="B409" s="31">
        <f t="shared" si="364"/>
        <v>35940</v>
      </c>
      <c r="C409" s="31">
        <f t="shared" si="364"/>
        <v>35940</v>
      </c>
      <c r="D409" s="31">
        <f t="shared" si="364"/>
        <v>0</v>
      </c>
      <c r="E409" s="31"/>
      <c r="F409" s="31"/>
      <c r="G409" s="31">
        <f t="shared" si="303"/>
        <v>0</v>
      </c>
      <c r="H409" s="31"/>
      <c r="I409" s="31"/>
      <c r="J409" s="31">
        <f t="shared" si="260"/>
        <v>0</v>
      </c>
      <c r="K409" s="31">
        <v>15000</v>
      </c>
      <c r="L409" s="31">
        <v>15000</v>
      </c>
      <c r="M409" s="31">
        <f t="shared" si="262"/>
        <v>0</v>
      </c>
      <c r="N409" s="31"/>
      <c r="O409" s="31"/>
      <c r="P409" s="31">
        <f t="shared" si="264"/>
        <v>0</v>
      </c>
      <c r="Q409" s="31">
        <v>0</v>
      </c>
      <c r="R409" s="31">
        <v>0</v>
      </c>
      <c r="S409" s="31">
        <f t="shared" si="266"/>
        <v>0</v>
      </c>
      <c r="T409" s="31"/>
      <c r="U409" s="31"/>
      <c r="V409" s="31">
        <f t="shared" si="268"/>
        <v>0</v>
      </c>
      <c r="W409" s="31"/>
      <c r="X409" s="31"/>
      <c r="Y409" s="31">
        <f t="shared" si="270"/>
        <v>0</v>
      </c>
      <c r="Z409" s="31">
        <v>20940</v>
      </c>
      <c r="AA409" s="31">
        <v>20940</v>
      </c>
      <c r="AB409" s="31">
        <f t="shared" si="272"/>
        <v>0</v>
      </c>
    </row>
    <row r="410" spans="1:189" s="28" customFormat="1" ht="31.5" x14ac:dyDescent="0.25">
      <c r="A410" s="41" t="s">
        <v>362</v>
      </c>
      <c r="B410" s="31">
        <f t="shared" si="364"/>
        <v>36000</v>
      </c>
      <c r="C410" s="31">
        <f t="shared" si="364"/>
        <v>36000</v>
      </c>
      <c r="D410" s="31">
        <f t="shared" si="364"/>
        <v>0</v>
      </c>
      <c r="E410" s="31"/>
      <c r="F410" s="31"/>
      <c r="G410" s="31">
        <f t="shared" si="303"/>
        <v>0</v>
      </c>
      <c r="H410" s="31"/>
      <c r="I410" s="31"/>
      <c r="J410" s="31">
        <f t="shared" si="260"/>
        <v>0</v>
      </c>
      <c r="K410" s="31">
        <v>36000</v>
      </c>
      <c r="L410" s="31">
        <v>36000</v>
      </c>
      <c r="M410" s="31">
        <f t="shared" si="262"/>
        <v>0</v>
      </c>
      <c r="N410" s="31"/>
      <c r="O410" s="31"/>
      <c r="P410" s="31">
        <f t="shared" si="264"/>
        <v>0</v>
      </c>
      <c r="Q410" s="31">
        <v>0</v>
      </c>
      <c r="R410" s="31">
        <v>0</v>
      </c>
      <c r="S410" s="31">
        <f t="shared" si="266"/>
        <v>0</v>
      </c>
      <c r="T410" s="31"/>
      <c r="U410" s="31"/>
      <c r="V410" s="31">
        <f t="shared" si="268"/>
        <v>0</v>
      </c>
      <c r="W410" s="31"/>
      <c r="X410" s="31"/>
      <c r="Y410" s="31">
        <f t="shared" si="270"/>
        <v>0</v>
      </c>
      <c r="Z410" s="31"/>
      <c r="AA410" s="31"/>
      <c r="AB410" s="31">
        <f t="shared" si="272"/>
        <v>0</v>
      </c>
    </row>
    <row r="411" spans="1:189" s="28" customFormat="1" x14ac:dyDescent="0.25">
      <c r="A411" s="36" t="s">
        <v>363</v>
      </c>
      <c r="B411" s="34">
        <f t="shared" si="364"/>
        <v>36000</v>
      </c>
      <c r="C411" s="34">
        <f t="shared" si="364"/>
        <v>0</v>
      </c>
      <c r="D411" s="34">
        <f t="shared" si="364"/>
        <v>-36000</v>
      </c>
      <c r="E411" s="34"/>
      <c r="F411" s="34"/>
      <c r="G411" s="34">
        <f t="shared" si="303"/>
        <v>0</v>
      </c>
      <c r="H411" s="34"/>
      <c r="I411" s="34"/>
      <c r="J411" s="34">
        <f t="shared" si="260"/>
        <v>0</v>
      </c>
      <c r="K411" s="34">
        <v>36000</v>
      </c>
      <c r="L411" s="34">
        <v>0</v>
      </c>
      <c r="M411" s="34">
        <f t="shared" si="262"/>
        <v>-36000</v>
      </c>
      <c r="N411" s="34"/>
      <c r="O411" s="34"/>
      <c r="P411" s="34">
        <f t="shared" si="264"/>
        <v>0</v>
      </c>
      <c r="Q411" s="34">
        <v>0</v>
      </c>
      <c r="R411" s="34">
        <v>0</v>
      </c>
      <c r="S411" s="34">
        <f t="shared" si="266"/>
        <v>0</v>
      </c>
      <c r="T411" s="34"/>
      <c r="U411" s="34"/>
      <c r="V411" s="34">
        <f t="shared" si="268"/>
        <v>0</v>
      </c>
      <c r="W411" s="34"/>
      <c r="X411" s="34"/>
      <c r="Y411" s="34">
        <f t="shared" si="270"/>
        <v>0</v>
      </c>
      <c r="Z411" s="34"/>
      <c r="AA411" s="34"/>
      <c r="AB411" s="34">
        <f t="shared" si="272"/>
        <v>0</v>
      </c>
    </row>
    <row r="412" spans="1:189" s="28" customFormat="1" x14ac:dyDescent="0.25">
      <c r="A412" s="26" t="s">
        <v>48</v>
      </c>
      <c r="B412" s="27">
        <f t="shared" si="364"/>
        <v>14331</v>
      </c>
      <c r="C412" s="27">
        <f t="shared" si="364"/>
        <v>15327</v>
      </c>
      <c r="D412" s="27">
        <f t="shared" si="364"/>
        <v>996</v>
      </c>
      <c r="E412" s="27">
        <f>SUM(E413,E418)</f>
        <v>0</v>
      </c>
      <c r="F412" s="27">
        <f>SUM(F413,F418)</f>
        <v>0</v>
      </c>
      <c r="G412" s="27">
        <f t="shared" si="303"/>
        <v>0</v>
      </c>
      <c r="H412" s="27">
        <f t="shared" ref="H412:I412" si="388">SUM(H413,H418)</f>
        <v>0</v>
      </c>
      <c r="I412" s="27">
        <f t="shared" si="388"/>
        <v>0</v>
      </c>
      <c r="J412" s="27">
        <f t="shared" si="260"/>
        <v>0</v>
      </c>
      <c r="K412" s="27">
        <f t="shared" ref="K412:L412" si="389">SUM(K413,K418)</f>
        <v>0</v>
      </c>
      <c r="L412" s="27">
        <f t="shared" si="389"/>
        <v>0</v>
      </c>
      <c r="M412" s="27">
        <f t="shared" si="262"/>
        <v>0</v>
      </c>
      <c r="N412" s="27">
        <f t="shared" ref="N412:O412" si="390">SUM(N413,N418)</f>
        <v>0</v>
      </c>
      <c r="O412" s="27">
        <f t="shared" si="390"/>
        <v>996</v>
      </c>
      <c r="P412" s="27">
        <f t="shared" si="264"/>
        <v>996</v>
      </c>
      <c r="Q412" s="27">
        <f t="shared" ref="Q412:R412" si="391">SUM(Q413,Q418)</f>
        <v>12396</v>
      </c>
      <c r="R412" s="27">
        <f t="shared" si="391"/>
        <v>12396</v>
      </c>
      <c r="S412" s="27">
        <f t="shared" si="266"/>
        <v>0</v>
      </c>
      <c r="T412" s="27">
        <f t="shared" ref="T412:U412" si="392">SUM(T413,T418)</f>
        <v>0</v>
      </c>
      <c r="U412" s="27">
        <f t="shared" si="392"/>
        <v>0</v>
      </c>
      <c r="V412" s="27">
        <f t="shared" si="268"/>
        <v>0</v>
      </c>
      <c r="W412" s="27">
        <f t="shared" ref="W412:X412" si="393">SUM(W413,W418)</f>
        <v>1935</v>
      </c>
      <c r="X412" s="27">
        <f t="shared" si="393"/>
        <v>1935</v>
      </c>
      <c r="Y412" s="27">
        <f t="shared" si="270"/>
        <v>0</v>
      </c>
      <c r="Z412" s="27">
        <f t="shared" ref="Z412:AA412" si="394">SUM(Z413,Z418)</f>
        <v>0</v>
      </c>
      <c r="AA412" s="27">
        <f t="shared" si="394"/>
        <v>0</v>
      </c>
      <c r="AB412" s="27">
        <f t="shared" si="272"/>
        <v>0</v>
      </c>
    </row>
    <row r="413" spans="1:189" s="28" customFormat="1" ht="31.5" x14ac:dyDescent="0.25">
      <c r="A413" s="26" t="s">
        <v>360</v>
      </c>
      <c r="B413" s="27">
        <f t="shared" si="364"/>
        <v>14331</v>
      </c>
      <c r="C413" s="27">
        <f t="shared" si="364"/>
        <v>14331</v>
      </c>
      <c r="D413" s="27">
        <f t="shared" si="364"/>
        <v>0</v>
      </c>
      <c r="E413" s="27">
        <f>SUM(E414:E417)</f>
        <v>0</v>
      </c>
      <c r="F413" s="27">
        <f>SUM(F414:F417)</f>
        <v>0</v>
      </c>
      <c r="G413" s="27">
        <f t="shared" si="303"/>
        <v>0</v>
      </c>
      <c r="H413" s="27">
        <f t="shared" ref="H413:I413" si="395">SUM(H414:H417)</f>
        <v>0</v>
      </c>
      <c r="I413" s="27">
        <f t="shared" si="395"/>
        <v>0</v>
      </c>
      <c r="J413" s="27">
        <f t="shared" ref="J413:J431" si="396">I413-H413</f>
        <v>0</v>
      </c>
      <c r="K413" s="27">
        <f t="shared" ref="K413:L413" si="397">SUM(K414:K417)</f>
        <v>0</v>
      </c>
      <c r="L413" s="27">
        <f t="shared" si="397"/>
        <v>0</v>
      </c>
      <c r="M413" s="27">
        <f t="shared" ref="M413:M431" si="398">L413-K413</f>
        <v>0</v>
      </c>
      <c r="N413" s="27">
        <f t="shared" ref="N413:O413" si="399">SUM(N414:N417)</f>
        <v>0</v>
      </c>
      <c r="O413" s="27">
        <f t="shared" si="399"/>
        <v>0</v>
      </c>
      <c r="P413" s="27">
        <f t="shared" ref="P413:P431" si="400">O413-N413</f>
        <v>0</v>
      </c>
      <c r="Q413" s="27">
        <f t="shared" ref="Q413:R413" si="401">SUM(Q414:Q417)</f>
        <v>12396</v>
      </c>
      <c r="R413" s="27">
        <f t="shared" si="401"/>
        <v>12396</v>
      </c>
      <c r="S413" s="27">
        <f t="shared" ref="S413:S431" si="402">R413-Q413</f>
        <v>0</v>
      </c>
      <c r="T413" s="27">
        <f t="shared" ref="T413:U413" si="403">SUM(T414:T417)</f>
        <v>0</v>
      </c>
      <c r="U413" s="27">
        <f t="shared" si="403"/>
        <v>0</v>
      </c>
      <c r="V413" s="27">
        <f t="shared" ref="V413:V431" si="404">U413-T413</f>
        <v>0</v>
      </c>
      <c r="W413" s="27">
        <f t="shared" ref="W413:X413" si="405">SUM(W414:W417)</f>
        <v>1935</v>
      </c>
      <c r="X413" s="27">
        <f t="shared" si="405"/>
        <v>1935</v>
      </c>
      <c r="Y413" s="27">
        <f t="shared" ref="Y413:Y431" si="406">X413-W413</f>
        <v>0</v>
      </c>
      <c r="Z413" s="27">
        <f t="shared" ref="Z413:AA413" si="407">SUM(Z414:Z417)</f>
        <v>0</v>
      </c>
      <c r="AA413" s="27">
        <f t="shared" si="407"/>
        <v>0</v>
      </c>
      <c r="AB413" s="27">
        <f t="shared" ref="AB413:AB431" si="408">AA413-Z413</f>
        <v>0</v>
      </c>
    </row>
    <row r="414" spans="1:189" s="28" customFormat="1" ht="47.25" x14ac:dyDescent="0.25">
      <c r="A414" s="33" t="s">
        <v>364</v>
      </c>
      <c r="B414" s="34">
        <f t="shared" si="364"/>
        <v>1940</v>
      </c>
      <c r="C414" s="34">
        <f t="shared" si="364"/>
        <v>1940</v>
      </c>
      <c r="D414" s="34">
        <f t="shared" si="364"/>
        <v>0</v>
      </c>
      <c r="E414" s="34"/>
      <c r="F414" s="34"/>
      <c r="G414" s="34">
        <f t="shared" si="303"/>
        <v>0</v>
      </c>
      <c r="H414" s="34"/>
      <c r="I414" s="34"/>
      <c r="J414" s="34">
        <f t="shared" si="396"/>
        <v>0</v>
      </c>
      <c r="K414" s="34"/>
      <c r="L414" s="34"/>
      <c r="M414" s="34">
        <f t="shared" si="398"/>
        <v>0</v>
      </c>
      <c r="N414" s="34"/>
      <c r="O414" s="34"/>
      <c r="P414" s="34">
        <f t="shared" si="400"/>
        <v>0</v>
      </c>
      <c r="Q414" s="34">
        <v>1940</v>
      </c>
      <c r="R414" s="34">
        <v>1940</v>
      </c>
      <c r="S414" s="34">
        <f t="shared" si="402"/>
        <v>0</v>
      </c>
      <c r="T414" s="34"/>
      <c r="U414" s="34"/>
      <c r="V414" s="34">
        <f t="shared" si="404"/>
        <v>0</v>
      </c>
      <c r="W414" s="34"/>
      <c r="X414" s="34"/>
      <c r="Y414" s="34">
        <f t="shared" si="406"/>
        <v>0</v>
      </c>
      <c r="Z414" s="34"/>
      <c r="AA414" s="34"/>
      <c r="AB414" s="34">
        <f t="shared" si="408"/>
        <v>0</v>
      </c>
    </row>
    <row r="415" spans="1:189" s="28" customFormat="1" x14ac:dyDescent="0.25">
      <c r="A415" s="33" t="s">
        <v>365</v>
      </c>
      <c r="B415" s="34">
        <f t="shared" si="364"/>
        <v>396</v>
      </c>
      <c r="C415" s="34">
        <f t="shared" si="364"/>
        <v>396</v>
      </c>
      <c r="D415" s="34">
        <f t="shared" si="364"/>
        <v>0</v>
      </c>
      <c r="E415" s="34"/>
      <c r="F415" s="34"/>
      <c r="G415" s="34">
        <f t="shared" si="303"/>
        <v>0</v>
      </c>
      <c r="H415" s="34"/>
      <c r="I415" s="34"/>
      <c r="J415" s="34">
        <f t="shared" si="396"/>
        <v>0</v>
      </c>
      <c r="K415" s="34"/>
      <c r="L415" s="34"/>
      <c r="M415" s="34">
        <f t="shared" si="398"/>
        <v>0</v>
      </c>
      <c r="N415" s="34"/>
      <c r="O415" s="34"/>
      <c r="P415" s="34">
        <f t="shared" si="400"/>
        <v>0</v>
      </c>
      <c r="Q415" s="34">
        <v>396</v>
      </c>
      <c r="R415" s="34">
        <v>396</v>
      </c>
      <c r="S415" s="34">
        <f t="shared" si="402"/>
        <v>0</v>
      </c>
      <c r="T415" s="34"/>
      <c r="U415" s="34"/>
      <c r="V415" s="34">
        <f t="shared" si="404"/>
        <v>0</v>
      </c>
      <c r="W415" s="34"/>
      <c r="X415" s="34"/>
      <c r="Y415" s="34">
        <f t="shared" si="406"/>
        <v>0</v>
      </c>
      <c r="Z415" s="34"/>
      <c r="AA415" s="34"/>
      <c r="AB415" s="34">
        <f t="shared" si="408"/>
        <v>0</v>
      </c>
    </row>
    <row r="416" spans="1:189" s="28" customFormat="1" ht="31.5" x14ac:dyDescent="0.25">
      <c r="A416" s="33" t="s">
        <v>366</v>
      </c>
      <c r="B416" s="34">
        <f t="shared" si="364"/>
        <v>1935</v>
      </c>
      <c r="C416" s="34">
        <f t="shared" si="364"/>
        <v>1935</v>
      </c>
      <c r="D416" s="34">
        <f t="shared" si="364"/>
        <v>0</v>
      </c>
      <c r="E416" s="34"/>
      <c r="F416" s="34"/>
      <c r="G416" s="34">
        <f t="shared" si="303"/>
        <v>0</v>
      </c>
      <c r="H416" s="34"/>
      <c r="I416" s="34"/>
      <c r="J416" s="34">
        <f t="shared" si="396"/>
        <v>0</v>
      </c>
      <c r="K416" s="34"/>
      <c r="L416" s="34"/>
      <c r="M416" s="34">
        <f t="shared" si="398"/>
        <v>0</v>
      </c>
      <c r="N416" s="34"/>
      <c r="O416" s="34"/>
      <c r="P416" s="34">
        <f t="shared" si="400"/>
        <v>0</v>
      </c>
      <c r="Q416" s="34"/>
      <c r="R416" s="34"/>
      <c r="S416" s="34">
        <f t="shared" si="402"/>
        <v>0</v>
      </c>
      <c r="T416" s="34"/>
      <c r="U416" s="34"/>
      <c r="V416" s="34">
        <f t="shared" si="404"/>
        <v>0</v>
      </c>
      <c r="W416" s="34">
        <v>1935</v>
      </c>
      <c r="X416" s="34">
        <v>1935</v>
      </c>
      <c r="Y416" s="34">
        <f t="shared" si="406"/>
        <v>0</v>
      </c>
      <c r="Z416" s="34"/>
      <c r="AA416" s="34"/>
      <c r="AB416" s="34">
        <f t="shared" si="408"/>
        <v>0</v>
      </c>
    </row>
    <row r="417" spans="1:194" s="28" customFormat="1" ht="47.25" x14ac:dyDescent="0.25">
      <c r="A417" s="33" t="s">
        <v>367</v>
      </c>
      <c r="B417" s="34">
        <f t="shared" si="364"/>
        <v>10060</v>
      </c>
      <c r="C417" s="34">
        <f t="shared" si="364"/>
        <v>10060</v>
      </c>
      <c r="D417" s="34">
        <f t="shared" si="364"/>
        <v>0</v>
      </c>
      <c r="E417" s="34"/>
      <c r="F417" s="34"/>
      <c r="G417" s="34">
        <f t="shared" si="303"/>
        <v>0</v>
      </c>
      <c r="H417" s="34"/>
      <c r="I417" s="34"/>
      <c r="J417" s="34">
        <f t="shared" si="396"/>
        <v>0</v>
      </c>
      <c r="K417" s="34"/>
      <c r="L417" s="34"/>
      <c r="M417" s="34">
        <f t="shared" si="398"/>
        <v>0</v>
      </c>
      <c r="N417" s="34"/>
      <c r="O417" s="34"/>
      <c r="P417" s="34">
        <f t="shared" si="400"/>
        <v>0</v>
      </c>
      <c r="Q417" s="34">
        <v>10060</v>
      </c>
      <c r="R417" s="34">
        <v>10060</v>
      </c>
      <c r="S417" s="34">
        <f t="shared" si="402"/>
        <v>0</v>
      </c>
      <c r="T417" s="34"/>
      <c r="U417" s="34"/>
      <c r="V417" s="34">
        <f t="shared" si="404"/>
        <v>0</v>
      </c>
      <c r="W417" s="34"/>
      <c r="X417" s="34"/>
      <c r="Y417" s="34">
        <f t="shared" si="406"/>
        <v>0</v>
      </c>
      <c r="Z417" s="34"/>
      <c r="AA417" s="34"/>
      <c r="AB417" s="34">
        <f t="shared" si="408"/>
        <v>0</v>
      </c>
    </row>
    <row r="418" spans="1:194" s="28" customFormat="1" ht="31.5" x14ac:dyDescent="0.25">
      <c r="A418" s="26" t="s">
        <v>368</v>
      </c>
      <c r="B418" s="27">
        <f t="shared" si="364"/>
        <v>0</v>
      </c>
      <c r="C418" s="27">
        <f t="shared" si="364"/>
        <v>996</v>
      </c>
      <c r="D418" s="27">
        <f t="shared" si="364"/>
        <v>996</v>
      </c>
      <c r="E418" s="27">
        <f>SUM(E419)</f>
        <v>0</v>
      </c>
      <c r="F418" s="27">
        <f>SUM(F419)</f>
        <v>0</v>
      </c>
      <c r="G418" s="27">
        <f t="shared" si="303"/>
        <v>0</v>
      </c>
      <c r="H418" s="27">
        <f t="shared" ref="H418:I418" si="409">SUM(H419)</f>
        <v>0</v>
      </c>
      <c r="I418" s="27">
        <f t="shared" si="409"/>
        <v>0</v>
      </c>
      <c r="J418" s="27">
        <f t="shared" si="396"/>
        <v>0</v>
      </c>
      <c r="K418" s="27">
        <f t="shared" ref="K418:L418" si="410">SUM(K419)</f>
        <v>0</v>
      </c>
      <c r="L418" s="27">
        <f t="shared" si="410"/>
        <v>0</v>
      </c>
      <c r="M418" s="27">
        <f t="shared" si="398"/>
        <v>0</v>
      </c>
      <c r="N418" s="27">
        <f t="shared" ref="N418:O418" si="411">SUM(N419)</f>
        <v>0</v>
      </c>
      <c r="O418" s="27">
        <f t="shared" si="411"/>
        <v>996</v>
      </c>
      <c r="P418" s="27">
        <f t="shared" si="400"/>
        <v>996</v>
      </c>
      <c r="Q418" s="27">
        <f t="shared" ref="Q418:R418" si="412">SUM(Q419)</f>
        <v>0</v>
      </c>
      <c r="R418" s="27">
        <f t="shared" si="412"/>
        <v>0</v>
      </c>
      <c r="S418" s="27">
        <f t="shared" si="402"/>
        <v>0</v>
      </c>
      <c r="T418" s="27">
        <f t="shared" ref="T418:U418" si="413">SUM(T419)</f>
        <v>0</v>
      </c>
      <c r="U418" s="27">
        <f t="shared" si="413"/>
        <v>0</v>
      </c>
      <c r="V418" s="27">
        <f t="shared" si="404"/>
        <v>0</v>
      </c>
      <c r="W418" s="27">
        <f t="shared" ref="W418:X418" si="414">SUM(W419)</f>
        <v>0</v>
      </c>
      <c r="X418" s="27">
        <f t="shared" si="414"/>
        <v>0</v>
      </c>
      <c r="Y418" s="27">
        <f t="shared" si="406"/>
        <v>0</v>
      </c>
      <c r="Z418" s="27">
        <f t="shared" ref="Z418:AA418" si="415">SUM(Z419)</f>
        <v>0</v>
      </c>
      <c r="AA418" s="27">
        <f t="shared" si="415"/>
        <v>0</v>
      </c>
      <c r="AB418" s="27">
        <f t="shared" si="408"/>
        <v>0</v>
      </c>
    </row>
    <row r="419" spans="1:194" s="28" customFormat="1" ht="63" x14ac:dyDescent="0.25">
      <c r="A419" s="33" t="s">
        <v>369</v>
      </c>
      <c r="B419" s="34">
        <f t="shared" si="364"/>
        <v>0</v>
      </c>
      <c r="C419" s="34">
        <f t="shared" si="364"/>
        <v>996</v>
      </c>
      <c r="D419" s="34">
        <f t="shared" si="364"/>
        <v>996</v>
      </c>
      <c r="E419" s="34"/>
      <c r="F419" s="34"/>
      <c r="G419" s="34">
        <f t="shared" si="303"/>
        <v>0</v>
      </c>
      <c r="H419" s="34"/>
      <c r="I419" s="34"/>
      <c r="J419" s="34">
        <f t="shared" si="396"/>
        <v>0</v>
      </c>
      <c r="K419" s="34"/>
      <c r="L419" s="34"/>
      <c r="M419" s="34">
        <f t="shared" si="398"/>
        <v>0</v>
      </c>
      <c r="N419" s="34"/>
      <c r="O419" s="34">
        <v>996</v>
      </c>
      <c r="P419" s="34">
        <f t="shared" si="400"/>
        <v>996</v>
      </c>
      <c r="Q419" s="34"/>
      <c r="R419" s="34"/>
      <c r="S419" s="34">
        <f t="shared" si="402"/>
        <v>0</v>
      </c>
      <c r="T419" s="34"/>
      <c r="U419" s="34"/>
      <c r="V419" s="34">
        <f t="shared" si="404"/>
        <v>0</v>
      </c>
      <c r="W419" s="34"/>
      <c r="X419" s="34"/>
      <c r="Y419" s="34">
        <f t="shared" si="406"/>
        <v>0</v>
      </c>
      <c r="Z419" s="34"/>
      <c r="AA419" s="34"/>
      <c r="AB419" s="34">
        <f t="shared" si="408"/>
        <v>0</v>
      </c>
    </row>
    <row r="420" spans="1:194" s="28" customFormat="1" ht="31.5" x14ac:dyDescent="0.25">
      <c r="A420" s="26" t="s">
        <v>141</v>
      </c>
      <c r="B420" s="27">
        <f t="shared" si="364"/>
        <v>10984</v>
      </c>
      <c r="C420" s="27">
        <f t="shared" si="364"/>
        <v>10984</v>
      </c>
      <c r="D420" s="27">
        <f t="shared" si="364"/>
        <v>0</v>
      </c>
      <c r="E420" s="27">
        <f>SUM(E421)</f>
        <v>0</v>
      </c>
      <c r="F420" s="27">
        <f>SUM(F421)</f>
        <v>0</v>
      </c>
      <c r="G420" s="27">
        <f t="shared" si="303"/>
        <v>0</v>
      </c>
      <c r="H420" s="27">
        <f t="shared" ref="H420:I420" si="416">SUM(H421)</f>
        <v>0</v>
      </c>
      <c r="I420" s="27">
        <f t="shared" si="416"/>
        <v>0</v>
      </c>
      <c r="J420" s="27">
        <f t="shared" si="396"/>
        <v>0</v>
      </c>
      <c r="K420" s="27">
        <f t="shared" ref="K420:L420" si="417">SUM(K421)</f>
        <v>10984</v>
      </c>
      <c r="L420" s="27">
        <f t="shared" si="417"/>
        <v>10984</v>
      </c>
      <c r="M420" s="27">
        <f t="shared" si="398"/>
        <v>0</v>
      </c>
      <c r="N420" s="27">
        <f t="shared" ref="N420:O420" si="418">SUM(N421)</f>
        <v>0</v>
      </c>
      <c r="O420" s="27">
        <f t="shared" si="418"/>
        <v>0</v>
      </c>
      <c r="P420" s="27">
        <f t="shared" si="400"/>
        <v>0</v>
      </c>
      <c r="Q420" s="27">
        <f t="shared" ref="Q420:R420" si="419">SUM(Q421)</f>
        <v>0</v>
      </c>
      <c r="R420" s="27">
        <f t="shared" si="419"/>
        <v>0</v>
      </c>
      <c r="S420" s="27">
        <f t="shared" si="402"/>
        <v>0</v>
      </c>
      <c r="T420" s="27">
        <f t="shared" ref="T420:U420" si="420">SUM(T421)</f>
        <v>0</v>
      </c>
      <c r="U420" s="27">
        <f t="shared" si="420"/>
        <v>0</v>
      </c>
      <c r="V420" s="27">
        <f t="shared" si="404"/>
        <v>0</v>
      </c>
      <c r="W420" s="27">
        <f t="shared" ref="W420:X420" si="421">SUM(W421)</f>
        <v>0</v>
      </c>
      <c r="X420" s="27">
        <f t="shared" si="421"/>
        <v>0</v>
      </c>
      <c r="Y420" s="27">
        <f t="shared" si="406"/>
        <v>0</v>
      </c>
      <c r="Z420" s="27">
        <f t="shared" ref="Z420:AA420" si="422">SUM(Z421)</f>
        <v>0</v>
      </c>
      <c r="AA420" s="27">
        <f t="shared" si="422"/>
        <v>0</v>
      </c>
      <c r="AB420" s="27">
        <f t="shared" si="408"/>
        <v>0</v>
      </c>
      <c r="AC420" s="25"/>
      <c r="AD420" s="25"/>
      <c r="AE420" s="25"/>
      <c r="AF420" s="25"/>
      <c r="AG420" s="25"/>
      <c r="AH420" s="25"/>
      <c r="AI420" s="25"/>
      <c r="AJ420" s="25"/>
      <c r="AK420" s="25"/>
      <c r="AL420" s="25"/>
      <c r="AM420" s="25"/>
      <c r="AN420" s="25"/>
      <c r="AO420" s="25"/>
      <c r="AP420" s="25"/>
      <c r="AQ420" s="25"/>
      <c r="AR420" s="25"/>
      <c r="AS420" s="25"/>
      <c r="AT420" s="25"/>
      <c r="AU420" s="25"/>
      <c r="AV420" s="25"/>
      <c r="AW420" s="25"/>
      <c r="AX420" s="25"/>
      <c r="AY420" s="25"/>
      <c r="AZ420" s="25"/>
      <c r="BA420" s="25"/>
      <c r="BB420" s="25"/>
      <c r="BC420" s="25"/>
      <c r="BD420" s="25"/>
      <c r="BE420" s="25"/>
      <c r="BF420" s="25"/>
      <c r="BG420" s="25"/>
      <c r="BH420" s="25"/>
      <c r="BI420" s="25"/>
      <c r="BJ420" s="25"/>
      <c r="BK420" s="25"/>
      <c r="BL420" s="25"/>
      <c r="BM420" s="25"/>
      <c r="BN420" s="25"/>
      <c r="BO420" s="25"/>
      <c r="BP420" s="25"/>
      <c r="BQ420" s="25"/>
      <c r="BR420" s="25"/>
      <c r="BS420" s="25"/>
      <c r="BT420" s="25"/>
      <c r="BU420" s="25"/>
      <c r="BV420" s="25"/>
      <c r="BW420" s="25"/>
      <c r="BX420" s="25"/>
      <c r="BY420" s="25"/>
      <c r="BZ420" s="25"/>
      <c r="CA420" s="25"/>
      <c r="CB420" s="25"/>
      <c r="CC420" s="25"/>
      <c r="CD420" s="25"/>
      <c r="CE420" s="25"/>
      <c r="CF420" s="25"/>
      <c r="CG420" s="25"/>
      <c r="CH420" s="25"/>
      <c r="CI420" s="25"/>
      <c r="CJ420" s="25"/>
      <c r="CK420" s="25"/>
      <c r="CL420" s="25"/>
      <c r="CM420" s="25"/>
      <c r="CN420" s="25"/>
      <c r="CO420" s="25"/>
      <c r="CP420" s="25"/>
      <c r="CQ420" s="25"/>
      <c r="CR420" s="25"/>
      <c r="CS420" s="25"/>
      <c r="CT420" s="25"/>
      <c r="CU420" s="25"/>
      <c r="CV420" s="25"/>
      <c r="CW420" s="25"/>
      <c r="CX420" s="25"/>
      <c r="CY420" s="25"/>
      <c r="CZ420" s="25"/>
      <c r="DA420" s="25"/>
      <c r="DB420" s="25"/>
      <c r="DC420" s="25"/>
      <c r="DD420" s="25"/>
      <c r="DE420" s="25"/>
      <c r="DF420" s="25"/>
      <c r="DG420" s="25"/>
      <c r="DH420" s="25"/>
      <c r="DI420" s="25"/>
      <c r="DJ420" s="25"/>
      <c r="DK420" s="25"/>
      <c r="DL420" s="25"/>
      <c r="DM420" s="25"/>
      <c r="DN420" s="25"/>
      <c r="DO420" s="25"/>
      <c r="DP420" s="25"/>
      <c r="DQ420" s="25"/>
      <c r="DR420" s="25"/>
      <c r="DS420" s="25"/>
      <c r="DT420" s="25"/>
      <c r="DU420" s="25"/>
      <c r="DV420" s="25"/>
      <c r="DW420" s="25"/>
      <c r="DX420" s="25"/>
      <c r="DY420" s="25"/>
      <c r="DZ420" s="25"/>
      <c r="EA420" s="25"/>
      <c r="EB420" s="25"/>
      <c r="EC420" s="25"/>
      <c r="ED420" s="25"/>
      <c r="EE420" s="25"/>
      <c r="EF420" s="25"/>
      <c r="EG420" s="25"/>
      <c r="EH420" s="25"/>
      <c r="EI420" s="25"/>
      <c r="EJ420" s="25"/>
      <c r="EK420" s="25"/>
      <c r="EL420" s="25"/>
      <c r="EM420" s="25"/>
      <c r="EN420" s="25"/>
      <c r="EO420" s="25"/>
      <c r="EP420" s="25"/>
      <c r="EQ420" s="25"/>
      <c r="ER420" s="25"/>
      <c r="ES420" s="25"/>
      <c r="ET420" s="25"/>
      <c r="EU420" s="25"/>
      <c r="EV420" s="25"/>
      <c r="EW420" s="25"/>
      <c r="EX420" s="25"/>
      <c r="EY420" s="25"/>
      <c r="EZ420" s="25"/>
      <c r="FA420" s="25"/>
      <c r="FB420" s="25"/>
      <c r="FC420" s="25"/>
      <c r="FD420" s="25"/>
      <c r="FE420" s="25"/>
      <c r="FF420" s="25"/>
      <c r="FG420" s="25"/>
      <c r="FH420" s="25"/>
      <c r="FI420" s="25"/>
      <c r="FJ420" s="25"/>
      <c r="FK420" s="25"/>
      <c r="FL420" s="25"/>
      <c r="FM420" s="25"/>
      <c r="FN420" s="25"/>
      <c r="FO420" s="25"/>
      <c r="FP420" s="25"/>
      <c r="FQ420" s="25"/>
      <c r="FR420" s="25"/>
      <c r="FS420" s="25"/>
      <c r="FT420" s="25"/>
      <c r="FU420" s="25"/>
      <c r="FV420" s="25"/>
      <c r="FW420" s="25"/>
      <c r="FX420" s="25"/>
      <c r="FY420" s="25"/>
      <c r="FZ420" s="25"/>
      <c r="GA420" s="25"/>
      <c r="GB420" s="25"/>
      <c r="GC420" s="25"/>
      <c r="GD420" s="25"/>
      <c r="GE420" s="25"/>
      <c r="GF420" s="25"/>
      <c r="GG420" s="25"/>
    </row>
    <row r="421" spans="1:194" s="28" customFormat="1" ht="31.5" x14ac:dyDescent="0.25">
      <c r="A421" s="26" t="s">
        <v>360</v>
      </c>
      <c r="B421" s="27">
        <f>E421+H421+K421+N421+Q421+T421+Z421+W421</f>
        <v>10984</v>
      </c>
      <c r="C421" s="27">
        <f t="shared" si="364"/>
        <v>10984</v>
      </c>
      <c r="D421" s="27">
        <f t="shared" si="364"/>
        <v>0</v>
      </c>
      <c r="E421" s="27">
        <f>SUM(E422:E423)</f>
        <v>0</v>
      </c>
      <c r="F421" s="27">
        <f>SUM(F422:F423)</f>
        <v>0</v>
      </c>
      <c r="G421" s="27">
        <f>F421-E421</f>
        <v>0</v>
      </c>
      <c r="H421" s="27">
        <f>SUM(H422:H423)</f>
        <v>0</v>
      </c>
      <c r="I421" s="27">
        <f>SUM(I422:I423)</f>
        <v>0</v>
      </c>
      <c r="J421" s="27">
        <f t="shared" si="396"/>
        <v>0</v>
      </c>
      <c r="K421" s="27">
        <f>SUM(K422:K423)</f>
        <v>10984</v>
      </c>
      <c r="L421" s="27">
        <f>SUM(L422:L423)</f>
        <v>10984</v>
      </c>
      <c r="M421" s="27">
        <f t="shared" si="398"/>
        <v>0</v>
      </c>
      <c r="N421" s="27">
        <f>SUM(N422:N423)</f>
        <v>0</v>
      </c>
      <c r="O421" s="27">
        <f>SUM(O422:O423)</f>
        <v>0</v>
      </c>
      <c r="P421" s="27">
        <f t="shared" si="400"/>
        <v>0</v>
      </c>
      <c r="Q421" s="27">
        <f>SUM(Q422:Q423)</f>
        <v>0</v>
      </c>
      <c r="R421" s="27">
        <f>SUM(R422:R423)</f>
        <v>0</v>
      </c>
      <c r="S421" s="27">
        <f t="shared" si="402"/>
        <v>0</v>
      </c>
      <c r="T421" s="27">
        <f>SUM(T422:T423)</f>
        <v>0</v>
      </c>
      <c r="U421" s="27">
        <f>SUM(U422:U423)</f>
        <v>0</v>
      </c>
      <c r="V421" s="27">
        <f t="shared" si="404"/>
        <v>0</v>
      </c>
      <c r="W421" s="27">
        <f>SUM(W422:W423)</f>
        <v>0</v>
      </c>
      <c r="X421" s="27">
        <f>SUM(X422:X423)</f>
        <v>0</v>
      </c>
      <c r="Y421" s="27">
        <f t="shared" si="406"/>
        <v>0</v>
      </c>
      <c r="Z421" s="27">
        <f>SUM(Z422:Z423)</f>
        <v>0</v>
      </c>
      <c r="AA421" s="27">
        <f>SUM(AA422:AA423)</f>
        <v>0</v>
      </c>
      <c r="AB421" s="27">
        <f>AA421-Z421</f>
        <v>0</v>
      </c>
    </row>
    <row r="422" spans="1:194" s="28" customFormat="1" ht="31.5" x14ac:dyDescent="0.25">
      <c r="A422" s="30" t="s">
        <v>322</v>
      </c>
      <c r="B422" s="34">
        <f>E422+H422+K422+N422+Q422+T422+Z422+W422</f>
        <v>9426</v>
      </c>
      <c r="C422" s="34">
        <f t="shared" si="364"/>
        <v>9426</v>
      </c>
      <c r="D422" s="34">
        <f t="shared" si="364"/>
        <v>0</v>
      </c>
      <c r="E422" s="34"/>
      <c r="F422" s="34"/>
      <c r="G422" s="34">
        <f t="shared" ref="G422" si="423">F422-E422</f>
        <v>0</v>
      </c>
      <c r="H422" s="34"/>
      <c r="I422" s="34"/>
      <c r="J422" s="34">
        <f t="shared" si="396"/>
        <v>0</v>
      </c>
      <c r="K422" s="34">
        <v>9426</v>
      </c>
      <c r="L422" s="34">
        <v>9426</v>
      </c>
      <c r="M422" s="34">
        <f t="shared" si="398"/>
        <v>0</v>
      </c>
      <c r="N422" s="34"/>
      <c r="O422" s="34"/>
      <c r="P422" s="34">
        <f t="shared" si="400"/>
        <v>0</v>
      </c>
      <c r="Q422" s="34"/>
      <c r="R422" s="34"/>
      <c r="S422" s="34">
        <f t="shared" si="402"/>
        <v>0</v>
      </c>
      <c r="T422" s="34"/>
      <c r="U422" s="34"/>
      <c r="V422" s="34">
        <f t="shared" si="404"/>
        <v>0</v>
      </c>
      <c r="W422" s="34"/>
      <c r="X422" s="34"/>
      <c r="Y422" s="34">
        <f t="shared" si="406"/>
        <v>0</v>
      </c>
      <c r="Z422" s="34"/>
      <c r="AA422" s="34"/>
      <c r="AB422" s="34">
        <f t="shared" ref="AB422" si="424">AA422-Z422</f>
        <v>0</v>
      </c>
    </row>
    <row r="423" spans="1:194" s="28" customFormat="1" x14ac:dyDescent="0.25">
      <c r="A423" s="30" t="s">
        <v>370</v>
      </c>
      <c r="B423" s="34">
        <f t="shared" si="364"/>
        <v>1558</v>
      </c>
      <c r="C423" s="34">
        <f t="shared" si="364"/>
        <v>1558</v>
      </c>
      <c r="D423" s="34">
        <f t="shared" si="364"/>
        <v>0</v>
      </c>
      <c r="E423" s="34"/>
      <c r="F423" s="34"/>
      <c r="G423" s="34">
        <f t="shared" si="303"/>
        <v>0</v>
      </c>
      <c r="H423" s="34"/>
      <c r="I423" s="34"/>
      <c r="J423" s="34">
        <f t="shared" si="396"/>
        <v>0</v>
      </c>
      <c r="K423" s="34">
        <v>1558</v>
      </c>
      <c r="L423" s="34">
        <v>1558</v>
      </c>
      <c r="M423" s="34">
        <f t="shared" si="398"/>
        <v>0</v>
      </c>
      <c r="N423" s="34"/>
      <c r="O423" s="34"/>
      <c r="P423" s="34">
        <f t="shared" si="400"/>
        <v>0</v>
      </c>
      <c r="Q423" s="34"/>
      <c r="R423" s="34"/>
      <c r="S423" s="34">
        <f t="shared" si="402"/>
        <v>0</v>
      </c>
      <c r="T423" s="34"/>
      <c r="U423" s="34"/>
      <c r="V423" s="34">
        <f t="shared" si="404"/>
        <v>0</v>
      </c>
      <c r="W423" s="34"/>
      <c r="X423" s="34"/>
      <c r="Y423" s="34">
        <f t="shared" si="406"/>
        <v>0</v>
      </c>
      <c r="Z423" s="34"/>
      <c r="AA423" s="34"/>
      <c r="AB423" s="34">
        <f t="shared" si="408"/>
        <v>0</v>
      </c>
    </row>
    <row r="424" spans="1:194" s="28" customFormat="1" x14ac:dyDescent="0.25">
      <c r="A424" s="49" t="s">
        <v>371</v>
      </c>
      <c r="B424" s="27">
        <f t="shared" si="364"/>
        <v>67953</v>
      </c>
      <c r="C424" s="27">
        <f t="shared" si="364"/>
        <v>74591</v>
      </c>
      <c r="D424" s="27">
        <f t="shared" si="364"/>
        <v>6638</v>
      </c>
      <c r="E424" s="27">
        <f t="shared" ref="E424:AA424" si="425">SUM(E425)</f>
        <v>0</v>
      </c>
      <c r="F424" s="27">
        <f t="shared" si="425"/>
        <v>0</v>
      </c>
      <c r="G424" s="27">
        <f t="shared" si="303"/>
        <v>0</v>
      </c>
      <c r="H424" s="27">
        <f t="shared" si="425"/>
        <v>0</v>
      </c>
      <c r="I424" s="27">
        <f t="shared" si="425"/>
        <v>0</v>
      </c>
      <c r="J424" s="27">
        <f t="shared" si="396"/>
        <v>0</v>
      </c>
      <c r="K424" s="27">
        <f t="shared" si="425"/>
        <v>67953</v>
      </c>
      <c r="L424" s="27">
        <f t="shared" si="425"/>
        <v>74591</v>
      </c>
      <c r="M424" s="27">
        <f t="shared" si="398"/>
        <v>6638</v>
      </c>
      <c r="N424" s="27">
        <f t="shared" si="425"/>
        <v>0</v>
      </c>
      <c r="O424" s="27">
        <f t="shared" si="425"/>
        <v>0</v>
      </c>
      <c r="P424" s="27">
        <f t="shared" si="400"/>
        <v>0</v>
      </c>
      <c r="Q424" s="27">
        <f t="shared" si="425"/>
        <v>0</v>
      </c>
      <c r="R424" s="27">
        <f t="shared" si="425"/>
        <v>0</v>
      </c>
      <c r="S424" s="27">
        <f t="shared" si="402"/>
        <v>0</v>
      </c>
      <c r="T424" s="27">
        <f t="shared" si="425"/>
        <v>0</v>
      </c>
      <c r="U424" s="27">
        <f t="shared" si="425"/>
        <v>0</v>
      </c>
      <c r="V424" s="27">
        <f t="shared" si="404"/>
        <v>0</v>
      </c>
      <c r="W424" s="27">
        <f t="shared" si="425"/>
        <v>0</v>
      </c>
      <c r="X424" s="27">
        <f t="shared" si="425"/>
        <v>0</v>
      </c>
      <c r="Y424" s="27">
        <f t="shared" si="406"/>
        <v>0</v>
      </c>
      <c r="Z424" s="27">
        <f t="shared" si="425"/>
        <v>0</v>
      </c>
      <c r="AA424" s="27">
        <f t="shared" si="425"/>
        <v>0</v>
      </c>
      <c r="AB424" s="27">
        <f t="shared" si="408"/>
        <v>0</v>
      </c>
    </row>
    <row r="425" spans="1:194" s="28" customFormat="1" ht="31.5" x14ac:dyDescent="0.25">
      <c r="A425" s="26" t="s">
        <v>74</v>
      </c>
      <c r="B425" s="27">
        <f t="shared" si="364"/>
        <v>67953</v>
      </c>
      <c r="C425" s="27">
        <f t="shared" si="364"/>
        <v>74591</v>
      </c>
      <c r="D425" s="27">
        <f>G425+J425+M425+P425+S425+V425+AB425+Y425</f>
        <v>6638</v>
      </c>
      <c r="E425" s="27">
        <f>SUM(E426:E427)</f>
        <v>0</v>
      </c>
      <c r="F425" s="27">
        <f>SUM(F426:F427)</f>
        <v>0</v>
      </c>
      <c r="G425" s="27">
        <f t="shared" si="303"/>
        <v>0</v>
      </c>
      <c r="H425" s="27">
        <f t="shared" ref="H425:I425" si="426">SUM(H426:H427)</f>
        <v>0</v>
      </c>
      <c r="I425" s="27">
        <f t="shared" si="426"/>
        <v>0</v>
      </c>
      <c r="J425" s="27">
        <f t="shared" si="396"/>
        <v>0</v>
      </c>
      <c r="K425" s="27">
        <f t="shared" ref="K425:L425" si="427">SUM(K426:K427)</f>
        <v>67953</v>
      </c>
      <c r="L425" s="27">
        <f t="shared" si="427"/>
        <v>74591</v>
      </c>
      <c r="M425" s="27">
        <f t="shared" si="398"/>
        <v>6638</v>
      </c>
      <c r="N425" s="27">
        <f t="shared" ref="N425:O425" si="428">SUM(N426:N427)</f>
        <v>0</v>
      </c>
      <c r="O425" s="27">
        <f t="shared" si="428"/>
        <v>0</v>
      </c>
      <c r="P425" s="27">
        <f t="shared" si="400"/>
        <v>0</v>
      </c>
      <c r="Q425" s="27">
        <f t="shared" ref="Q425:R425" si="429">SUM(Q426:Q427)</f>
        <v>0</v>
      </c>
      <c r="R425" s="27">
        <f t="shared" si="429"/>
        <v>0</v>
      </c>
      <c r="S425" s="27">
        <f t="shared" si="402"/>
        <v>0</v>
      </c>
      <c r="T425" s="27">
        <f t="shared" ref="T425:U425" si="430">SUM(T426:T427)</f>
        <v>0</v>
      </c>
      <c r="U425" s="27">
        <f t="shared" si="430"/>
        <v>0</v>
      </c>
      <c r="V425" s="27">
        <f t="shared" si="404"/>
        <v>0</v>
      </c>
      <c r="W425" s="27">
        <f t="shared" ref="W425:X425" si="431">SUM(W426:W427)</f>
        <v>0</v>
      </c>
      <c r="X425" s="27">
        <f t="shared" si="431"/>
        <v>0</v>
      </c>
      <c r="Y425" s="27">
        <f t="shared" si="406"/>
        <v>0</v>
      </c>
      <c r="Z425" s="27">
        <f t="shared" ref="Z425:AA425" si="432">SUM(Z426:Z427)</f>
        <v>0</v>
      </c>
      <c r="AA425" s="27">
        <f t="shared" si="432"/>
        <v>0</v>
      </c>
      <c r="AB425" s="27">
        <f t="shared" si="408"/>
        <v>0</v>
      </c>
    </row>
    <row r="426" spans="1:194" s="28" customFormat="1" ht="47.25" x14ac:dyDescent="0.25">
      <c r="A426" s="38" t="s">
        <v>372</v>
      </c>
      <c r="B426" s="34">
        <f t="shared" si="364"/>
        <v>67953</v>
      </c>
      <c r="C426" s="34">
        <f t="shared" si="364"/>
        <v>67953</v>
      </c>
      <c r="D426" s="34">
        <f t="shared" si="364"/>
        <v>0</v>
      </c>
      <c r="E426" s="34"/>
      <c r="F426" s="34"/>
      <c r="G426" s="34">
        <f t="shared" si="303"/>
        <v>0</v>
      </c>
      <c r="H426" s="34"/>
      <c r="I426" s="34"/>
      <c r="J426" s="34">
        <f t="shared" si="396"/>
        <v>0</v>
      </c>
      <c r="K426" s="34">
        <f>58500+9453</f>
        <v>67953</v>
      </c>
      <c r="L426" s="34">
        <f>58500+9453</f>
        <v>67953</v>
      </c>
      <c r="M426" s="34">
        <f t="shared" si="398"/>
        <v>0</v>
      </c>
      <c r="N426" s="34"/>
      <c r="O426" s="34"/>
      <c r="P426" s="34">
        <f t="shared" si="400"/>
        <v>0</v>
      </c>
      <c r="Q426" s="34"/>
      <c r="R426" s="34"/>
      <c r="S426" s="34">
        <f t="shared" si="402"/>
        <v>0</v>
      </c>
      <c r="T426" s="34"/>
      <c r="U426" s="34"/>
      <c r="V426" s="34">
        <f t="shared" si="404"/>
        <v>0</v>
      </c>
      <c r="W426" s="34"/>
      <c r="X426" s="34"/>
      <c r="Y426" s="34">
        <f t="shared" si="406"/>
        <v>0</v>
      </c>
      <c r="Z426" s="48"/>
      <c r="AA426" s="48"/>
      <c r="AB426" s="34">
        <f t="shared" si="408"/>
        <v>0</v>
      </c>
      <c r="FN426" s="25"/>
      <c r="FO426" s="25"/>
      <c r="FP426" s="25"/>
      <c r="FQ426" s="25"/>
      <c r="FR426" s="25"/>
      <c r="FS426" s="25"/>
      <c r="FT426" s="25"/>
      <c r="FU426" s="25"/>
      <c r="FV426" s="25"/>
      <c r="FW426" s="25"/>
      <c r="FX426" s="25"/>
      <c r="FY426" s="25"/>
      <c r="FZ426" s="25"/>
      <c r="GA426" s="25"/>
      <c r="GB426" s="25"/>
      <c r="GC426" s="25"/>
      <c r="GD426" s="25"/>
      <c r="GE426" s="25"/>
      <c r="GF426" s="25"/>
      <c r="GG426" s="25"/>
    </row>
    <row r="427" spans="1:194" s="28" customFormat="1" ht="31.5" x14ac:dyDescent="0.25">
      <c r="A427" s="38" t="s">
        <v>373</v>
      </c>
      <c r="B427" s="34">
        <f t="shared" si="364"/>
        <v>0</v>
      </c>
      <c r="C427" s="34">
        <f t="shared" si="364"/>
        <v>6638</v>
      </c>
      <c r="D427" s="34">
        <f t="shared" si="364"/>
        <v>6638</v>
      </c>
      <c r="E427" s="34"/>
      <c r="F427" s="34"/>
      <c r="G427" s="34">
        <f t="shared" ref="G427:G431" si="433">F427-E427</f>
        <v>0</v>
      </c>
      <c r="H427" s="34"/>
      <c r="I427" s="34"/>
      <c r="J427" s="34">
        <f t="shared" si="396"/>
        <v>0</v>
      </c>
      <c r="K427" s="34"/>
      <c r="L427" s="34">
        <v>6638</v>
      </c>
      <c r="M427" s="34">
        <f t="shared" si="398"/>
        <v>6638</v>
      </c>
      <c r="N427" s="34"/>
      <c r="O427" s="34"/>
      <c r="P427" s="34">
        <f t="shared" si="400"/>
        <v>0</v>
      </c>
      <c r="Q427" s="34"/>
      <c r="R427" s="34"/>
      <c r="S427" s="34">
        <f t="shared" si="402"/>
        <v>0</v>
      </c>
      <c r="T427" s="34"/>
      <c r="U427" s="34"/>
      <c r="V427" s="34">
        <f t="shared" si="404"/>
        <v>0</v>
      </c>
      <c r="W427" s="34"/>
      <c r="X427" s="34"/>
      <c r="Y427" s="34">
        <f t="shared" si="406"/>
        <v>0</v>
      </c>
      <c r="Z427" s="48"/>
      <c r="AA427" s="48"/>
      <c r="AB427" s="34">
        <f t="shared" si="408"/>
        <v>0</v>
      </c>
      <c r="FN427" s="25"/>
      <c r="FO427" s="25"/>
      <c r="FP427" s="25"/>
      <c r="FQ427" s="25"/>
      <c r="FR427" s="25"/>
      <c r="FS427" s="25"/>
      <c r="FT427" s="25"/>
      <c r="FU427" s="25"/>
      <c r="FV427" s="25"/>
      <c r="FW427" s="25"/>
      <c r="FX427" s="25"/>
      <c r="FY427" s="25"/>
      <c r="FZ427" s="25"/>
      <c r="GA427" s="25"/>
      <c r="GB427" s="25"/>
      <c r="GC427" s="25"/>
      <c r="GD427" s="25"/>
      <c r="GE427" s="25"/>
      <c r="GF427" s="25"/>
      <c r="GG427" s="25"/>
    </row>
    <row r="428" spans="1:194" s="28" customFormat="1" x14ac:dyDescent="0.25">
      <c r="A428" s="49" t="s">
        <v>374</v>
      </c>
      <c r="B428" s="27">
        <f t="shared" ref="B428:D431" si="434">E428+H428+K428+N428+Q428+T428+W428+Z428</f>
        <v>1057854</v>
      </c>
      <c r="C428" s="27">
        <f t="shared" si="434"/>
        <v>1057854</v>
      </c>
      <c r="D428" s="27">
        <f t="shared" si="434"/>
        <v>0</v>
      </c>
      <c r="E428" s="27">
        <f t="shared" ref="E428:R430" si="435">SUM(E429)</f>
        <v>0</v>
      </c>
      <c r="F428" s="27">
        <f t="shared" si="435"/>
        <v>0</v>
      </c>
      <c r="G428" s="27">
        <f t="shared" si="433"/>
        <v>0</v>
      </c>
      <c r="H428" s="27">
        <f t="shared" si="435"/>
        <v>0</v>
      </c>
      <c r="I428" s="27">
        <f t="shared" si="435"/>
        <v>0</v>
      </c>
      <c r="J428" s="27">
        <f t="shared" si="396"/>
        <v>0</v>
      </c>
      <c r="K428" s="27">
        <f t="shared" si="435"/>
        <v>0</v>
      </c>
      <c r="L428" s="27">
        <f t="shared" si="435"/>
        <v>0</v>
      </c>
      <c r="M428" s="27">
        <f t="shared" si="398"/>
        <v>0</v>
      </c>
      <c r="N428" s="27">
        <f t="shared" si="435"/>
        <v>1057854</v>
      </c>
      <c r="O428" s="27">
        <f t="shared" si="435"/>
        <v>1057854</v>
      </c>
      <c r="P428" s="27">
        <f t="shared" si="400"/>
        <v>0</v>
      </c>
      <c r="Q428" s="27">
        <f t="shared" si="435"/>
        <v>0</v>
      </c>
      <c r="R428" s="27">
        <f t="shared" si="435"/>
        <v>0</v>
      </c>
      <c r="S428" s="27">
        <f t="shared" si="402"/>
        <v>0</v>
      </c>
      <c r="T428" s="27">
        <f t="shared" ref="T428:AA430" si="436">SUM(T429)</f>
        <v>0</v>
      </c>
      <c r="U428" s="27">
        <f t="shared" si="436"/>
        <v>0</v>
      </c>
      <c r="V428" s="27">
        <f t="shared" si="404"/>
        <v>0</v>
      </c>
      <c r="W428" s="27">
        <f t="shared" si="436"/>
        <v>0</v>
      </c>
      <c r="X428" s="27">
        <f t="shared" si="436"/>
        <v>0</v>
      </c>
      <c r="Y428" s="27">
        <f t="shared" si="406"/>
        <v>0</v>
      </c>
      <c r="Z428" s="27">
        <f t="shared" si="436"/>
        <v>0</v>
      </c>
      <c r="AA428" s="27">
        <f t="shared" si="436"/>
        <v>0</v>
      </c>
      <c r="AB428" s="27">
        <f t="shared" si="408"/>
        <v>0</v>
      </c>
    </row>
    <row r="429" spans="1:194" s="28" customFormat="1" x14ac:dyDescent="0.25">
      <c r="A429" s="26" t="s">
        <v>162</v>
      </c>
      <c r="B429" s="27">
        <f t="shared" si="434"/>
        <v>1057854</v>
      </c>
      <c r="C429" s="27">
        <f t="shared" si="434"/>
        <v>1057854</v>
      </c>
      <c r="D429" s="27">
        <f t="shared" si="434"/>
        <v>0</v>
      </c>
      <c r="E429" s="27">
        <f t="shared" si="435"/>
        <v>0</v>
      </c>
      <c r="F429" s="27">
        <f t="shared" si="435"/>
        <v>0</v>
      </c>
      <c r="G429" s="27">
        <f t="shared" si="433"/>
        <v>0</v>
      </c>
      <c r="H429" s="27">
        <f t="shared" si="435"/>
        <v>0</v>
      </c>
      <c r="I429" s="27">
        <f t="shared" si="435"/>
        <v>0</v>
      </c>
      <c r="J429" s="27">
        <f t="shared" si="396"/>
        <v>0</v>
      </c>
      <c r="K429" s="27">
        <f t="shared" si="435"/>
        <v>0</v>
      </c>
      <c r="L429" s="27">
        <f t="shared" si="435"/>
        <v>0</v>
      </c>
      <c r="M429" s="27">
        <f t="shared" si="398"/>
        <v>0</v>
      </c>
      <c r="N429" s="27">
        <f t="shared" si="435"/>
        <v>1057854</v>
      </c>
      <c r="O429" s="27">
        <f t="shared" si="435"/>
        <v>1057854</v>
      </c>
      <c r="P429" s="27">
        <f t="shared" si="400"/>
        <v>0</v>
      </c>
      <c r="Q429" s="27">
        <f t="shared" si="435"/>
        <v>0</v>
      </c>
      <c r="R429" s="27">
        <f t="shared" si="435"/>
        <v>0</v>
      </c>
      <c r="S429" s="27">
        <f t="shared" si="402"/>
        <v>0</v>
      </c>
      <c r="T429" s="27">
        <f t="shared" si="436"/>
        <v>0</v>
      </c>
      <c r="U429" s="27">
        <f t="shared" si="436"/>
        <v>0</v>
      </c>
      <c r="V429" s="27">
        <f t="shared" si="404"/>
        <v>0</v>
      </c>
      <c r="W429" s="27">
        <f t="shared" si="436"/>
        <v>0</v>
      </c>
      <c r="X429" s="27">
        <f t="shared" si="436"/>
        <v>0</v>
      </c>
      <c r="Y429" s="27">
        <f t="shared" si="406"/>
        <v>0</v>
      </c>
      <c r="Z429" s="27">
        <f t="shared" si="436"/>
        <v>0</v>
      </c>
      <c r="AA429" s="27">
        <f t="shared" si="436"/>
        <v>0</v>
      </c>
      <c r="AB429" s="27">
        <f t="shared" si="408"/>
        <v>0</v>
      </c>
    </row>
    <row r="430" spans="1:194" s="28" customFormat="1" ht="31.5" x14ac:dyDescent="0.25">
      <c r="A430" s="49" t="s">
        <v>375</v>
      </c>
      <c r="B430" s="27">
        <f t="shared" si="434"/>
        <v>1057854</v>
      </c>
      <c r="C430" s="27">
        <f t="shared" si="434"/>
        <v>1057854</v>
      </c>
      <c r="D430" s="27">
        <f t="shared" si="434"/>
        <v>0</v>
      </c>
      <c r="E430" s="27">
        <f t="shared" si="435"/>
        <v>0</v>
      </c>
      <c r="F430" s="27">
        <f t="shared" si="435"/>
        <v>0</v>
      </c>
      <c r="G430" s="27">
        <f t="shared" si="433"/>
        <v>0</v>
      </c>
      <c r="H430" s="27">
        <f t="shared" si="435"/>
        <v>0</v>
      </c>
      <c r="I430" s="27">
        <f t="shared" si="435"/>
        <v>0</v>
      </c>
      <c r="J430" s="27">
        <f t="shared" si="396"/>
        <v>0</v>
      </c>
      <c r="K430" s="27">
        <f t="shared" si="435"/>
        <v>0</v>
      </c>
      <c r="L430" s="27">
        <f t="shared" si="435"/>
        <v>0</v>
      </c>
      <c r="M430" s="27">
        <f t="shared" si="398"/>
        <v>0</v>
      </c>
      <c r="N430" s="27">
        <f t="shared" si="435"/>
        <v>1057854</v>
      </c>
      <c r="O430" s="27">
        <f t="shared" si="435"/>
        <v>1057854</v>
      </c>
      <c r="P430" s="27">
        <f t="shared" si="400"/>
        <v>0</v>
      </c>
      <c r="Q430" s="27">
        <f t="shared" si="435"/>
        <v>0</v>
      </c>
      <c r="R430" s="27">
        <f t="shared" si="435"/>
        <v>0</v>
      </c>
      <c r="S430" s="27">
        <f t="shared" si="402"/>
        <v>0</v>
      </c>
      <c r="T430" s="27">
        <f t="shared" si="436"/>
        <v>0</v>
      </c>
      <c r="U430" s="27">
        <f t="shared" si="436"/>
        <v>0</v>
      </c>
      <c r="V430" s="27">
        <f t="shared" si="404"/>
        <v>0</v>
      </c>
      <c r="W430" s="27">
        <f t="shared" si="436"/>
        <v>0</v>
      </c>
      <c r="X430" s="27">
        <f t="shared" si="436"/>
        <v>0</v>
      </c>
      <c r="Y430" s="27">
        <f t="shared" si="406"/>
        <v>0</v>
      </c>
      <c r="Z430" s="27">
        <f t="shared" si="436"/>
        <v>0</v>
      </c>
      <c r="AA430" s="27">
        <f t="shared" si="436"/>
        <v>0</v>
      </c>
      <c r="AB430" s="27">
        <f t="shared" si="408"/>
        <v>0</v>
      </c>
    </row>
    <row r="431" spans="1:194" s="28" customFormat="1" ht="63" x14ac:dyDescent="0.25">
      <c r="A431" s="38" t="s">
        <v>376</v>
      </c>
      <c r="B431" s="34">
        <f t="shared" si="434"/>
        <v>1057854</v>
      </c>
      <c r="C431" s="34">
        <f t="shared" si="434"/>
        <v>1057854</v>
      </c>
      <c r="D431" s="34">
        <f t="shared" si="434"/>
        <v>0</v>
      </c>
      <c r="E431" s="34"/>
      <c r="F431" s="34"/>
      <c r="G431" s="34">
        <f t="shared" si="433"/>
        <v>0</v>
      </c>
      <c r="H431" s="34"/>
      <c r="I431" s="34"/>
      <c r="J431" s="34">
        <f t="shared" si="396"/>
        <v>0</v>
      </c>
      <c r="K431" s="34"/>
      <c r="L431" s="34"/>
      <c r="M431" s="34">
        <f t="shared" si="398"/>
        <v>0</v>
      </c>
      <c r="N431" s="34">
        <v>1057854</v>
      </c>
      <c r="O431" s="34">
        <v>1057854</v>
      </c>
      <c r="P431" s="34">
        <f t="shared" si="400"/>
        <v>0</v>
      </c>
      <c r="Q431" s="34"/>
      <c r="R431" s="34"/>
      <c r="S431" s="34">
        <f t="shared" si="402"/>
        <v>0</v>
      </c>
      <c r="T431" s="34"/>
      <c r="U431" s="34"/>
      <c r="V431" s="34">
        <f t="shared" si="404"/>
        <v>0</v>
      </c>
      <c r="W431" s="34"/>
      <c r="X431" s="34"/>
      <c r="Y431" s="34">
        <f t="shared" si="406"/>
        <v>0</v>
      </c>
      <c r="Z431" s="48">
        <v>0</v>
      </c>
      <c r="AA431" s="48">
        <v>0</v>
      </c>
      <c r="AB431" s="34">
        <f t="shared" si="408"/>
        <v>0</v>
      </c>
      <c r="FS431" s="25"/>
      <c r="FT431" s="25"/>
      <c r="FU431" s="25"/>
      <c r="FV431" s="25"/>
      <c r="FW431" s="25"/>
      <c r="FX431" s="25"/>
      <c r="FY431" s="25"/>
      <c r="FZ431" s="25"/>
      <c r="GA431" s="25"/>
      <c r="GB431" s="25"/>
      <c r="GC431" s="25"/>
      <c r="GD431" s="25"/>
      <c r="GE431" s="25"/>
      <c r="GF431" s="25"/>
      <c r="GG431" s="25"/>
      <c r="GH431" s="25"/>
      <c r="GI431" s="25"/>
      <c r="GJ431" s="25"/>
      <c r="GK431" s="25"/>
      <c r="GL431" s="25"/>
    </row>
    <row r="443" spans="1:189" s="3" customFormat="1" x14ac:dyDescent="0.25">
      <c r="A443" s="1" t="s">
        <v>377</v>
      </c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1"/>
      <c r="AY443" s="11"/>
      <c r="AZ443" s="11"/>
      <c r="BA443" s="11"/>
      <c r="BB443" s="11"/>
      <c r="BC443" s="11"/>
      <c r="BD443" s="11"/>
      <c r="BE443" s="11"/>
      <c r="BF443" s="11"/>
      <c r="BG443" s="11"/>
      <c r="BH443" s="11"/>
      <c r="BI443" s="11"/>
      <c r="BJ443" s="11"/>
      <c r="BK443" s="11"/>
      <c r="BL443" s="11"/>
      <c r="BM443" s="11"/>
      <c r="BN443" s="11"/>
      <c r="BO443" s="11"/>
      <c r="BP443" s="11"/>
      <c r="BQ443" s="11"/>
      <c r="BR443" s="11"/>
      <c r="BS443" s="11"/>
      <c r="BT443" s="11"/>
      <c r="BU443" s="11"/>
      <c r="BV443" s="11"/>
      <c r="BW443" s="11"/>
      <c r="BX443" s="11"/>
      <c r="BY443" s="11"/>
      <c r="BZ443" s="11"/>
      <c r="CA443" s="11"/>
      <c r="CB443" s="11"/>
      <c r="CC443" s="11"/>
      <c r="CD443" s="11"/>
      <c r="CE443" s="11"/>
      <c r="CF443" s="11"/>
      <c r="CG443" s="11"/>
      <c r="CH443" s="11"/>
      <c r="CI443" s="11"/>
      <c r="CJ443" s="11"/>
      <c r="CK443" s="11"/>
      <c r="CL443" s="11"/>
      <c r="CM443" s="11"/>
      <c r="CN443" s="11"/>
      <c r="CO443" s="11"/>
      <c r="CP443" s="11"/>
      <c r="CQ443" s="11"/>
      <c r="CR443" s="11"/>
      <c r="CS443" s="11"/>
      <c r="CT443" s="11"/>
      <c r="CU443" s="11"/>
      <c r="CV443" s="11"/>
      <c r="CW443" s="11"/>
      <c r="CX443" s="11"/>
      <c r="CY443" s="11"/>
      <c r="CZ443" s="11"/>
      <c r="DA443" s="11"/>
      <c r="DB443" s="11"/>
      <c r="DC443" s="11"/>
      <c r="DD443" s="11"/>
      <c r="DE443" s="11"/>
      <c r="DF443" s="11"/>
      <c r="DG443" s="11"/>
      <c r="DH443" s="11"/>
      <c r="DI443" s="11"/>
      <c r="DJ443" s="11"/>
      <c r="DK443" s="11"/>
      <c r="DL443" s="11"/>
      <c r="DM443" s="11"/>
      <c r="DN443" s="11"/>
      <c r="DO443" s="11"/>
      <c r="DP443" s="11"/>
      <c r="DQ443" s="11"/>
      <c r="DR443" s="11"/>
      <c r="DS443" s="11"/>
      <c r="DT443" s="11"/>
      <c r="DU443" s="11"/>
      <c r="DV443" s="11"/>
      <c r="DW443" s="11"/>
      <c r="DX443" s="11"/>
      <c r="DY443" s="11"/>
      <c r="DZ443" s="11"/>
      <c r="EA443" s="11"/>
      <c r="EB443" s="11"/>
      <c r="EC443" s="11"/>
      <c r="ED443" s="11"/>
      <c r="EE443" s="11"/>
      <c r="EF443" s="11"/>
      <c r="EG443" s="11"/>
      <c r="EH443" s="11"/>
      <c r="EI443" s="11"/>
      <c r="EJ443" s="11"/>
      <c r="EK443" s="11"/>
      <c r="EL443" s="11"/>
      <c r="EM443" s="11"/>
      <c r="EN443" s="11"/>
      <c r="EO443" s="11"/>
      <c r="EP443" s="11"/>
      <c r="EQ443" s="11"/>
      <c r="ER443" s="11"/>
      <c r="ES443" s="11"/>
      <c r="ET443" s="11"/>
      <c r="EU443" s="11"/>
      <c r="EV443" s="11"/>
      <c r="EW443" s="11"/>
      <c r="EX443" s="11"/>
      <c r="EY443" s="11"/>
      <c r="EZ443" s="11"/>
      <c r="FA443" s="11"/>
      <c r="FB443" s="11"/>
      <c r="FC443" s="11"/>
      <c r="FD443" s="11"/>
      <c r="FE443" s="11"/>
      <c r="FF443" s="11"/>
      <c r="FG443" s="11"/>
      <c r="FH443" s="11"/>
      <c r="FI443" s="11"/>
      <c r="FJ443" s="11"/>
      <c r="FK443" s="11"/>
      <c r="FL443" s="11"/>
      <c r="FM443" s="11"/>
      <c r="FN443" s="11"/>
      <c r="FO443" s="11"/>
      <c r="FP443" s="11"/>
      <c r="FQ443" s="11"/>
      <c r="FR443" s="11"/>
      <c r="FS443" s="11"/>
      <c r="FT443" s="11"/>
      <c r="FU443" s="11"/>
      <c r="FV443" s="11"/>
      <c r="FW443" s="11"/>
      <c r="FX443" s="11"/>
      <c r="FY443" s="11"/>
      <c r="FZ443" s="11"/>
      <c r="GA443" s="11"/>
      <c r="GB443" s="11"/>
      <c r="GC443" s="11"/>
      <c r="GD443" s="11"/>
      <c r="GE443" s="11"/>
      <c r="GF443" s="11"/>
      <c r="GG443" s="11"/>
    </row>
    <row r="444" spans="1:189" s="3" customFormat="1" x14ac:dyDescent="0.25">
      <c r="A444" s="5" t="s">
        <v>378</v>
      </c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1"/>
      <c r="AY444" s="11"/>
      <c r="AZ444" s="11"/>
      <c r="BA444" s="11"/>
      <c r="BB444" s="11"/>
      <c r="BC444" s="11"/>
      <c r="BD444" s="11"/>
      <c r="BE444" s="11"/>
      <c r="BF444" s="11"/>
      <c r="BG444" s="11"/>
      <c r="BH444" s="11"/>
      <c r="BI444" s="11"/>
      <c r="BJ444" s="11"/>
      <c r="BK444" s="11"/>
      <c r="BL444" s="11"/>
      <c r="BM444" s="11"/>
      <c r="BN444" s="11"/>
      <c r="BO444" s="11"/>
      <c r="BP444" s="11"/>
      <c r="BQ444" s="11"/>
      <c r="BR444" s="11"/>
      <c r="BS444" s="11"/>
      <c r="BT444" s="11"/>
      <c r="BU444" s="11"/>
      <c r="BV444" s="11"/>
      <c r="BW444" s="11"/>
      <c r="BX444" s="11"/>
      <c r="BY444" s="11"/>
      <c r="BZ444" s="11"/>
      <c r="CA444" s="11"/>
      <c r="CB444" s="11"/>
      <c r="CC444" s="11"/>
      <c r="CD444" s="11"/>
      <c r="CE444" s="11"/>
      <c r="CF444" s="11"/>
      <c r="CG444" s="11"/>
      <c r="CH444" s="11"/>
      <c r="CI444" s="11"/>
      <c r="CJ444" s="11"/>
      <c r="CK444" s="11"/>
      <c r="CL444" s="11"/>
      <c r="CM444" s="11"/>
      <c r="CN444" s="11"/>
      <c r="CO444" s="11"/>
      <c r="CP444" s="11"/>
      <c r="CQ444" s="11"/>
      <c r="CR444" s="11"/>
      <c r="CS444" s="11"/>
      <c r="CT444" s="11"/>
      <c r="CU444" s="11"/>
      <c r="CV444" s="11"/>
      <c r="CW444" s="11"/>
      <c r="CX444" s="11"/>
      <c r="CY444" s="11"/>
      <c r="CZ444" s="11"/>
      <c r="DA444" s="11"/>
      <c r="DB444" s="11"/>
      <c r="DC444" s="11"/>
      <c r="DD444" s="11"/>
      <c r="DE444" s="11"/>
      <c r="DF444" s="11"/>
      <c r="DG444" s="11"/>
      <c r="DH444" s="11"/>
      <c r="DI444" s="11"/>
      <c r="DJ444" s="11"/>
      <c r="DK444" s="11"/>
      <c r="DL444" s="11"/>
      <c r="DM444" s="11"/>
      <c r="DN444" s="11"/>
      <c r="DO444" s="11"/>
      <c r="DP444" s="11"/>
      <c r="DQ444" s="11"/>
      <c r="DR444" s="11"/>
      <c r="DS444" s="11"/>
      <c r="DT444" s="11"/>
      <c r="DU444" s="11"/>
      <c r="DV444" s="11"/>
      <c r="DW444" s="11"/>
      <c r="DX444" s="11"/>
      <c r="DY444" s="11"/>
      <c r="DZ444" s="11"/>
      <c r="EA444" s="11"/>
      <c r="EB444" s="11"/>
      <c r="EC444" s="11"/>
      <c r="ED444" s="11"/>
      <c r="EE444" s="11"/>
      <c r="EF444" s="11"/>
      <c r="EG444" s="11"/>
      <c r="EH444" s="11"/>
      <c r="EI444" s="11"/>
      <c r="EJ444" s="11"/>
      <c r="EK444" s="11"/>
      <c r="EL444" s="11"/>
      <c r="EM444" s="11"/>
      <c r="EN444" s="11"/>
      <c r="EO444" s="11"/>
      <c r="EP444" s="11"/>
      <c r="EQ444" s="11"/>
      <c r="ER444" s="11"/>
      <c r="ES444" s="11"/>
      <c r="ET444" s="11"/>
      <c r="EU444" s="11"/>
      <c r="EV444" s="11"/>
      <c r="EW444" s="11"/>
      <c r="EX444" s="11"/>
      <c r="EY444" s="11"/>
      <c r="EZ444" s="11"/>
      <c r="FA444" s="11"/>
      <c r="FB444" s="11"/>
      <c r="FC444" s="11"/>
      <c r="FD444" s="11"/>
      <c r="FE444" s="11"/>
      <c r="FF444" s="11"/>
      <c r="FG444" s="11"/>
      <c r="FH444" s="11"/>
      <c r="FI444" s="11"/>
      <c r="FJ444" s="11"/>
      <c r="FK444" s="11"/>
      <c r="FL444" s="11"/>
      <c r="FM444" s="11"/>
      <c r="FN444" s="11"/>
      <c r="FO444" s="11"/>
      <c r="FP444" s="11"/>
      <c r="FQ444" s="11"/>
      <c r="FR444" s="11"/>
      <c r="FS444" s="11"/>
      <c r="FT444" s="11"/>
      <c r="FU444" s="11"/>
      <c r="FV444" s="11"/>
      <c r="FW444" s="11"/>
      <c r="FX444" s="11"/>
      <c r="FY444" s="11"/>
      <c r="FZ444" s="11"/>
      <c r="GA444" s="11"/>
      <c r="GB444" s="11"/>
      <c r="GC444" s="11"/>
      <c r="GD444" s="11"/>
      <c r="GE444" s="11"/>
      <c r="GF444" s="11"/>
      <c r="GG444" s="11"/>
    </row>
    <row r="445" spans="1:189" s="51" customFormat="1" x14ac:dyDescent="0.25">
      <c r="A445" s="50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1"/>
      <c r="AY445" s="11"/>
      <c r="AZ445" s="11"/>
      <c r="BA445" s="11"/>
      <c r="BB445" s="11"/>
      <c r="BC445" s="11"/>
      <c r="BD445" s="11"/>
      <c r="BE445" s="11"/>
      <c r="BF445" s="11"/>
      <c r="BG445" s="11"/>
      <c r="BH445" s="11"/>
      <c r="BI445" s="11"/>
      <c r="BJ445" s="11"/>
      <c r="BK445" s="11"/>
      <c r="BL445" s="11"/>
      <c r="BM445" s="11"/>
      <c r="BN445" s="11"/>
      <c r="BO445" s="11"/>
      <c r="BP445" s="11"/>
      <c r="BQ445" s="11"/>
      <c r="BR445" s="11"/>
      <c r="BS445" s="11"/>
      <c r="BT445" s="11"/>
      <c r="BU445" s="11"/>
      <c r="BV445" s="11"/>
      <c r="BW445" s="11"/>
      <c r="BX445" s="11"/>
      <c r="BY445" s="11"/>
      <c r="BZ445" s="11"/>
      <c r="CA445" s="11"/>
      <c r="CB445" s="11"/>
      <c r="CC445" s="11"/>
      <c r="CD445" s="11"/>
      <c r="CE445" s="11"/>
      <c r="CF445" s="11"/>
      <c r="CG445" s="11"/>
      <c r="CH445" s="11"/>
      <c r="CI445" s="11"/>
      <c r="CJ445" s="11"/>
      <c r="CK445" s="11"/>
      <c r="CL445" s="11"/>
      <c r="CM445" s="11"/>
      <c r="CN445" s="11"/>
      <c r="CO445" s="11"/>
      <c r="CP445" s="11"/>
      <c r="CQ445" s="11"/>
      <c r="CR445" s="11"/>
      <c r="CS445" s="11"/>
      <c r="CT445" s="11"/>
      <c r="CU445" s="11"/>
      <c r="CV445" s="11"/>
      <c r="CW445" s="11"/>
      <c r="CX445" s="11"/>
      <c r="CY445" s="11"/>
      <c r="CZ445" s="11"/>
      <c r="DA445" s="11"/>
      <c r="DB445" s="11"/>
      <c r="DC445" s="11"/>
      <c r="DD445" s="11"/>
      <c r="DE445" s="11"/>
      <c r="DF445" s="11"/>
      <c r="DG445" s="11"/>
      <c r="DH445" s="11"/>
      <c r="DI445" s="11"/>
      <c r="DJ445" s="11"/>
      <c r="DK445" s="11"/>
      <c r="DL445" s="11"/>
      <c r="DM445" s="11"/>
      <c r="DN445" s="11"/>
      <c r="DO445" s="11"/>
      <c r="DP445" s="11"/>
      <c r="DQ445" s="11"/>
      <c r="DR445" s="11"/>
      <c r="DS445" s="11"/>
      <c r="DT445" s="11"/>
      <c r="DU445" s="11"/>
      <c r="DV445" s="11"/>
      <c r="DW445" s="11"/>
      <c r="DX445" s="11"/>
      <c r="DY445" s="11"/>
      <c r="DZ445" s="11"/>
      <c r="EA445" s="11"/>
      <c r="EB445" s="11"/>
      <c r="EC445" s="11"/>
      <c r="ED445" s="11"/>
      <c r="EE445" s="11"/>
      <c r="EF445" s="11"/>
      <c r="EG445" s="11"/>
      <c r="EH445" s="11"/>
      <c r="EI445" s="11"/>
      <c r="EJ445" s="11"/>
      <c r="EK445" s="11"/>
      <c r="EL445" s="11"/>
      <c r="EM445" s="11"/>
      <c r="EN445" s="11"/>
      <c r="EO445" s="11"/>
      <c r="EP445" s="11"/>
      <c r="EQ445" s="11"/>
      <c r="ER445" s="11"/>
      <c r="ES445" s="11"/>
      <c r="ET445" s="11"/>
      <c r="EU445" s="11"/>
      <c r="EV445" s="11"/>
      <c r="EW445" s="11"/>
      <c r="EX445" s="11"/>
      <c r="EY445" s="11"/>
      <c r="EZ445" s="11"/>
      <c r="FA445" s="11"/>
      <c r="FB445" s="11"/>
      <c r="FC445" s="11"/>
      <c r="FD445" s="11"/>
      <c r="FE445" s="11"/>
      <c r="FF445" s="11"/>
      <c r="FG445" s="11"/>
      <c r="FH445" s="11"/>
      <c r="FI445" s="11"/>
      <c r="FJ445" s="11"/>
      <c r="FK445" s="11"/>
      <c r="FL445" s="11"/>
      <c r="FM445" s="11"/>
      <c r="FN445" s="11"/>
      <c r="FO445" s="11"/>
      <c r="FP445" s="11"/>
      <c r="FQ445" s="11"/>
      <c r="FR445" s="11"/>
      <c r="FS445" s="11"/>
      <c r="FT445" s="11"/>
      <c r="FU445" s="11"/>
      <c r="FV445" s="11"/>
      <c r="FW445" s="11"/>
      <c r="FX445" s="11"/>
      <c r="FY445" s="11"/>
      <c r="FZ445" s="11"/>
      <c r="GA445" s="11"/>
      <c r="GB445" s="11"/>
      <c r="GC445" s="11"/>
      <c r="GD445" s="11"/>
      <c r="GE445" s="11"/>
      <c r="GF445" s="11"/>
      <c r="GG445" s="11"/>
    </row>
    <row r="446" spans="1:189" x14ac:dyDescent="0.25">
      <c r="A446" s="51" t="s">
        <v>3</v>
      </c>
    </row>
    <row r="447" spans="1:189" s="10" customFormat="1" x14ac:dyDescent="0.25">
      <c r="A447" s="52" t="s">
        <v>379</v>
      </c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1"/>
      <c r="AY447" s="11"/>
      <c r="AZ447" s="11"/>
      <c r="BA447" s="11"/>
      <c r="BB447" s="11"/>
      <c r="BC447" s="11"/>
      <c r="BD447" s="11"/>
      <c r="BE447" s="11"/>
      <c r="BF447" s="11"/>
      <c r="BG447" s="11"/>
      <c r="BH447" s="11"/>
      <c r="BI447" s="11"/>
      <c r="BJ447" s="11"/>
      <c r="BK447" s="11"/>
      <c r="BL447" s="11"/>
      <c r="BM447" s="11"/>
      <c r="BN447" s="11"/>
      <c r="BO447" s="11"/>
      <c r="BP447" s="11"/>
      <c r="BQ447" s="11"/>
      <c r="BR447" s="11"/>
      <c r="BS447" s="11"/>
      <c r="BT447" s="11"/>
      <c r="BU447" s="11"/>
      <c r="BV447" s="11"/>
      <c r="BW447" s="11"/>
      <c r="BX447" s="11"/>
      <c r="BY447" s="11"/>
      <c r="BZ447" s="11"/>
      <c r="CA447" s="11"/>
      <c r="CB447" s="11"/>
      <c r="CC447" s="11"/>
      <c r="CD447" s="11"/>
      <c r="CE447" s="11"/>
      <c r="CF447" s="11"/>
      <c r="CG447" s="11"/>
      <c r="CH447" s="11"/>
      <c r="CI447" s="11"/>
      <c r="CJ447" s="11"/>
      <c r="CK447" s="11"/>
      <c r="CL447" s="11"/>
      <c r="CM447" s="11"/>
      <c r="CN447" s="11"/>
      <c r="CO447" s="11"/>
      <c r="CP447" s="11"/>
      <c r="CQ447" s="11"/>
      <c r="CR447" s="11"/>
      <c r="CS447" s="11"/>
      <c r="CT447" s="11"/>
      <c r="CU447" s="11"/>
      <c r="CV447" s="11"/>
      <c r="CW447" s="11"/>
      <c r="CX447" s="11"/>
      <c r="CY447" s="11"/>
      <c r="CZ447" s="11"/>
      <c r="DA447" s="11"/>
      <c r="DB447" s="11"/>
      <c r="DC447" s="11"/>
      <c r="DD447" s="11"/>
      <c r="DE447" s="11"/>
      <c r="DF447" s="11"/>
      <c r="DG447" s="11"/>
      <c r="DH447" s="11"/>
      <c r="DI447" s="11"/>
      <c r="DJ447" s="11"/>
      <c r="DK447" s="11"/>
      <c r="DL447" s="11"/>
      <c r="DM447" s="11"/>
      <c r="DN447" s="11"/>
      <c r="DO447" s="11"/>
      <c r="DP447" s="11"/>
      <c r="DQ447" s="11"/>
      <c r="DR447" s="11"/>
      <c r="DS447" s="11"/>
      <c r="DT447" s="11"/>
      <c r="DU447" s="11"/>
      <c r="DV447" s="11"/>
      <c r="DW447" s="11"/>
      <c r="DX447" s="11"/>
      <c r="DY447" s="11"/>
      <c r="DZ447" s="11"/>
      <c r="EA447" s="11"/>
      <c r="EB447" s="11"/>
      <c r="EC447" s="11"/>
      <c r="ED447" s="11"/>
      <c r="EE447" s="11"/>
      <c r="EF447" s="11"/>
      <c r="EG447" s="11"/>
      <c r="EH447" s="11"/>
      <c r="EI447" s="11"/>
      <c r="EJ447" s="11"/>
      <c r="EK447" s="11"/>
      <c r="EL447" s="11"/>
      <c r="EM447" s="11"/>
      <c r="EN447" s="11"/>
      <c r="EO447" s="11"/>
      <c r="EP447" s="11"/>
      <c r="EQ447" s="11"/>
      <c r="ER447" s="11"/>
      <c r="ES447" s="11"/>
      <c r="ET447" s="11"/>
      <c r="EU447" s="11"/>
      <c r="EV447" s="11"/>
      <c r="EW447" s="11"/>
      <c r="EX447" s="11"/>
      <c r="EY447" s="11"/>
      <c r="EZ447" s="11"/>
      <c r="FA447" s="11"/>
      <c r="FB447" s="11"/>
      <c r="FC447" s="11"/>
      <c r="FD447" s="11"/>
      <c r="FE447" s="11"/>
      <c r="FF447" s="11"/>
      <c r="FG447" s="11"/>
      <c r="FH447" s="11"/>
      <c r="FI447" s="11"/>
      <c r="FJ447" s="11"/>
      <c r="FK447" s="11"/>
      <c r="FL447" s="11"/>
      <c r="FM447" s="11"/>
      <c r="FN447" s="11"/>
      <c r="FO447" s="11"/>
      <c r="FP447" s="11"/>
      <c r="FQ447" s="11"/>
      <c r="FR447" s="11"/>
      <c r="FS447" s="11"/>
      <c r="FT447" s="11"/>
      <c r="FU447" s="11"/>
      <c r="FV447" s="11"/>
      <c r="FW447" s="11"/>
      <c r="FX447" s="11"/>
      <c r="FY447" s="11"/>
      <c r="FZ447" s="11"/>
      <c r="GA447" s="11"/>
      <c r="GB447" s="11"/>
      <c r="GC447" s="11"/>
      <c r="GD447" s="11"/>
      <c r="GE447" s="11"/>
      <c r="GF447" s="11"/>
      <c r="GG447" s="11"/>
    </row>
    <row r="448" spans="1:189" s="10" customFormat="1" x14ac:dyDescent="0.25">
      <c r="A448" s="53" t="s">
        <v>380</v>
      </c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1"/>
      <c r="AY448" s="11"/>
      <c r="AZ448" s="11"/>
      <c r="BA448" s="11"/>
      <c r="BB448" s="11"/>
      <c r="BC448" s="11"/>
      <c r="BD448" s="11"/>
      <c r="BE448" s="11"/>
      <c r="BF448" s="11"/>
      <c r="BG448" s="11"/>
      <c r="BH448" s="11"/>
      <c r="BI448" s="11"/>
      <c r="BJ448" s="11"/>
      <c r="BK448" s="11"/>
      <c r="BL448" s="11"/>
      <c r="BM448" s="11"/>
      <c r="BN448" s="11"/>
      <c r="BO448" s="11"/>
      <c r="BP448" s="11"/>
      <c r="BQ448" s="11"/>
      <c r="BR448" s="11"/>
      <c r="BS448" s="11"/>
      <c r="BT448" s="11"/>
      <c r="BU448" s="11"/>
      <c r="BV448" s="11"/>
      <c r="BW448" s="11"/>
      <c r="BX448" s="11"/>
      <c r="BY448" s="11"/>
      <c r="BZ448" s="11"/>
      <c r="CA448" s="11"/>
      <c r="CB448" s="11"/>
      <c r="CC448" s="11"/>
      <c r="CD448" s="11"/>
      <c r="CE448" s="11"/>
      <c r="CF448" s="11"/>
      <c r="CG448" s="11"/>
      <c r="CH448" s="11"/>
      <c r="CI448" s="11"/>
      <c r="CJ448" s="11"/>
      <c r="CK448" s="11"/>
      <c r="CL448" s="11"/>
      <c r="CM448" s="11"/>
      <c r="CN448" s="11"/>
      <c r="CO448" s="11"/>
      <c r="CP448" s="11"/>
      <c r="CQ448" s="11"/>
      <c r="CR448" s="11"/>
      <c r="CS448" s="11"/>
      <c r="CT448" s="11"/>
      <c r="CU448" s="11"/>
      <c r="CV448" s="11"/>
      <c r="CW448" s="11"/>
      <c r="CX448" s="11"/>
      <c r="CY448" s="11"/>
      <c r="CZ448" s="11"/>
      <c r="DA448" s="11"/>
      <c r="DB448" s="11"/>
      <c r="DC448" s="11"/>
      <c r="DD448" s="11"/>
      <c r="DE448" s="11"/>
      <c r="DF448" s="11"/>
      <c r="DG448" s="11"/>
      <c r="DH448" s="11"/>
      <c r="DI448" s="11"/>
      <c r="DJ448" s="11"/>
      <c r="DK448" s="11"/>
      <c r="DL448" s="11"/>
      <c r="DM448" s="11"/>
      <c r="DN448" s="11"/>
      <c r="DO448" s="11"/>
      <c r="DP448" s="11"/>
      <c r="DQ448" s="11"/>
      <c r="DR448" s="11"/>
      <c r="DS448" s="11"/>
      <c r="DT448" s="11"/>
      <c r="DU448" s="11"/>
      <c r="DV448" s="11"/>
      <c r="DW448" s="11"/>
      <c r="DX448" s="11"/>
      <c r="DY448" s="11"/>
      <c r="DZ448" s="11"/>
      <c r="EA448" s="11"/>
      <c r="EB448" s="11"/>
      <c r="EC448" s="11"/>
      <c r="ED448" s="11"/>
      <c r="EE448" s="11"/>
      <c r="EF448" s="11"/>
      <c r="EG448" s="11"/>
      <c r="EH448" s="11"/>
      <c r="EI448" s="11"/>
      <c r="EJ448" s="11"/>
      <c r="EK448" s="11"/>
      <c r="EL448" s="11"/>
      <c r="EM448" s="11"/>
      <c r="EN448" s="11"/>
      <c r="EO448" s="11"/>
      <c r="EP448" s="11"/>
      <c r="EQ448" s="11"/>
      <c r="ER448" s="11"/>
      <c r="ES448" s="11"/>
      <c r="ET448" s="11"/>
      <c r="EU448" s="11"/>
      <c r="EV448" s="11"/>
      <c r="EW448" s="11"/>
      <c r="EX448" s="11"/>
      <c r="EY448" s="11"/>
      <c r="EZ448" s="11"/>
      <c r="FA448" s="11"/>
      <c r="FB448" s="11"/>
      <c r="FC448" s="11"/>
      <c r="FD448" s="11"/>
      <c r="FE448" s="11"/>
      <c r="FF448" s="11"/>
      <c r="FG448" s="11"/>
      <c r="FH448" s="11"/>
      <c r="FI448" s="11"/>
      <c r="FJ448" s="11"/>
      <c r="FK448" s="11"/>
      <c r="FL448" s="11"/>
      <c r="FM448" s="11"/>
      <c r="FN448" s="11"/>
      <c r="FO448" s="11"/>
      <c r="FP448" s="11"/>
      <c r="FQ448" s="11"/>
      <c r="FR448" s="11"/>
      <c r="FS448" s="11"/>
      <c r="FT448" s="11"/>
      <c r="FU448" s="11"/>
      <c r="FV448" s="11"/>
      <c r="FW448" s="11"/>
      <c r="FX448" s="11"/>
      <c r="FY448" s="11"/>
      <c r="FZ448" s="11"/>
      <c r="GA448" s="11"/>
      <c r="GB448" s="11"/>
      <c r="GC448" s="11"/>
      <c r="GD448" s="11"/>
      <c r="GE448" s="11"/>
      <c r="GF448" s="11"/>
      <c r="GG448" s="11"/>
    </row>
    <row r="449" spans="1:189" s="10" customFormat="1" x14ac:dyDescent="0.25">
      <c r="A449" s="54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1"/>
      <c r="AY449" s="11"/>
      <c r="AZ449" s="11"/>
      <c r="BA449" s="11"/>
      <c r="BB449" s="11"/>
      <c r="BC449" s="11"/>
      <c r="BD449" s="11"/>
      <c r="BE449" s="11"/>
      <c r="BF449" s="11"/>
      <c r="BG449" s="11"/>
      <c r="BH449" s="11"/>
      <c r="BI449" s="11"/>
      <c r="BJ449" s="11"/>
      <c r="BK449" s="11"/>
      <c r="BL449" s="11"/>
      <c r="BM449" s="11"/>
      <c r="BN449" s="11"/>
      <c r="BO449" s="11"/>
      <c r="BP449" s="11"/>
      <c r="BQ449" s="11"/>
      <c r="BR449" s="11"/>
      <c r="BS449" s="11"/>
      <c r="BT449" s="11"/>
      <c r="BU449" s="11"/>
      <c r="BV449" s="11"/>
      <c r="BW449" s="11"/>
      <c r="BX449" s="11"/>
      <c r="BY449" s="11"/>
      <c r="BZ449" s="11"/>
      <c r="CA449" s="11"/>
      <c r="CB449" s="11"/>
      <c r="CC449" s="11"/>
      <c r="CD449" s="11"/>
      <c r="CE449" s="11"/>
      <c r="CF449" s="11"/>
      <c r="CG449" s="11"/>
      <c r="CH449" s="11"/>
      <c r="CI449" s="11"/>
      <c r="CJ449" s="11"/>
      <c r="CK449" s="11"/>
      <c r="CL449" s="11"/>
      <c r="CM449" s="11"/>
      <c r="CN449" s="11"/>
      <c r="CO449" s="11"/>
      <c r="CP449" s="11"/>
      <c r="CQ449" s="11"/>
      <c r="CR449" s="11"/>
      <c r="CS449" s="11"/>
      <c r="CT449" s="11"/>
      <c r="CU449" s="11"/>
      <c r="CV449" s="11"/>
      <c r="CW449" s="11"/>
      <c r="CX449" s="11"/>
      <c r="CY449" s="11"/>
      <c r="CZ449" s="11"/>
      <c r="DA449" s="11"/>
      <c r="DB449" s="11"/>
      <c r="DC449" s="11"/>
      <c r="DD449" s="11"/>
      <c r="DE449" s="11"/>
      <c r="DF449" s="11"/>
      <c r="DG449" s="11"/>
      <c r="DH449" s="11"/>
      <c r="DI449" s="11"/>
      <c r="DJ449" s="11"/>
      <c r="DK449" s="11"/>
      <c r="DL449" s="11"/>
      <c r="DM449" s="11"/>
      <c r="DN449" s="11"/>
      <c r="DO449" s="11"/>
      <c r="DP449" s="11"/>
      <c r="DQ449" s="11"/>
      <c r="DR449" s="11"/>
      <c r="DS449" s="11"/>
      <c r="DT449" s="11"/>
      <c r="DU449" s="11"/>
      <c r="DV449" s="11"/>
      <c r="DW449" s="11"/>
      <c r="DX449" s="11"/>
      <c r="DY449" s="11"/>
      <c r="DZ449" s="11"/>
      <c r="EA449" s="11"/>
      <c r="EB449" s="11"/>
      <c r="EC449" s="11"/>
      <c r="ED449" s="11"/>
      <c r="EE449" s="11"/>
      <c r="EF449" s="11"/>
      <c r="EG449" s="11"/>
      <c r="EH449" s="11"/>
      <c r="EI449" s="11"/>
      <c r="EJ449" s="11"/>
      <c r="EK449" s="11"/>
      <c r="EL449" s="11"/>
      <c r="EM449" s="11"/>
      <c r="EN449" s="11"/>
      <c r="EO449" s="11"/>
      <c r="EP449" s="11"/>
      <c r="EQ449" s="11"/>
      <c r="ER449" s="11"/>
      <c r="ES449" s="11"/>
      <c r="ET449" s="11"/>
      <c r="EU449" s="11"/>
      <c r="EV449" s="11"/>
      <c r="EW449" s="11"/>
      <c r="EX449" s="11"/>
      <c r="EY449" s="11"/>
      <c r="EZ449" s="11"/>
      <c r="FA449" s="11"/>
      <c r="FB449" s="11"/>
      <c r="FC449" s="11"/>
      <c r="FD449" s="11"/>
      <c r="FE449" s="11"/>
      <c r="FF449" s="11"/>
      <c r="FG449" s="11"/>
      <c r="FH449" s="11"/>
      <c r="FI449" s="11"/>
      <c r="FJ449" s="11"/>
      <c r="FK449" s="11"/>
      <c r="FL449" s="11"/>
      <c r="FM449" s="11"/>
      <c r="FN449" s="11"/>
      <c r="FO449" s="11"/>
      <c r="FP449" s="11"/>
      <c r="FQ449" s="11"/>
      <c r="FR449" s="11"/>
      <c r="FS449" s="11"/>
      <c r="FT449" s="11"/>
      <c r="FU449" s="11"/>
      <c r="FV449" s="11"/>
      <c r="FW449" s="11"/>
      <c r="FX449" s="11"/>
      <c r="FY449" s="11"/>
      <c r="FZ449" s="11"/>
      <c r="GA449" s="11"/>
      <c r="GB449" s="11"/>
      <c r="GC449" s="11"/>
      <c r="GD449" s="11"/>
      <c r="GE449" s="11"/>
      <c r="GF449" s="11"/>
      <c r="GG449" s="11"/>
    </row>
    <row r="450" spans="1:189" s="10" customFormat="1" x14ac:dyDescent="0.25">
      <c r="A450" s="51" t="s">
        <v>5</v>
      </c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1"/>
      <c r="AY450" s="11"/>
      <c r="AZ450" s="11"/>
      <c r="BA450" s="11"/>
      <c r="BB450" s="11"/>
      <c r="BC450" s="11"/>
      <c r="BD450" s="11"/>
      <c r="BE450" s="11"/>
      <c r="BF450" s="11"/>
      <c r="BG450" s="11"/>
      <c r="BH450" s="11"/>
      <c r="BI450" s="11"/>
      <c r="BJ450" s="11"/>
      <c r="BK450" s="11"/>
      <c r="BL450" s="11"/>
      <c r="BM450" s="11"/>
      <c r="BN450" s="11"/>
      <c r="BO450" s="11"/>
      <c r="BP450" s="11"/>
      <c r="BQ450" s="11"/>
      <c r="BR450" s="11"/>
      <c r="BS450" s="11"/>
      <c r="BT450" s="11"/>
      <c r="BU450" s="11"/>
      <c r="BV450" s="11"/>
      <c r="BW450" s="11"/>
      <c r="BX450" s="11"/>
      <c r="BY450" s="11"/>
      <c r="BZ450" s="11"/>
      <c r="CA450" s="11"/>
      <c r="CB450" s="11"/>
      <c r="CC450" s="11"/>
      <c r="CD450" s="11"/>
      <c r="CE450" s="11"/>
      <c r="CF450" s="11"/>
      <c r="CG450" s="11"/>
      <c r="CH450" s="11"/>
      <c r="CI450" s="11"/>
      <c r="CJ450" s="11"/>
      <c r="CK450" s="11"/>
      <c r="CL450" s="11"/>
      <c r="CM450" s="11"/>
      <c r="CN450" s="11"/>
      <c r="CO450" s="11"/>
      <c r="CP450" s="11"/>
      <c r="CQ450" s="11"/>
      <c r="CR450" s="11"/>
      <c r="CS450" s="11"/>
      <c r="CT450" s="11"/>
      <c r="CU450" s="11"/>
      <c r="CV450" s="11"/>
      <c r="CW450" s="11"/>
      <c r="CX450" s="11"/>
      <c r="CY450" s="11"/>
      <c r="CZ450" s="11"/>
      <c r="DA450" s="11"/>
      <c r="DB450" s="11"/>
      <c r="DC450" s="11"/>
      <c r="DD450" s="11"/>
      <c r="DE450" s="11"/>
      <c r="DF450" s="11"/>
      <c r="DG450" s="11"/>
      <c r="DH450" s="11"/>
      <c r="DI450" s="11"/>
      <c r="DJ450" s="11"/>
      <c r="DK450" s="11"/>
      <c r="DL450" s="11"/>
      <c r="DM450" s="11"/>
      <c r="DN450" s="11"/>
      <c r="DO450" s="11"/>
      <c r="DP450" s="11"/>
      <c r="DQ450" s="11"/>
      <c r="DR450" s="11"/>
      <c r="DS450" s="11"/>
      <c r="DT450" s="11"/>
      <c r="DU450" s="11"/>
      <c r="DV450" s="11"/>
      <c r="DW450" s="11"/>
      <c r="DX450" s="11"/>
      <c r="DY450" s="11"/>
      <c r="DZ450" s="11"/>
      <c r="EA450" s="11"/>
      <c r="EB450" s="11"/>
      <c r="EC450" s="11"/>
      <c r="ED450" s="11"/>
      <c r="EE450" s="11"/>
      <c r="EF450" s="11"/>
      <c r="EG450" s="11"/>
      <c r="EH450" s="11"/>
      <c r="EI450" s="11"/>
      <c r="EJ450" s="11"/>
      <c r="EK450" s="11"/>
      <c r="EL450" s="11"/>
      <c r="EM450" s="11"/>
      <c r="EN450" s="11"/>
      <c r="EO450" s="11"/>
      <c r="EP450" s="11"/>
      <c r="EQ450" s="11"/>
      <c r="ER450" s="11"/>
      <c r="ES450" s="11"/>
      <c r="ET450" s="11"/>
      <c r="EU450" s="11"/>
      <c r="EV450" s="11"/>
      <c r="EW450" s="11"/>
      <c r="EX450" s="11"/>
      <c r="EY450" s="11"/>
      <c r="EZ450" s="11"/>
      <c r="FA450" s="11"/>
      <c r="FB450" s="11"/>
      <c r="FC450" s="11"/>
      <c r="FD450" s="11"/>
      <c r="FE450" s="11"/>
      <c r="FF450" s="11"/>
      <c r="FG450" s="11"/>
      <c r="FH450" s="11"/>
      <c r="FI450" s="11"/>
      <c r="FJ450" s="11"/>
      <c r="FK450" s="11"/>
      <c r="FL450" s="11"/>
      <c r="FM450" s="11"/>
      <c r="FN450" s="11"/>
      <c r="FO450" s="11"/>
      <c r="FP450" s="11"/>
      <c r="FQ450" s="11"/>
      <c r="FR450" s="11"/>
      <c r="FS450" s="11"/>
      <c r="FT450" s="11"/>
      <c r="FU450" s="11"/>
      <c r="FV450" s="11"/>
      <c r="FW450" s="11"/>
      <c r="FX450" s="11"/>
      <c r="FY450" s="11"/>
      <c r="FZ450" s="11"/>
      <c r="GA450" s="11"/>
      <c r="GB450" s="11"/>
      <c r="GC450" s="11"/>
      <c r="GD450" s="11"/>
      <c r="GE450" s="11"/>
      <c r="GF450" s="11"/>
      <c r="GG450" s="11"/>
    </row>
    <row r="451" spans="1:189" s="10" customFormat="1" x14ac:dyDescent="0.25">
      <c r="A451" s="51" t="s">
        <v>381</v>
      </c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1"/>
      <c r="AY451" s="11"/>
      <c r="AZ451" s="11"/>
      <c r="BA451" s="11"/>
      <c r="BB451" s="11"/>
      <c r="BC451" s="11"/>
      <c r="BD451" s="11"/>
      <c r="BE451" s="11"/>
      <c r="BF451" s="11"/>
      <c r="BG451" s="11"/>
      <c r="BH451" s="11"/>
      <c r="BI451" s="11"/>
      <c r="BJ451" s="11"/>
      <c r="BK451" s="11"/>
      <c r="BL451" s="11"/>
      <c r="BM451" s="11"/>
      <c r="BN451" s="11"/>
      <c r="BO451" s="11"/>
      <c r="BP451" s="11"/>
      <c r="BQ451" s="11"/>
      <c r="BR451" s="11"/>
      <c r="BS451" s="11"/>
      <c r="BT451" s="11"/>
      <c r="BU451" s="11"/>
      <c r="BV451" s="11"/>
      <c r="BW451" s="11"/>
      <c r="BX451" s="11"/>
      <c r="BY451" s="11"/>
      <c r="BZ451" s="11"/>
      <c r="CA451" s="11"/>
      <c r="CB451" s="11"/>
      <c r="CC451" s="11"/>
      <c r="CD451" s="11"/>
      <c r="CE451" s="11"/>
      <c r="CF451" s="11"/>
      <c r="CG451" s="11"/>
      <c r="CH451" s="11"/>
      <c r="CI451" s="11"/>
      <c r="CJ451" s="11"/>
      <c r="CK451" s="11"/>
      <c r="CL451" s="11"/>
      <c r="CM451" s="11"/>
      <c r="CN451" s="11"/>
      <c r="CO451" s="11"/>
      <c r="CP451" s="11"/>
      <c r="CQ451" s="11"/>
      <c r="CR451" s="11"/>
      <c r="CS451" s="11"/>
      <c r="CT451" s="11"/>
      <c r="CU451" s="11"/>
      <c r="CV451" s="11"/>
      <c r="CW451" s="11"/>
      <c r="CX451" s="11"/>
      <c r="CY451" s="11"/>
      <c r="CZ451" s="11"/>
      <c r="DA451" s="11"/>
      <c r="DB451" s="11"/>
      <c r="DC451" s="11"/>
      <c r="DD451" s="11"/>
      <c r="DE451" s="11"/>
      <c r="DF451" s="11"/>
      <c r="DG451" s="11"/>
      <c r="DH451" s="11"/>
      <c r="DI451" s="11"/>
      <c r="DJ451" s="11"/>
      <c r="DK451" s="11"/>
      <c r="DL451" s="11"/>
      <c r="DM451" s="11"/>
      <c r="DN451" s="11"/>
      <c r="DO451" s="11"/>
      <c r="DP451" s="11"/>
      <c r="DQ451" s="11"/>
      <c r="DR451" s="11"/>
      <c r="DS451" s="11"/>
      <c r="DT451" s="11"/>
      <c r="DU451" s="11"/>
      <c r="DV451" s="11"/>
      <c r="DW451" s="11"/>
      <c r="DX451" s="11"/>
      <c r="DY451" s="11"/>
      <c r="DZ451" s="11"/>
      <c r="EA451" s="11"/>
      <c r="EB451" s="11"/>
      <c r="EC451" s="11"/>
      <c r="ED451" s="11"/>
      <c r="EE451" s="11"/>
      <c r="EF451" s="11"/>
      <c r="EG451" s="11"/>
      <c r="EH451" s="11"/>
      <c r="EI451" s="11"/>
      <c r="EJ451" s="11"/>
      <c r="EK451" s="11"/>
      <c r="EL451" s="11"/>
      <c r="EM451" s="11"/>
      <c r="EN451" s="11"/>
      <c r="EO451" s="11"/>
      <c r="EP451" s="11"/>
      <c r="EQ451" s="11"/>
      <c r="ER451" s="11"/>
      <c r="ES451" s="11"/>
      <c r="ET451" s="11"/>
      <c r="EU451" s="11"/>
      <c r="EV451" s="11"/>
      <c r="EW451" s="11"/>
      <c r="EX451" s="11"/>
      <c r="EY451" s="11"/>
      <c r="EZ451" s="11"/>
      <c r="FA451" s="11"/>
      <c r="FB451" s="11"/>
      <c r="FC451" s="11"/>
      <c r="FD451" s="11"/>
      <c r="FE451" s="11"/>
      <c r="FF451" s="11"/>
      <c r="FG451" s="11"/>
      <c r="FH451" s="11"/>
      <c r="FI451" s="11"/>
      <c r="FJ451" s="11"/>
      <c r="FK451" s="11"/>
      <c r="FL451" s="11"/>
      <c r="FM451" s="11"/>
      <c r="FN451" s="11"/>
      <c r="FO451" s="11"/>
      <c r="FP451" s="11"/>
      <c r="FQ451" s="11"/>
      <c r="FR451" s="11"/>
      <c r="FS451" s="11"/>
      <c r="FT451" s="11"/>
      <c r="FU451" s="11"/>
      <c r="FV451" s="11"/>
      <c r="FW451" s="11"/>
      <c r="FX451" s="11"/>
      <c r="FY451" s="11"/>
      <c r="FZ451" s="11"/>
      <c r="GA451" s="11"/>
      <c r="GB451" s="11"/>
      <c r="GC451" s="11"/>
      <c r="GD451" s="11"/>
      <c r="GE451" s="11"/>
      <c r="GF451" s="11"/>
      <c r="GG451" s="11"/>
    </row>
    <row r="452" spans="1:189" s="10" customFormat="1" x14ac:dyDescent="0.25">
      <c r="A452" s="51" t="s">
        <v>382</v>
      </c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1"/>
      <c r="AY452" s="11"/>
      <c r="AZ452" s="11"/>
      <c r="BA452" s="11"/>
      <c r="BB452" s="11"/>
      <c r="BC452" s="11"/>
      <c r="BD452" s="11"/>
      <c r="BE452" s="11"/>
      <c r="BF452" s="11"/>
      <c r="BG452" s="11"/>
      <c r="BH452" s="11"/>
      <c r="BI452" s="11"/>
      <c r="BJ452" s="11"/>
      <c r="BK452" s="11"/>
      <c r="BL452" s="11"/>
      <c r="BM452" s="11"/>
      <c r="BN452" s="11"/>
      <c r="BO452" s="11"/>
      <c r="BP452" s="11"/>
      <c r="BQ452" s="11"/>
      <c r="BR452" s="11"/>
      <c r="BS452" s="11"/>
      <c r="BT452" s="11"/>
      <c r="BU452" s="11"/>
      <c r="BV452" s="11"/>
      <c r="BW452" s="11"/>
      <c r="BX452" s="11"/>
      <c r="BY452" s="11"/>
      <c r="BZ452" s="11"/>
      <c r="CA452" s="11"/>
      <c r="CB452" s="11"/>
      <c r="CC452" s="11"/>
      <c r="CD452" s="11"/>
      <c r="CE452" s="11"/>
      <c r="CF452" s="11"/>
      <c r="CG452" s="11"/>
      <c r="CH452" s="11"/>
      <c r="CI452" s="11"/>
      <c r="CJ452" s="11"/>
      <c r="CK452" s="11"/>
      <c r="CL452" s="11"/>
      <c r="CM452" s="11"/>
      <c r="CN452" s="11"/>
      <c r="CO452" s="11"/>
      <c r="CP452" s="11"/>
      <c r="CQ452" s="11"/>
      <c r="CR452" s="11"/>
      <c r="CS452" s="11"/>
      <c r="CT452" s="11"/>
      <c r="CU452" s="11"/>
      <c r="CV452" s="11"/>
      <c r="CW452" s="11"/>
      <c r="CX452" s="11"/>
      <c r="CY452" s="11"/>
      <c r="CZ452" s="11"/>
      <c r="DA452" s="11"/>
      <c r="DB452" s="11"/>
      <c r="DC452" s="11"/>
      <c r="DD452" s="11"/>
      <c r="DE452" s="11"/>
      <c r="DF452" s="11"/>
      <c r="DG452" s="11"/>
      <c r="DH452" s="11"/>
      <c r="DI452" s="11"/>
      <c r="DJ452" s="11"/>
      <c r="DK452" s="11"/>
      <c r="DL452" s="11"/>
      <c r="DM452" s="11"/>
      <c r="DN452" s="11"/>
      <c r="DO452" s="11"/>
      <c r="DP452" s="11"/>
      <c r="DQ452" s="11"/>
      <c r="DR452" s="11"/>
      <c r="DS452" s="11"/>
      <c r="DT452" s="11"/>
      <c r="DU452" s="11"/>
      <c r="DV452" s="11"/>
      <c r="DW452" s="11"/>
      <c r="DX452" s="11"/>
      <c r="DY452" s="11"/>
      <c r="DZ452" s="11"/>
      <c r="EA452" s="11"/>
      <c r="EB452" s="11"/>
      <c r="EC452" s="11"/>
      <c r="ED452" s="11"/>
      <c r="EE452" s="11"/>
      <c r="EF452" s="11"/>
      <c r="EG452" s="11"/>
      <c r="EH452" s="11"/>
      <c r="EI452" s="11"/>
      <c r="EJ452" s="11"/>
      <c r="EK452" s="11"/>
      <c r="EL452" s="11"/>
      <c r="EM452" s="11"/>
      <c r="EN452" s="11"/>
      <c r="EO452" s="11"/>
      <c r="EP452" s="11"/>
      <c r="EQ452" s="11"/>
      <c r="ER452" s="11"/>
      <c r="ES452" s="11"/>
      <c r="ET452" s="11"/>
      <c r="EU452" s="11"/>
      <c r="EV452" s="11"/>
      <c r="EW452" s="11"/>
      <c r="EX452" s="11"/>
      <c r="EY452" s="11"/>
      <c r="EZ452" s="11"/>
      <c r="FA452" s="11"/>
      <c r="FB452" s="11"/>
      <c r="FC452" s="11"/>
      <c r="FD452" s="11"/>
      <c r="FE452" s="11"/>
      <c r="FF452" s="11"/>
      <c r="FG452" s="11"/>
      <c r="FH452" s="11"/>
      <c r="FI452" s="11"/>
      <c r="FJ452" s="11"/>
      <c r="FK452" s="11"/>
      <c r="FL452" s="11"/>
      <c r="FM452" s="11"/>
      <c r="FN452" s="11"/>
      <c r="FO452" s="11"/>
      <c r="FP452" s="11"/>
      <c r="FQ452" s="11"/>
      <c r="FR452" s="11"/>
      <c r="FS452" s="11"/>
      <c r="FT452" s="11"/>
      <c r="FU452" s="11"/>
      <c r="FV452" s="11"/>
      <c r="FW452" s="11"/>
      <c r="FX452" s="11"/>
      <c r="FY452" s="11"/>
      <c r="FZ452" s="11"/>
      <c r="GA452" s="11"/>
      <c r="GB452" s="11"/>
      <c r="GC452" s="11"/>
      <c r="GD452" s="11"/>
      <c r="GE452" s="11"/>
      <c r="GF452" s="11"/>
      <c r="GG452" s="11"/>
    </row>
  </sheetData>
  <autoFilter ref="A1:GG453"/>
  <printOptions horizontalCentered="1"/>
  <pageMargins left="0.19685039370078741" right="0.11811023622047245" top="0.39370078740157483" bottom="0.39370078740157483" header="0" footer="0"/>
  <pageSetup paperSize="8" scale="48" fitToHeight="0" orientation="landscape" r:id="rId1"/>
  <headerFooter alignWithMargins="0">
    <oddFooter>Стр.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I38"/>
  <sheetViews>
    <sheetView topLeftCell="A19" workbookViewId="0">
      <selection activeCell="C42" sqref="C42"/>
    </sheetView>
  </sheetViews>
  <sheetFormatPr defaultRowHeight="15.75" x14ac:dyDescent="0.25"/>
  <cols>
    <col min="1" max="1" width="4.7109375" style="59" customWidth="1"/>
    <col min="2" max="2" width="5.7109375" style="61" customWidth="1"/>
    <col min="3" max="3" width="60.28515625" style="56" customWidth="1"/>
    <col min="4" max="4" width="21.140625" style="57" customWidth="1"/>
    <col min="5" max="5" width="28.7109375" style="60" customWidth="1"/>
    <col min="6" max="257" width="9.140625" style="59"/>
    <col min="258" max="258" width="5.7109375" style="59" customWidth="1"/>
    <col min="259" max="259" width="60.28515625" style="59" customWidth="1"/>
    <col min="260" max="260" width="25" style="59" customWidth="1"/>
    <col min="261" max="261" width="32.140625" style="59" customWidth="1"/>
    <col min="262" max="513" width="9.140625" style="59"/>
    <col min="514" max="514" width="5.7109375" style="59" customWidth="1"/>
    <col min="515" max="515" width="60.28515625" style="59" customWidth="1"/>
    <col min="516" max="516" width="25" style="59" customWidth="1"/>
    <col min="517" max="517" width="32.140625" style="59" customWidth="1"/>
    <col min="518" max="769" width="9.140625" style="59"/>
    <col min="770" max="770" width="5.7109375" style="59" customWidth="1"/>
    <col min="771" max="771" width="60.28515625" style="59" customWidth="1"/>
    <col min="772" max="772" width="25" style="59" customWidth="1"/>
    <col min="773" max="773" width="32.140625" style="59" customWidth="1"/>
    <col min="774" max="1025" width="9.140625" style="59"/>
    <col min="1026" max="1026" width="5.7109375" style="59" customWidth="1"/>
    <col min="1027" max="1027" width="60.28515625" style="59" customWidth="1"/>
    <col min="1028" max="1028" width="25" style="59" customWidth="1"/>
    <col min="1029" max="1029" width="32.140625" style="59" customWidth="1"/>
    <col min="1030" max="1281" width="9.140625" style="59"/>
    <col min="1282" max="1282" width="5.7109375" style="59" customWidth="1"/>
    <col min="1283" max="1283" width="60.28515625" style="59" customWidth="1"/>
    <col min="1284" max="1284" width="25" style="59" customWidth="1"/>
    <col min="1285" max="1285" width="32.140625" style="59" customWidth="1"/>
    <col min="1286" max="1537" width="9.140625" style="59"/>
    <col min="1538" max="1538" width="5.7109375" style="59" customWidth="1"/>
    <col min="1539" max="1539" width="60.28515625" style="59" customWidth="1"/>
    <col min="1540" max="1540" width="25" style="59" customWidth="1"/>
    <col min="1541" max="1541" width="32.140625" style="59" customWidth="1"/>
    <col min="1542" max="1793" width="9.140625" style="59"/>
    <col min="1794" max="1794" width="5.7109375" style="59" customWidth="1"/>
    <col min="1795" max="1795" width="60.28515625" style="59" customWidth="1"/>
    <col min="1796" max="1796" width="25" style="59" customWidth="1"/>
    <col min="1797" max="1797" width="32.140625" style="59" customWidth="1"/>
    <col min="1798" max="2049" width="9.140625" style="59"/>
    <col min="2050" max="2050" width="5.7109375" style="59" customWidth="1"/>
    <col min="2051" max="2051" width="60.28515625" style="59" customWidth="1"/>
    <col min="2052" max="2052" width="25" style="59" customWidth="1"/>
    <col min="2053" max="2053" width="32.140625" style="59" customWidth="1"/>
    <col min="2054" max="2305" width="9.140625" style="59"/>
    <col min="2306" max="2306" width="5.7109375" style="59" customWidth="1"/>
    <col min="2307" max="2307" width="60.28515625" style="59" customWidth="1"/>
    <col min="2308" max="2308" width="25" style="59" customWidth="1"/>
    <col min="2309" max="2309" width="32.140625" style="59" customWidth="1"/>
    <col min="2310" max="2561" width="9.140625" style="59"/>
    <col min="2562" max="2562" width="5.7109375" style="59" customWidth="1"/>
    <col min="2563" max="2563" width="60.28515625" style="59" customWidth="1"/>
    <col min="2564" max="2564" width="25" style="59" customWidth="1"/>
    <col min="2565" max="2565" width="32.140625" style="59" customWidth="1"/>
    <col min="2566" max="2817" width="9.140625" style="59"/>
    <col min="2818" max="2818" width="5.7109375" style="59" customWidth="1"/>
    <col min="2819" max="2819" width="60.28515625" style="59" customWidth="1"/>
    <col min="2820" max="2820" width="25" style="59" customWidth="1"/>
    <col min="2821" max="2821" width="32.140625" style="59" customWidth="1"/>
    <col min="2822" max="3073" width="9.140625" style="59"/>
    <col min="3074" max="3074" width="5.7109375" style="59" customWidth="1"/>
    <col min="3075" max="3075" width="60.28515625" style="59" customWidth="1"/>
    <col min="3076" max="3076" width="25" style="59" customWidth="1"/>
    <col min="3077" max="3077" width="32.140625" style="59" customWidth="1"/>
    <col min="3078" max="3329" width="9.140625" style="59"/>
    <col min="3330" max="3330" width="5.7109375" style="59" customWidth="1"/>
    <col min="3331" max="3331" width="60.28515625" style="59" customWidth="1"/>
    <col min="3332" max="3332" width="25" style="59" customWidth="1"/>
    <col min="3333" max="3333" width="32.140625" style="59" customWidth="1"/>
    <col min="3334" max="3585" width="9.140625" style="59"/>
    <col min="3586" max="3586" width="5.7109375" style="59" customWidth="1"/>
    <col min="3587" max="3587" width="60.28515625" style="59" customWidth="1"/>
    <col min="3588" max="3588" width="25" style="59" customWidth="1"/>
    <col min="3589" max="3589" width="32.140625" style="59" customWidth="1"/>
    <col min="3590" max="3841" width="9.140625" style="59"/>
    <col min="3842" max="3842" width="5.7109375" style="59" customWidth="1"/>
    <col min="3843" max="3843" width="60.28515625" style="59" customWidth="1"/>
    <col min="3844" max="3844" width="25" style="59" customWidth="1"/>
    <col min="3845" max="3845" width="32.140625" style="59" customWidth="1"/>
    <col min="3846" max="4097" width="9.140625" style="59"/>
    <col min="4098" max="4098" width="5.7109375" style="59" customWidth="1"/>
    <col min="4099" max="4099" width="60.28515625" style="59" customWidth="1"/>
    <col min="4100" max="4100" width="25" style="59" customWidth="1"/>
    <col min="4101" max="4101" width="32.140625" style="59" customWidth="1"/>
    <col min="4102" max="4353" width="9.140625" style="59"/>
    <col min="4354" max="4354" width="5.7109375" style="59" customWidth="1"/>
    <col min="4355" max="4355" width="60.28515625" style="59" customWidth="1"/>
    <col min="4356" max="4356" width="25" style="59" customWidth="1"/>
    <col min="4357" max="4357" width="32.140625" style="59" customWidth="1"/>
    <col min="4358" max="4609" width="9.140625" style="59"/>
    <col min="4610" max="4610" width="5.7109375" style="59" customWidth="1"/>
    <col min="4611" max="4611" width="60.28515625" style="59" customWidth="1"/>
    <col min="4612" max="4612" width="25" style="59" customWidth="1"/>
    <col min="4613" max="4613" width="32.140625" style="59" customWidth="1"/>
    <col min="4614" max="4865" width="9.140625" style="59"/>
    <col min="4866" max="4866" width="5.7109375" style="59" customWidth="1"/>
    <col min="4867" max="4867" width="60.28515625" style="59" customWidth="1"/>
    <col min="4868" max="4868" width="25" style="59" customWidth="1"/>
    <col min="4869" max="4869" width="32.140625" style="59" customWidth="1"/>
    <col min="4870" max="5121" width="9.140625" style="59"/>
    <col min="5122" max="5122" width="5.7109375" style="59" customWidth="1"/>
    <col min="5123" max="5123" width="60.28515625" style="59" customWidth="1"/>
    <col min="5124" max="5124" width="25" style="59" customWidth="1"/>
    <col min="5125" max="5125" width="32.140625" style="59" customWidth="1"/>
    <col min="5126" max="5377" width="9.140625" style="59"/>
    <col min="5378" max="5378" width="5.7109375" style="59" customWidth="1"/>
    <col min="5379" max="5379" width="60.28515625" style="59" customWidth="1"/>
    <col min="5380" max="5380" width="25" style="59" customWidth="1"/>
    <col min="5381" max="5381" width="32.140625" style="59" customWidth="1"/>
    <col min="5382" max="5633" width="9.140625" style="59"/>
    <col min="5634" max="5634" width="5.7109375" style="59" customWidth="1"/>
    <col min="5635" max="5635" width="60.28515625" style="59" customWidth="1"/>
    <col min="5636" max="5636" width="25" style="59" customWidth="1"/>
    <col min="5637" max="5637" width="32.140625" style="59" customWidth="1"/>
    <col min="5638" max="5889" width="9.140625" style="59"/>
    <col min="5890" max="5890" width="5.7109375" style="59" customWidth="1"/>
    <col min="5891" max="5891" width="60.28515625" style="59" customWidth="1"/>
    <col min="5892" max="5892" width="25" style="59" customWidth="1"/>
    <col min="5893" max="5893" width="32.140625" style="59" customWidth="1"/>
    <col min="5894" max="6145" width="9.140625" style="59"/>
    <col min="6146" max="6146" width="5.7109375" style="59" customWidth="1"/>
    <col min="6147" max="6147" width="60.28515625" style="59" customWidth="1"/>
    <col min="6148" max="6148" width="25" style="59" customWidth="1"/>
    <col min="6149" max="6149" width="32.140625" style="59" customWidth="1"/>
    <col min="6150" max="6401" width="9.140625" style="59"/>
    <col min="6402" max="6402" width="5.7109375" style="59" customWidth="1"/>
    <col min="6403" max="6403" width="60.28515625" style="59" customWidth="1"/>
    <col min="6404" max="6404" width="25" style="59" customWidth="1"/>
    <col min="6405" max="6405" width="32.140625" style="59" customWidth="1"/>
    <col min="6406" max="6657" width="9.140625" style="59"/>
    <col min="6658" max="6658" width="5.7109375" style="59" customWidth="1"/>
    <col min="6659" max="6659" width="60.28515625" style="59" customWidth="1"/>
    <col min="6660" max="6660" width="25" style="59" customWidth="1"/>
    <col min="6661" max="6661" width="32.140625" style="59" customWidth="1"/>
    <col min="6662" max="6913" width="9.140625" style="59"/>
    <col min="6914" max="6914" width="5.7109375" style="59" customWidth="1"/>
    <col min="6915" max="6915" width="60.28515625" style="59" customWidth="1"/>
    <col min="6916" max="6916" width="25" style="59" customWidth="1"/>
    <col min="6917" max="6917" width="32.140625" style="59" customWidth="1"/>
    <col min="6918" max="7169" width="9.140625" style="59"/>
    <col min="7170" max="7170" width="5.7109375" style="59" customWidth="1"/>
    <col min="7171" max="7171" width="60.28515625" style="59" customWidth="1"/>
    <col min="7172" max="7172" width="25" style="59" customWidth="1"/>
    <col min="7173" max="7173" width="32.140625" style="59" customWidth="1"/>
    <col min="7174" max="7425" width="9.140625" style="59"/>
    <col min="7426" max="7426" width="5.7109375" style="59" customWidth="1"/>
    <col min="7427" max="7427" width="60.28515625" style="59" customWidth="1"/>
    <col min="7428" max="7428" width="25" style="59" customWidth="1"/>
    <col min="7429" max="7429" width="32.140625" style="59" customWidth="1"/>
    <col min="7430" max="7681" width="9.140625" style="59"/>
    <col min="7682" max="7682" width="5.7109375" style="59" customWidth="1"/>
    <col min="7683" max="7683" width="60.28515625" style="59" customWidth="1"/>
    <col min="7684" max="7684" width="25" style="59" customWidth="1"/>
    <col min="7685" max="7685" width="32.140625" style="59" customWidth="1"/>
    <col min="7686" max="7937" width="9.140625" style="59"/>
    <col min="7938" max="7938" width="5.7109375" style="59" customWidth="1"/>
    <col min="7939" max="7939" width="60.28515625" style="59" customWidth="1"/>
    <col min="7940" max="7940" width="25" style="59" customWidth="1"/>
    <col min="7941" max="7941" width="32.140625" style="59" customWidth="1"/>
    <col min="7942" max="8193" width="9.140625" style="59"/>
    <col min="8194" max="8194" width="5.7109375" style="59" customWidth="1"/>
    <col min="8195" max="8195" width="60.28515625" style="59" customWidth="1"/>
    <col min="8196" max="8196" width="25" style="59" customWidth="1"/>
    <col min="8197" max="8197" width="32.140625" style="59" customWidth="1"/>
    <col min="8198" max="8449" width="9.140625" style="59"/>
    <col min="8450" max="8450" width="5.7109375" style="59" customWidth="1"/>
    <col min="8451" max="8451" width="60.28515625" style="59" customWidth="1"/>
    <col min="8452" max="8452" width="25" style="59" customWidth="1"/>
    <col min="8453" max="8453" width="32.140625" style="59" customWidth="1"/>
    <col min="8454" max="8705" width="9.140625" style="59"/>
    <col min="8706" max="8706" width="5.7109375" style="59" customWidth="1"/>
    <col min="8707" max="8707" width="60.28515625" style="59" customWidth="1"/>
    <col min="8708" max="8708" width="25" style="59" customWidth="1"/>
    <col min="8709" max="8709" width="32.140625" style="59" customWidth="1"/>
    <col min="8710" max="8961" width="9.140625" style="59"/>
    <col min="8962" max="8962" width="5.7109375" style="59" customWidth="1"/>
    <col min="8963" max="8963" width="60.28515625" style="59" customWidth="1"/>
    <col min="8964" max="8964" width="25" style="59" customWidth="1"/>
    <col min="8965" max="8965" width="32.140625" style="59" customWidth="1"/>
    <col min="8966" max="9217" width="9.140625" style="59"/>
    <col min="9218" max="9218" width="5.7109375" style="59" customWidth="1"/>
    <col min="9219" max="9219" width="60.28515625" style="59" customWidth="1"/>
    <col min="9220" max="9220" width="25" style="59" customWidth="1"/>
    <col min="9221" max="9221" width="32.140625" style="59" customWidth="1"/>
    <col min="9222" max="9473" width="9.140625" style="59"/>
    <col min="9474" max="9474" width="5.7109375" style="59" customWidth="1"/>
    <col min="9475" max="9475" width="60.28515625" style="59" customWidth="1"/>
    <col min="9476" max="9476" width="25" style="59" customWidth="1"/>
    <col min="9477" max="9477" width="32.140625" style="59" customWidth="1"/>
    <col min="9478" max="9729" width="9.140625" style="59"/>
    <col min="9730" max="9730" width="5.7109375" style="59" customWidth="1"/>
    <col min="9731" max="9731" width="60.28515625" style="59" customWidth="1"/>
    <col min="9732" max="9732" width="25" style="59" customWidth="1"/>
    <col min="9733" max="9733" width="32.140625" style="59" customWidth="1"/>
    <col min="9734" max="9985" width="9.140625" style="59"/>
    <col min="9986" max="9986" width="5.7109375" style="59" customWidth="1"/>
    <col min="9987" max="9987" width="60.28515625" style="59" customWidth="1"/>
    <col min="9988" max="9988" width="25" style="59" customWidth="1"/>
    <col min="9989" max="9989" width="32.140625" style="59" customWidth="1"/>
    <col min="9990" max="10241" width="9.140625" style="59"/>
    <col min="10242" max="10242" width="5.7109375" style="59" customWidth="1"/>
    <col min="10243" max="10243" width="60.28515625" style="59" customWidth="1"/>
    <col min="10244" max="10244" width="25" style="59" customWidth="1"/>
    <col min="10245" max="10245" width="32.140625" style="59" customWidth="1"/>
    <col min="10246" max="10497" width="9.140625" style="59"/>
    <col min="10498" max="10498" width="5.7109375" style="59" customWidth="1"/>
    <col min="10499" max="10499" width="60.28515625" style="59" customWidth="1"/>
    <col min="10500" max="10500" width="25" style="59" customWidth="1"/>
    <col min="10501" max="10501" width="32.140625" style="59" customWidth="1"/>
    <col min="10502" max="10753" width="9.140625" style="59"/>
    <col min="10754" max="10754" width="5.7109375" style="59" customWidth="1"/>
    <col min="10755" max="10755" width="60.28515625" style="59" customWidth="1"/>
    <col min="10756" max="10756" width="25" style="59" customWidth="1"/>
    <col min="10757" max="10757" width="32.140625" style="59" customWidth="1"/>
    <col min="10758" max="11009" width="9.140625" style="59"/>
    <col min="11010" max="11010" width="5.7109375" style="59" customWidth="1"/>
    <col min="11011" max="11011" width="60.28515625" style="59" customWidth="1"/>
    <col min="11012" max="11012" width="25" style="59" customWidth="1"/>
    <col min="11013" max="11013" width="32.140625" style="59" customWidth="1"/>
    <col min="11014" max="11265" width="9.140625" style="59"/>
    <col min="11266" max="11266" width="5.7109375" style="59" customWidth="1"/>
    <col min="11267" max="11267" width="60.28515625" style="59" customWidth="1"/>
    <col min="11268" max="11268" width="25" style="59" customWidth="1"/>
    <col min="11269" max="11269" width="32.140625" style="59" customWidth="1"/>
    <col min="11270" max="11521" width="9.140625" style="59"/>
    <col min="11522" max="11522" width="5.7109375" style="59" customWidth="1"/>
    <col min="11523" max="11523" width="60.28515625" style="59" customWidth="1"/>
    <col min="11524" max="11524" width="25" style="59" customWidth="1"/>
    <col min="11525" max="11525" width="32.140625" style="59" customWidth="1"/>
    <col min="11526" max="11777" width="9.140625" style="59"/>
    <col min="11778" max="11778" width="5.7109375" style="59" customWidth="1"/>
    <col min="11779" max="11779" width="60.28515625" style="59" customWidth="1"/>
    <col min="11780" max="11780" width="25" style="59" customWidth="1"/>
    <col min="11781" max="11781" width="32.140625" style="59" customWidth="1"/>
    <col min="11782" max="12033" width="9.140625" style="59"/>
    <col min="12034" max="12034" width="5.7109375" style="59" customWidth="1"/>
    <col min="12035" max="12035" width="60.28515625" style="59" customWidth="1"/>
    <col min="12036" max="12036" width="25" style="59" customWidth="1"/>
    <col min="12037" max="12037" width="32.140625" style="59" customWidth="1"/>
    <col min="12038" max="12289" width="9.140625" style="59"/>
    <col min="12290" max="12290" width="5.7109375" style="59" customWidth="1"/>
    <col min="12291" max="12291" width="60.28515625" style="59" customWidth="1"/>
    <col min="12292" max="12292" width="25" style="59" customWidth="1"/>
    <col min="12293" max="12293" width="32.140625" style="59" customWidth="1"/>
    <col min="12294" max="12545" width="9.140625" style="59"/>
    <col min="12546" max="12546" width="5.7109375" style="59" customWidth="1"/>
    <col min="12547" max="12547" width="60.28515625" style="59" customWidth="1"/>
    <col min="12548" max="12548" width="25" style="59" customWidth="1"/>
    <col min="12549" max="12549" width="32.140625" style="59" customWidth="1"/>
    <col min="12550" max="12801" width="9.140625" style="59"/>
    <col min="12802" max="12802" width="5.7109375" style="59" customWidth="1"/>
    <col min="12803" max="12803" width="60.28515625" style="59" customWidth="1"/>
    <col min="12804" max="12804" width="25" style="59" customWidth="1"/>
    <col min="12805" max="12805" width="32.140625" style="59" customWidth="1"/>
    <col min="12806" max="13057" width="9.140625" style="59"/>
    <col min="13058" max="13058" width="5.7109375" style="59" customWidth="1"/>
    <col min="13059" max="13059" width="60.28515625" style="59" customWidth="1"/>
    <col min="13060" max="13060" width="25" style="59" customWidth="1"/>
    <col min="13061" max="13061" width="32.140625" style="59" customWidth="1"/>
    <col min="13062" max="13313" width="9.140625" style="59"/>
    <col min="13314" max="13314" width="5.7109375" style="59" customWidth="1"/>
    <col min="13315" max="13315" width="60.28515625" style="59" customWidth="1"/>
    <col min="13316" max="13316" width="25" style="59" customWidth="1"/>
    <col min="13317" max="13317" width="32.140625" style="59" customWidth="1"/>
    <col min="13318" max="13569" width="9.140625" style="59"/>
    <col min="13570" max="13570" width="5.7109375" style="59" customWidth="1"/>
    <col min="13571" max="13571" width="60.28515625" style="59" customWidth="1"/>
    <col min="13572" max="13572" width="25" style="59" customWidth="1"/>
    <col min="13573" max="13573" width="32.140625" style="59" customWidth="1"/>
    <col min="13574" max="13825" width="9.140625" style="59"/>
    <col min="13826" max="13826" width="5.7109375" style="59" customWidth="1"/>
    <col min="13827" max="13827" width="60.28515625" style="59" customWidth="1"/>
    <col min="13828" max="13828" width="25" style="59" customWidth="1"/>
    <col min="13829" max="13829" width="32.140625" style="59" customWidth="1"/>
    <col min="13830" max="14081" width="9.140625" style="59"/>
    <col min="14082" max="14082" width="5.7109375" style="59" customWidth="1"/>
    <col min="14083" max="14083" width="60.28515625" style="59" customWidth="1"/>
    <col min="14084" max="14084" width="25" style="59" customWidth="1"/>
    <col min="14085" max="14085" width="32.140625" style="59" customWidth="1"/>
    <col min="14086" max="14337" width="9.140625" style="59"/>
    <col min="14338" max="14338" width="5.7109375" style="59" customWidth="1"/>
    <col min="14339" max="14339" width="60.28515625" style="59" customWidth="1"/>
    <col min="14340" max="14340" width="25" style="59" customWidth="1"/>
    <col min="14341" max="14341" width="32.140625" style="59" customWidth="1"/>
    <col min="14342" max="14593" width="9.140625" style="59"/>
    <col min="14594" max="14594" width="5.7109375" style="59" customWidth="1"/>
    <col min="14595" max="14595" width="60.28515625" style="59" customWidth="1"/>
    <col min="14596" max="14596" width="25" style="59" customWidth="1"/>
    <col min="14597" max="14597" width="32.140625" style="59" customWidth="1"/>
    <col min="14598" max="14849" width="9.140625" style="59"/>
    <col min="14850" max="14850" width="5.7109375" style="59" customWidth="1"/>
    <col min="14851" max="14851" width="60.28515625" style="59" customWidth="1"/>
    <col min="14852" max="14852" width="25" style="59" customWidth="1"/>
    <col min="14853" max="14853" width="32.140625" style="59" customWidth="1"/>
    <col min="14854" max="15105" width="9.140625" style="59"/>
    <col min="15106" max="15106" width="5.7109375" style="59" customWidth="1"/>
    <col min="15107" max="15107" width="60.28515625" style="59" customWidth="1"/>
    <col min="15108" max="15108" width="25" style="59" customWidth="1"/>
    <col min="15109" max="15109" width="32.140625" style="59" customWidth="1"/>
    <col min="15110" max="15361" width="9.140625" style="59"/>
    <col min="15362" max="15362" width="5.7109375" style="59" customWidth="1"/>
    <col min="15363" max="15363" width="60.28515625" style="59" customWidth="1"/>
    <col min="15364" max="15364" width="25" style="59" customWidth="1"/>
    <col min="15365" max="15365" width="32.140625" style="59" customWidth="1"/>
    <col min="15366" max="15617" width="9.140625" style="59"/>
    <col min="15618" max="15618" width="5.7109375" style="59" customWidth="1"/>
    <col min="15619" max="15619" width="60.28515625" style="59" customWidth="1"/>
    <col min="15620" max="15620" width="25" style="59" customWidth="1"/>
    <col min="15621" max="15621" width="32.140625" style="59" customWidth="1"/>
    <col min="15622" max="15873" width="9.140625" style="59"/>
    <col min="15874" max="15874" width="5.7109375" style="59" customWidth="1"/>
    <col min="15875" max="15875" width="60.28515625" style="59" customWidth="1"/>
    <col min="15876" max="15876" width="25" style="59" customWidth="1"/>
    <col min="15877" max="15877" width="32.140625" style="59" customWidth="1"/>
    <col min="15878" max="16129" width="9.140625" style="59"/>
    <col min="16130" max="16130" width="5.7109375" style="59" customWidth="1"/>
    <col min="16131" max="16131" width="60.28515625" style="59" customWidth="1"/>
    <col min="16132" max="16132" width="25" style="59" customWidth="1"/>
    <col min="16133" max="16133" width="32.140625" style="59" customWidth="1"/>
    <col min="16134" max="16384" width="9.140625" style="59"/>
  </cols>
  <sheetData>
    <row r="1" spans="2:5" x14ac:dyDescent="0.25">
      <c r="B1" s="55"/>
      <c r="E1" s="58" t="s">
        <v>383</v>
      </c>
    </row>
    <row r="2" spans="2:5" x14ac:dyDescent="0.25">
      <c r="B2" s="55"/>
    </row>
    <row r="3" spans="2:5" x14ac:dyDescent="0.25">
      <c r="D3" s="164"/>
      <c r="E3" s="164"/>
    </row>
    <row r="4" spans="2:5" ht="44.25" customHeight="1" x14ac:dyDescent="0.25">
      <c r="B4" s="165" t="s">
        <v>384</v>
      </c>
      <c r="C4" s="166"/>
      <c r="D4" s="166"/>
      <c r="E4" s="167"/>
    </row>
    <row r="5" spans="2:5" x14ac:dyDescent="0.25">
      <c r="B5" s="62"/>
      <c r="C5" s="63"/>
      <c r="D5" s="64"/>
      <c r="E5" s="65" t="s">
        <v>385</v>
      </c>
    </row>
    <row r="6" spans="2:5" ht="31.5" x14ac:dyDescent="0.25">
      <c r="B6" s="168" t="s">
        <v>386</v>
      </c>
      <c r="C6" s="168" t="s">
        <v>387</v>
      </c>
      <c r="D6" s="169" t="s">
        <v>388</v>
      </c>
      <c r="E6" s="66" t="s">
        <v>389</v>
      </c>
    </row>
    <row r="7" spans="2:5" ht="47.25" x14ac:dyDescent="0.25">
      <c r="B7" s="168"/>
      <c r="C7" s="168"/>
      <c r="D7" s="170"/>
      <c r="E7" s="67" t="s">
        <v>390</v>
      </c>
    </row>
    <row r="8" spans="2:5" x14ac:dyDescent="0.25">
      <c r="B8" s="68">
        <v>1</v>
      </c>
      <c r="C8" s="68">
        <v>2</v>
      </c>
      <c r="D8" s="67">
        <v>3</v>
      </c>
      <c r="E8" s="67">
        <v>4</v>
      </c>
    </row>
    <row r="9" spans="2:5" s="70" customFormat="1" ht="37.5" customHeight="1" x14ac:dyDescent="0.25">
      <c r="B9" s="162" t="s">
        <v>391</v>
      </c>
      <c r="C9" s="163"/>
      <c r="D9" s="69">
        <f>657547+10655</f>
        <v>668202</v>
      </c>
      <c r="E9" s="69">
        <f>SUM(E10,E16,E20,E23)</f>
        <v>668202</v>
      </c>
    </row>
    <row r="10" spans="2:5" s="71" customFormat="1" ht="32.25" customHeight="1" x14ac:dyDescent="0.25">
      <c r="B10" s="156" t="s">
        <v>392</v>
      </c>
      <c r="C10" s="157"/>
      <c r="D10" s="69">
        <f>SUM(D13,D11)</f>
        <v>1450309</v>
      </c>
      <c r="E10" s="69">
        <f>SUM(E13,E11)</f>
        <v>331860</v>
      </c>
    </row>
    <row r="11" spans="2:5" s="71" customFormat="1" ht="21" customHeight="1" x14ac:dyDescent="0.25">
      <c r="B11" s="158" t="s">
        <v>393</v>
      </c>
      <c r="C11" s="159"/>
      <c r="D11" s="69">
        <f>SUM(D12)</f>
        <v>962096</v>
      </c>
      <c r="E11" s="69">
        <f>SUM(E12)</f>
        <v>10655</v>
      </c>
    </row>
    <row r="12" spans="2:5" s="75" customFormat="1" ht="47.25" x14ac:dyDescent="0.25">
      <c r="B12" s="72">
        <v>1</v>
      </c>
      <c r="C12" s="73" t="s">
        <v>53</v>
      </c>
      <c r="D12" s="74">
        <v>962096</v>
      </c>
      <c r="E12" s="74">
        <v>10655</v>
      </c>
    </row>
    <row r="13" spans="2:5" s="71" customFormat="1" ht="45.75" customHeight="1" x14ac:dyDescent="0.25">
      <c r="B13" s="156" t="s">
        <v>394</v>
      </c>
      <c r="C13" s="157"/>
      <c r="D13" s="69">
        <f>SUM(D14)</f>
        <v>488213</v>
      </c>
      <c r="E13" s="69">
        <f>SUM(E14)</f>
        <v>321205</v>
      </c>
    </row>
    <row r="14" spans="2:5" s="75" customFormat="1" ht="47.25" x14ac:dyDescent="0.25">
      <c r="B14" s="72">
        <v>1</v>
      </c>
      <c r="C14" s="72" t="s">
        <v>88</v>
      </c>
      <c r="D14" s="74">
        <v>488213</v>
      </c>
      <c r="E14" s="74">
        <v>321205</v>
      </c>
    </row>
    <row r="15" spans="2:5" x14ac:dyDescent="0.25">
      <c r="B15" s="76"/>
      <c r="C15" s="76"/>
      <c r="D15" s="74"/>
      <c r="E15" s="74"/>
    </row>
    <row r="16" spans="2:5" s="71" customFormat="1" ht="44.25" customHeight="1" x14ac:dyDescent="0.25">
      <c r="B16" s="160" t="s">
        <v>395</v>
      </c>
      <c r="C16" s="161"/>
      <c r="D16" s="69">
        <f>SUM(D17)</f>
        <v>215301</v>
      </c>
      <c r="E16" s="69">
        <f>SUM(E17)</f>
        <v>36342</v>
      </c>
    </row>
    <row r="17" spans="2:9" s="71" customFormat="1" ht="51" customHeight="1" x14ac:dyDescent="0.25">
      <c r="B17" s="156" t="s">
        <v>394</v>
      </c>
      <c r="C17" s="157"/>
      <c r="D17" s="69">
        <f>SUM(D18)</f>
        <v>215301</v>
      </c>
      <c r="E17" s="77">
        <f>SUM(E18)</f>
        <v>36342</v>
      </c>
    </row>
    <row r="18" spans="2:9" ht="31.5" x14ac:dyDescent="0.25">
      <c r="B18" s="76">
        <v>1</v>
      </c>
      <c r="C18" s="76" t="s">
        <v>315</v>
      </c>
      <c r="D18" s="78">
        <v>215301</v>
      </c>
      <c r="E18" s="78">
        <v>36342</v>
      </c>
    </row>
    <row r="19" spans="2:9" x14ac:dyDescent="0.25">
      <c r="B19" s="76"/>
      <c r="C19" s="76"/>
      <c r="D19" s="74"/>
      <c r="E19" s="74"/>
    </row>
    <row r="20" spans="2:9" s="70" customFormat="1" ht="31.5" customHeight="1" x14ac:dyDescent="0.25">
      <c r="B20" s="155" t="s">
        <v>396</v>
      </c>
      <c r="C20" s="155"/>
      <c r="D20" s="79">
        <f>+SUM(D21:D21)</f>
        <v>1836256</v>
      </c>
      <c r="E20" s="80">
        <f>SUM(E21)</f>
        <v>126000</v>
      </c>
    </row>
    <row r="21" spans="2:9" ht="47.25" x14ac:dyDescent="0.25">
      <c r="B21" s="76">
        <v>1</v>
      </c>
      <c r="C21" s="76" t="s">
        <v>397</v>
      </c>
      <c r="D21" s="74">
        <v>1836256</v>
      </c>
      <c r="E21" s="74">
        <v>126000</v>
      </c>
    </row>
    <row r="22" spans="2:9" x14ac:dyDescent="0.25">
      <c r="B22" s="76"/>
      <c r="C22" s="76"/>
      <c r="D22" s="74"/>
      <c r="E22" s="74"/>
    </row>
    <row r="23" spans="2:9" s="70" customFormat="1" ht="36" customHeight="1" x14ac:dyDescent="0.25">
      <c r="B23" s="155" t="s">
        <v>398</v>
      </c>
      <c r="C23" s="155"/>
      <c r="D23" s="79">
        <f>+SUM(D24:D24)</f>
        <v>174000</v>
      </c>
      <c r="E23" s="80">
        <f>SUM(E24)</f>
        <v>174000</v>
      </c>
    </row>
    <row r="24" spans="2:9" ht="94.5" x14ac:dyDescent="0.25">
      <c r="B24" s="76">
        <v>1</v>
      </c>
      <c r="C24" s="76" t="s">
        <v>399</v>
      </c>
      <c r="D24" s="74">
        <v>174000</v>
      </c>
      <c r="E24" s="74">
        <v>174000</v>
      </c>
    </row>
    <row r="27" spans="2:9" s="84" customFormat="1" x14ac:dyDescent="0.25">
      <c r="B27" s="70" t="s">
        <v>400</v>
      </c>
      <c r="C27" s="81"/>
      <c r="D27" s="82"/>
      <c r="E27" s="82"/>
      <c r="F27" s="81"/>
      <c r="G27" s="81"/>
      <c r="H27" s="83"/>
      <c r="I27" s="83"/>
    </row>
    <row r="28" spans="2:9" s="84" customFormat="1" x14ac:dyDescent="0.25">
      <c r="B28" s="85" t="s">
        <v>378</v>
      </c>
      <c r="C28" s="81"/>
      <c r="D28" s="82"/>
      <c r="E28" s="82"/>
      <c r="F28" s="81"/>
      <c r="G28" s="81"/>
      <c r="H28" s="83"/>
      <c r="I28" s="83"/>
    </row>
    <row r="29" spans="2:9" s="84" customFormat="1" x14ac:dyDescent="0.25">
      <c r="B29" s="70"/>
      <c r="C29" s="81"/>
      <c r="D29" s="82"/>
      <c r="E29" s="82"/>
      <c r="F29" s="81"/>
      <c r="G29" s="81"/>
      <c r="H29" s="83"/>
      <c r="I29" s="83"/>
    </row>
    <row r="30" spans="2:9" s="84" customFormat="1" x14ac:dyDescent="0.25">
      <c r="B30" s="59" t="s">
        <v>3</v>
      </c>
      <c r="C30" s="81"/>
      <c r="D30" s="82"/>
      <c r="E30" s="82"/>
      <c r="F30" s="81"/>
      <c r="G30" s="81"/>
      <c r="H30" s="86"/>
      <c r="I30" s="86"/>
    </row>
    <row r="31" spans="2:9" x14ac:dyDescent="0.25">
      <c r="B31" s="70" t="s">
        <v>1</v>
      </c>
      <c r="C31" s="59"/>
      <c r="D31" s="87"/>
      <c r="E31" s="87"/>
    </row>
    <row r="32" spans="2:9" s="85" customFormat="1" x14ac:dyDescent="0.25">
      <c r="B32" s="85" t="s">
        <v>2</v>
      </c>
      <c r="D32" s="88"/>
      <c r="E32" s="88"/>
    </row>
    <row r="33" spans="2:9" s="84" customFormat="1" x14ac:dyDescent="0.25">
      <c r="B33" s="59"/>
      <c r="C33" s="89"/>
      <c r="D33" s="90"/>
      <c r="E33" s="90"/>
      <c r="F33" s="91"/>
      <c r="G33" s="92"/>
      <c r="H33" s="92"/>
      <c r="I33" s="92"/>
    </row>
    <row r="34" spans="2:9" s="84" customFormat="1" x14ac:dyDescent="0.25">
      <c r="B34" s="70" t="s">
        <v>4</v>
      </c>
      <c r="C34" s="93"/>
      <c r="D34" s="94"/>
      <c r="E34" s="94"/>
      <c r="F34" s="95"/>
      <c r="G34" s="95"/>
      <c r="H34" s="95"/>
      <c r="I34" s="95"/>
    </row>
    <row r="35" spans="2:9" s="99" customFormat="1" x14ac:dyDescent="0.25">
      <c r="B35" s="85" t="s">
        <v>401</v>
      </c>
      <c r="C35" s="96"/>
      <c r="D35" s="97"/>
      <c r="E35" s="97"/>
      <c r="F35" s="98"/>
      <c r="G35" s="98"/>
      <c r="H35" s="98"/>
      <c r="I35" s="98"/>
    </row>
    <row r="36" spans="2:9" s="99" customFormat="1" x14ac:dyDescent="0.25">
      <c r="B36" s="85"/>
      <c r="C36" s="96"/>
      <c r="D36" s="97"/>
      <c r="E36" s="100"/>
      <c r="F36" s="98"/>
      <c r="G36" s="98"/>
      <c r="H36" s="98"/>
    </row>
    <row r="37" spans="2:9" s="99" customFormat="1" x14ac:dyDescent="0.25">
      <c r="B37" s="101" t="s">
        <v>5</v>
      </c>
      <c r="C37" s="102"/>
      <c r="D37" s="103"/>
      <c r="E37" s="103"/>
      <c r="F37" s="104"/>
      <c r="G37" s="104"/>
      <c r="H37" s="104"/>
      <c r="I37" s="104"/>
    </row>
    <row r="38" spans="2:9" x14ac:dyDescent="0.25">
      <c r="B38" s="105" t="s">
        <v>402</v>
      </c>
    </row>
  </sheetData>
  <mergeCells count="13">
    <mergeCell ref="B9:C9"/>
    <mergeCell ref="D3:E3"/>
    <mergeCell ref="B4:E4"/>
    <mergeCell ref="B6:B7"/>
    <mergeCell ref="C6:C7"/>
    <mergeCell ref="D6:D7"/>
    <mergeCell ref="B23:C23"/>
    <mergeCell ref="B10:C10"/>
    <mergeCell ref="B11:C11"/>
    <mergeCell ref="B13:C13"/>
    <mergeCell ref="B16:C16"/>
    <mergeCell ref="B17:C17"/>
    <mergeCell ref="B20:C20"/>
  </mergeCells>
  <pageMargins left="0.7" right="0.7" top="0.75" bottom="0.7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opLeftCell="A7" workbookViewId="0">
      <selection activeCell="O8" sqref="O8"/>
    </sheetView>
  </sheetViews>
  <sheetFormatPr defaultRowHeight="15.75" x14ac:dyDescent="0.25"/>
  <cols>
    <col min="1" max="1" width="3.28515625" style="115" customWidth="1"/>
    <col min="2" max="2" width="16.42578125" style="154" customWidth="1"/>
    <col min="3" max="3" width="23.28515625" style="154" customWidth="1"/>
    <col min="4" max="4" width="15.140625" style="154" customWidth="1"/>
    <col min="5" max="5" width="15.7109375" style="114" customWidth="1"/>
    <col min="6" max="6" width="14.85546875" style="114" customWidth="1"/>
    <col min="7" max="7" width="15.140625" style="114" customWidth="1"/>
    <col min="8" max="8" width="16" style="114" customWidth="1"/>
    <col min="9" max="9" width="14" style="114" customWidth="1"/>
    <col min="10" max="10" width="11.42578125" style="114" customWidth="1"/>
    <col min="11" max="11" width="15.28515625" style="114" customWidth="1"/>
    <col min="12" max="12" width="14.140625" style="114" customWidth="1"/>
    <col min="13" max="13" width="14.5703125" style="114" customWidth="1"/>
    <col min="14" max="14" width="10.85546875" style="117" customWidth="1"/>
    <col min="15" max="15" width="13.42578125" style="114" customWidth="1"/>
    <col min="16" max="16" width="14.140625" style="114" customWidth="1"/>
    <col min="17" max="19" width="9.140625" style="115" customWidth="1"/>
    <col min="20" max="16384" width="9.140625" style="115"/>
  </cols>
  <sheetData>
    <row r="1" spans="1:24" s="106" customFormat="1" ht="18.75" x14ac:dyDescent="0.3">
      <c r="B1" s="107"/>
      <c r="C1" s="107"/>
      <c r="D1" s="107"/>
      <c r="E1" s="108"/>
      <c r="F1" s="108"/>
      <c r="G1" s="108"/>
      <c r="H1" s="108"/>
      <c r="I1" s="108"/>
      <c r="J1" s="108"/>
      <c r="K1" s="108"/>
      <c r="M1" s="108"/>
      <c r="N1" s="109" t="s">
        <v>403</v>
      </c>
      <c r="P1" s="108"/>
    </row>
    <row r="3" spans="1:24" s="110" customFormat="1" ht="20.25" x14ac:dyDescent="0.3">
      <c r="B3" s="111" t="s">
        <v>404</v>
      </c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</row>
    <row r="5" spans="1:24" ht="44.25" customHeight="1" x14ac:dyDescent="0.25">
      <c r="A5" s="177" t="s">
        <v>405</v>
      </c>
      <c r="B5" s="178"/>
      <c r="C5" s="178"/>
      <c r="D5" s="179"/>
      <c r="E5" s="112"/>
      <c r="F5" s="112"/>
      <c r="G5" s="113"/>
      <c r="H5" s="113"/>
      <c r="I5" s="113"/>
      <c r="J5" s="113"/>
      <c r="K5" s="113"/>
      <c r="L5" s="113"/>
      <c r="N5" s="115"/>
      <c r="O5" s="115"/>
    </row>
    <row r="6" spans="1:24" ht="84" customHeight="1" x14ac:dyDescent="0.25">
      <c r="A6" s="177" t="s">
        <v>406</v>
      </c>
      <c r="B6" s="179"/>
      <c r="C6" s="180" t="s">
        <v>407</v>
      </c>
      <c r="D6" s="180"/>
      <c r="E6" s="116"/>
      <c r="F6" s="116"/>
    </row>
    <row r="7" spans="1:24" ht="39.75" customHeight="1" x14ac:dyDescent="0.25">
      <c r="A7" s="181">
        <f>623156</f>
        <v>623156</v>
      </c>
      <c r="B7" s="182"/>
      <c r="C7" s="183">
        <v>93473</v>
      </c>
      <c r="D7" s="183"/>
      <c r="E7" s="118"/>
      <c r="F7" s="116"/>
    </row>
    <row r="8" spans="1:24" ht="49.5" customHeight="1" x14ac:dyDescent="0.35">
      <c r="A8" s="176" t="s">
        <v>408</v>
      </c>
      <c r="B8" s="176"/>
      <c r="C8" s="176"/>
      <c r="D8" s="176"/>
    </row>
    <row r="9" spans="1:24" ht="23.25" x14ac:dyDescent="0.35">
      <c r="A9" s="171">
        <f>C27+202045</f>
        <v>325848</v>
      </c>
      <c r="B9" s="172"/>
      <c r="C9" s="173">
        <v>0</v>
      </c>
      <c r="D9" s="173"/>
    </row>
    <row r="10" spans="1:24" ht="23.25" x14ac:dyDescent="0.25">
      <c r="A10" s="174" t="s">
        <v>409</v>
      </c>
      <c r="B10" s="174"/>
      <c r="C10" s="174"/>
      <c r="D10" s="174"/>
    </row>
    <row r="11" spans="1:24" ht="23.25" x14ac:dyDescent="0.35">
      <c r="A11" s="171">
        <f>A7-A9</f>
        <v>297308</v>
      </c>
      <c r="B11" s="172"/>
      <c r="C11" s="175">
        <f>C7-C9</f>
        <v>93473</v>
      </c>
      <c r="D11" s="173"/>
      <c r="E11" s="119"/>
    </row>
    <row r="13" spans="1:24" ht="63" x14ac:dyDescent="0.25">
      <c r="B13" s="120" t="s">
        <v>410</v>
      </c>
      <c r="C13" s="120" t="s">
        <v>411</v>
      </c>
      <c r="D13" s="121" t="s">
        <v>412</v>
      </c>
      <c r="E13" s="121" t="s">
        <v>413</v>
      </c>
      <c r="F13" s="122" t="s">
        <v>414</v>
      </c>
      <c r="G13" s="122" t="s">
        <v>415</v>
      </c>
      <c r="H13" s="122" t="s">
        <v>416</v>
      </c>
      <c r="I13" s="122" t="s">
        <v>417</v>
      </c>
      <c r="J13" s="122" t="s">
        <v>418</v>
      </c>
      <c r="K13" s="122" t="s">
        <v>419</v>
      </c>
      <c r="L13" s="122" t="s">
        <v>420</v>
      </c>
      <c r="M13" s="122" t="s">
        <v>421</v>
      </c>
      <c r="N13" s="122" t="s">
        <v>422</v>
      </c>
      <c r="O13" s="122" t="s">
        <v>423</v>
      </c>
      <c r="P13" s="123" t="s">
        <v>424</v>
      </c>
      <c r="Q13" s="124"/>
      <c r="R13" s="124"/>
      <c r="S13" s="124"/>
      <c r="T13" s="124"/>
      <c r="U13" s="124"/>
      <c r="V13" s="124"/>
      <c r="W13" s="124"/>
      <c r="X13" s="124"/>
    </row>
    <row r="14" spans="1:24" ht="81" customHeight="1" x14ac:dyDescent="0.3">
      <c r="B14" s="125" t="s">
        <v>425</v>
      </c>
      <c r="C14" s="126" t="s">
        <v>426</v>
      </c>
      <c r="D14" s="127"/>
      <c r="E14" s="127"/>
      <c r="F14" s="127">
        <v>20776</v>
      </c>
      <c r="G14" s="127"/>
      <c r="H14" s="127"/>
      <c r="I14" s="127"/>
      <c r="J14" s="127"/>
      <c r="K14" s="127">
        <v>1444</v>
      </c>
      <c r="L14" s="127"/>
      <c r="M14" s="127"/>
      <c r="N14" s="127"/>
      <c r="O14" s="127"/>
      <c r="P14" s="127"/>
    </row>
    <row r="15" spans="1:24" ht="66.75" x14ac:dyDescent="0.3">
      <c r="B15" s="125" t="s">
        <v>427</v>
      </c>
      <c r="C15" s="128" t="s">
        <v>428</v>
      </c>
      <c r="D15" s="129">
        <v>458</v>
      </c>
      <c r="E15" s="127"/>
      <c r="F15" s="127"/>
      <c r="G15" s="127"/>
      <c r="H15" s="129"/>
      <c r="I15" s="129"/>
      <c r="J15" s="129"/>
      <c r="K15" s="127"/>
      <c r="L15" s="129"/>
      <c r="M15" s="129"/>
      <c r="N15" s="129"/>
      <c r="O15" s="129"/>
      <c r="P15" s="129"/>
    </row>
    <row r="16" spans="1:24" ht="66.75" x14ac:dyDescent="0.3">
      <c r="B16" s="125" t="s">
        <v>429</v>
      </c>
      <c r="C16" s="126" t="s">
        <v>430</v>
      </c>
      <c r="D16" s="129"/>
      <c r="E16" s="127"/>
      <c r="F16" s="127">
        <v>3280</v>
      </c>
      <c r="G16" s="127"/>
      <c r="H16" s="129"/>
      <c r="I16" s="129"/>
      <c r="J16" s="129"/>
      <c r="K16" s="127">
        <v>280</v>
      </c>
      <c r="L16" s="129"/>
      <c r="M16" s="129"/>
      <c r="N16" s="129"/>
      <c r="O16" s="129"/>
      <c r="P16" s="129"/>
    </row>
    <row r="17" spans="2:16" ht="18.75" x14ac:dyDescent="0.3">
      <c r="B17" s="125" t="s">
        <v>431</v>
      </c>
      <c r="C17" s="130" t="s">
        <v>432</v>
      </c>
      <c r="D17" s="131">
        <f t="shared" ref="D17:P17" si="0">SUM(D18:D23)</f>
        <v>1306</v>
      </c>
      <c r="E17" s="132">
        <f t="shared" si="0"/>
        <v>63438</v>
      </c>
      <c r="F17" s="132">
        <f t="shared" si="0"/>
        <v>21315</v>
      </c>
      <c r="G17" s="132">
        <f t="shared" si="0"/>
        <v>1111</v>
      </c>
      <c r="H17" s="131">
        <f t="shared" si="0"/>
        <v>100</v>
      </c>
      <c r="I17" s="131">
        <f t="shared" si="0"/>
        <v>42</v>
      </c>
      <c r="J17" s="131">
        <f t="shared" si="0"/>
        <v>0</v>
      </c>
      <c r="K17" s="132">
        <f t="shared" si="0"/>
        <v>8364</v>
      </c>
      <c r="L17" s="131">
        <f t="shared" si="0"/>
        <v>53</v>
      </c>
      <c r="M17" s="131">
        <f t="shared" si="0"/>
        <v>0</v>
      </c>
      <c r="N17" s="131">
        <f t="shared" si="0"/>
        <v>0</v>
      </c>
      <c r="O17" s="131">
        <f t="shared" si="0"/>
        <v>0</v>
      </c>
      <c r="P17" s="131">
        <f t="shared" si="0"/>
        <v>0</v>
      </c>
    </row>
    <row r="18" spans="2:16" ht="18.75" x14ac:dyDescent="0.3">
      <c r="B18" s="133" t="s">
        <v>433</v>
      </c>
      <c r="C18" s="133" t="s">
        <v>434</v>
      </c>
      <c r="D18" s="134"/>
      <c r="E18" s="135"/>
      <c r="F18" s="135">
        <v>11074</v>
      </c>
      <c r="G18" s="135"/>
      <c r="H18" s="135"/>
      <c r="I18" s="135"/>
      <c r="J18" s="135"/>
      <c r="K18" s="135"/>
      <c r="L18" s="135"/>
      <c r="M18" s="135"/>
      <c r="N18" s="127"/>
      <c r="O18" s="135"/>
      <c r="P18" s="135"/>
    </row>
    <row r="19" spans="2:16" ht="18.75" x14ac:dyDescent="0.3">
      <c r="B19" s="133" t="s">
        <v>435</v>
      </c>
      <c r="C19" s="133" t="s">
        <v>436</v>
      </c>
      <c r="D19" s="134"/>
      <c r="E19" s="135"/>
      <c r="F19" s="136"/>
      <c r="G19" s="135"/>
      <c r="H19" s="135"/>
      <c r="I19" s="135"/>
      <c r="J19" s="135"/>
      <c r="K19" s="135"/>
      <c r="L19" s="136"/>
      <c r="M19" s="135"/>
      <c r="N19" s="127"/>
      <c r="O19" s="135"/>
      <c r="P19" s="135"/>
    </row>
    <row r="20" spans="2:16" ht="56.25" x14ac:dyDescent="0.3">
      <c r="B20" s="133" t="s">
        <v>437</v>
      </c>
      <c r="C20" s="137" t="s">
        <v>438</v>
      </c>
      <c r="D20" s="134"/>
      <c r="E20" s="135">
        <v>2137</v>
      </c>
      <c r="F20" s="136">
        <v>1865</v>
      </c>
      <c r="G20" s="136">
        <v>240</v>
      </c>
      <c r="H20" s="135"/>
      <c r="I20" s="135"/>
      <c r="J20" s="135"/>
      <c r="K20" s="135"/>
      <c r="L20" s="136"/>
      <c r="M20" s="136"/>
      <c r="N20" s="127"/>
      <c r="O20" s="135"/>
      <c r="P20" s="135"/>
    </row>
    <row r="21" spans="2:16" ht="18.75" x14ac:dyDescent="0.3">
      <c r="B21" s="133" t="s">
        <v>439</v>
      </c>
      <c r="C21" s="133" t="s">
        <v>440</v>
      </c>
      <c r="D21" s="134">
        <f>89+1216+1</f>
        <v>1306</v>
      </c>
      <c r="E21" s="135">
        <v>61224</v>
      </c>
      <c r="F21" s="136">
        <v>4299</v>
      </c>
      <c r="G21" s="136">
        <v>871</v>
      </c>
      <c r="H21" s="135">
        <v>100</v>
      </c>
      <c r="I21" s="135">
        <v>42</v>
      </c>
      <c r="J21" s="135"/>
      <c r="K21" s="135">
        <v>947</v>
      </c>
      <c r="L21" s="136">
        <v>53</v>
      </c>
      <c r="M21" s="136"/>
      <c r="N21" s="135"/>
      <c r="O21" s="138"/>
      <c r="P21" s="135"/>
    </row>
    <row r="22" spans="2:16" ht="37.5" x14ac:dyDescent="0.3">
      <c r="B22" s="133" t="s">
        <v>441</v>
      </c>
      <c r="C22" s="139" t="s">
        <v>442</v>
      </c>
      <c r="D22" s="134"/>
      <c r="E22" s="135"/>
      <c r="F22" s="136">
        <v>2532</v>
      </c>
      <c r="G22" s="136"/>
      <c r="H22" s="135"/>
      <c r="I22" s="135"/>
      <c r="J22" s="135"/>
      <c r="K22" s="135">
        <v>1349</v>
      </c>
      <c r="L22" s="136"/>
      <c r="M22" s="136"/>
      <c r="N22" s="127"/>
      <c r="O22" s="135"/>
      <c r="P22" s="135"/>
    </row>
    <row r="23" spans="2:16" ht="37.5" x14ac:dyDescent="0.3">
      <c r="B23" s="133" t="s">
        <v>443</v>
      </c>
      <c r="C23" s="139" t="s">
        <v>444</v>
      </c>
      <c r="D23" s="134"/>
      <c r="E23" s="135">
        <v>77</v>
      </c>
      <c r="F23" s="136">
        <v>1545</v>
      </c>
      <c r="G23" s="135"/>
      <c r="H23" s="135"/>
      <c r="I23" s="135"/>
      <c r="J23" s="135"/>
      <c r="K23" s="135">
        <v>6068</v>
      </c>
      <c r="L23" s="136"/>
      <c r="M23" s="135"/>
      <c r="N23" s="127"/>
      <c r="O23" s="135"/>
      <c r="P23" s="135"/>
    </row>
    <row r="24" spans="2:16" ht="18.75" x14ac:dyDescent="0.3">
      <c r="B24" s="140" t="s">
        <v>445</v>
      </c>
      <c r="C24" s="141">
        <f>SUM(D24:P24)</f>
        <v>121967</v>
      </c>
      <c r="D24" s="131">
        <f t="shared" ref="D24:P24" si="1">SUM(D14,D15,D16,D17,)</f>
        <v>1764</v>
      </c>
      <c r="E24" s="132">
        <f t="shared" si="1"/>
        <v>63438</v>
      </c>
      <c r="F24" s="132">
        <f t="shared" si="1"/>
        <v>45371</v>
      </c>
      <c r="G24" s="132">
        <f t="shared" si="1"/>
        <v>1111</v>
      </c>
      <c r="H24" s="131">
        <f t="shared" si="1"/>
        <v>100</v>
      </c>
      <c r="I24" s="131">
        <f t="shared" si="1"/>
        <v>42</v>
      </c>
      <c r="J24" s="131">
        <f t="shared" si="1"/>
        <v>0</v>
      </c>
      <c r="K24" s="132">
        <f t="shared" si="1"/>
        <v>10088</v>
      </c>
      <c r="L24" s="131">
        <f t="shared" si="1"/>
        <v>53</v>
      </c>
      <c r="M24" s="131">
        <f t="shared" si="1"/>
        <v>0</v>
      </c>
      <c r="N24" s="131">
        <f t="shared" si="1"/>
        <v>0</v>
      </c>
      <c r="O24" s="131">
        <f t="shared" si="1"/>
        <v>0</v>
      </c>
      <c r="P24" s="131">
        <f t="shared" si="1"/>
        <v>0</v>
      </c>
    </row>
    <row r="25" spans="2:16" ht="66.75" x14ac:dyDescent="0.3">
      <c r="B25" s="125" t="s">
        <v>446</v>
      </c>
      <c r="C25" s="126" t="s">
        <v>447</v>
      </c>
      <c r="D25" s="129"/>
      <c r="E25" s="127">
        <v>1836</v>
      </c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</row>
    <row r="26" spans="2:16" ht="37.5" x14ac:dyDescent="0.3">
      <c r="B26" s="142" t="s">
        <v>448</v>
      </c>
      <c r="C26" s="143">
        <f>SUM(D26:P26)</f>
        <v>1836</v>
      </c>
      <c r="D26" s="131">
        <f>SUM(D25)</f>
        <v>0</v>
      </c>
      <c r="E26" s="132">
        <f t="shared" ref="E26:P26" si="2">SUM(E25)</f>
        <v>1836</v>
      </c>
      <c r="F26" s="132">
        <f t="shared" si="2"/>
        <v>0</v>
      </c>
      <c r="G26" s="132">
        <f t="shared" si="2"/>
        <v>0</v>
      </c>
      <c r="H26" s="131">
        <f t="shared" si="2"/>
        <v>0</v>
      </c>
      <c r="I26" s="131">
        <f t="shared" si="2"/>
        <v>0</v>
      </c>
      <c r="J26" s="131">
        <f t="shared" si="2"/>
        <v>0</v>
      </c>
      <c r="K26" s="132">
        <f t="shared" si="2"/>
        <v>0</v>
      </c>
      <c r="L26" s="131">
        <f t="shared" si="2"/>
        <v>0</v>
      </c>
      <c r="M26" s="131">
        <f t="shared" si="2"/>
        <v>0</v>
      </c>
      <c r="N26" s="131">
        <f t="shared" si="2"/>
        <v>0</v>
      </c>
      <c r="O26" s="131">
        <f t="shared" si="2"/>
        <v>0</v>
      </c>
      <c r="P26" s="131">
        <f t="shared" si="2"/>
        <v>0</v>
      </c>
    </row>
    <row r="27" spans="2:16" ht="37.5" x14ac:dyDescent="0.3">
      <c r="B27" s="144" t="s">
        <v>449</v>
      </c>
      <c r="C27" s="143">
        <f>SUM(D27:P27)</f>
        <v>123803</v>
      </c>
      <c r="D27" s="145">
        <f>SUM(D24+D26)</f>
        <v>1764</v>
      </c>
      <c r="E27" s="146">
        <f t="shared" ref="E27:P27" si="3">SUM(E24+E26)</f>
        <v>65274</v>
      </c>
      <c r="F27" s="146">
        <f t="shared" si="3"/>
        <v>45371</v>
      </c>
      <c r="G27" s="146">
        <f t="shared" si="3"/>
        <v>1111</v>
      </c>
      <c r="H27" s="146">
        <f t="shared" si="3"/>
        <v>100</v>
      </c>
      <c r="I27" s="146">
        <f t="shared" si="3"/>
        <v>42</v>
      </c>
      <c r="J27" s="146">
        <f t="shared" si="3"/>
        <v>0</v>
      </c>
      <c r="K27" s="146">
        <f t="shared" si="3"/>
        <v>10088</v>
      </c>
      <c r="L27" s="146">
        <f t="shared" si="3"/>
        <v>53</v>
      </c>
      <c r="M27" s="146">
        <f t="shared" si="3"/>
        <v>0</v>
      </c>
      <c r="N27" s="146">
        <f t="shared" si="3"/>
        <v>0</v>
      </c>
      <c r="O27" s="146">
        <f t="shared" si="3"/>
        <v>0</v>
      </c>
      <c r="P27" s="146">
        <f t="shared" si="3"/>
        <v>0</v>
      </c>
    </row>
    <row r="29" spans="2:16" s="147" customFormat="1" ht="15" x14ac:dyDescent="0.25">
      <c r="H29" s="148"/>
    </row>
    <row r="30" spans="2:16" s="149" customFormat="1" ht="14.25" x14ac:dyDescent="0.2">
      <c r="H30" s="150"/>
    </row>
    <row r="31" spans="2:16" s="147" customFormat="1" ht="15" x14ac:dyDescent="0.25">
      <c r="B31" s="151"/>
      <c r="F31" s="151"/>
      <c r="G31" s="151"/>
      <c r="H31" s="148"/>
    </row>
    <row r="32" spans="2:16" s="147" customFormat="1" ht="15" x14ac:dyDescent="0.25">
      <c r="B32" s="151"/>
      <c r="F32" s="151"/>
      <c r="G32" s="151"/>
      <c r="H32" s="148"/>
    </row>
    <row r="33" spans="2:8" s="2" customFormat="1" x14ac:dyDescent="0.25">
      <c r="B33" s="5"/>
      <c r="F33" s="5"/>
      <c r="G33" s="5"/>
      <c r="H33" s="4"/>
    </row>
    <row r="34" spans="2:8" s="2" customFormat="1" x14ac:dyDescent="0.25">
      <c r="H34" s="4"/>
    </row>
    <row r="35" spans="2:8" s="2" customFormat="1" x14ac:dyDescent="0.25">
      <c r="B35" s="1"/>
      <c r="F35" s="6"/>
      <c r="G35" s="152"/>
      <c r="H35" s="4"/>
    </row>
    <row r="36" spans="2:8" s="2" customFormat="1" x14ac:dyDescent="0.25">
      <c r="B36" s="5"/>
      <c r="F36" s="7"/>
      <c r="G36" s="153"/>
      <c r="H36" s="4"/>
    </row>
    <row r="37" spans="2:8" s="2" customFormat="1" x14ac:dyDescent="0.25">
      <c r="H37" s="4"/>
    </row>
    <row r="38" spans="2:8" s="2" customFormat="1" x14ac:dyDescent="0.25">
      <c r="B38" s="1"/>
      <c r="H38" s="4"/>
    </row>
    <row r="39" spans="2:8" s="2" customFormat="1" x14ac:dyDescent="0.25">
      <c r="B39" s="5"/>
      <c r="H39" s="4"/>
    </row>
    <row r="40" spans="2:8" s="2" customFormat="1" x14ac:dyDescent="0.25">
      <c r="H40" s="4"/>
    </row>
    <row r="41" spans="2:8" s="2" customFormat="1" x14ac:dyDescent="0.25">
      <c r="B41" s="8"/>
      <c r="H41" s="4"/>
    </row>
    <row r="42" spans="2:8" s="2" customFormat="1" x14ac:dyDescent="0.25">
      <c r="B42" s="9"/>
      <c r="H42" s="4"/>
    </row>
    <row r="43" spans="2:8" s="2" customFormat="1" x14ac:dyDescent="0.25">
      <c r="B43" s="5"/>
      <c r="H43" s="4"/>
    </row>
  </sheetData>
  <mergeCells count="11">
    <mergeCell ref="A8:D8"/>
    <mergeCell ref="A5:D5"/>
    <mergeCell ref="A6:B6"/>
    <mergeCell ref="C6:D6"/>
    <mergeCell ref="A7:B7"/>
    <mergeCell ref="C7:D7"/>
    <mergeCell ref="A9:B9"/>
    <mergeCell ref="C9:D9"/>
    <mergeCell ref="A10:D10"/>
    <mergeCell ref="A11:B11"/>
    <mergeCell ref="C11:D11"/>
  </mergeCells>
  <dataValidations count="1">
    <dataValidation type="whole" operator="greaterThanOrEqual" allowBlank="1" showInputMessage="1" showErrorMessage="1" error="Въвежда се цяло положително число!" sqref="O21">
      <formula1>0</formula1>
    </dataValidation>
  </dataValidations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3</vt:i4>
      </vt:variant>
      <vt:variant>
        <vt:lpstr>Наименувани диапазони</vt:lpstr>
      </vt:variant>
      <vt:variant>
        <vt:i4>1</vt:i4>
      </vt:variant>
    </vt:vector>
  </HeadingPairs>
  <TitlesOfParts>
    <vt:vector size="4" baseType="lpstr">
      <vt:lpstr>Pril1_30112021</vt:lpstr>
      <vt:lpstr>pril2_30112021</vt:lpstr>
      <vt:lpstr>pril3_30112021</vt:lpstr>
      <vt:lpstr>Pril1_30112021!Печат_заглавия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Krasimira Hristova</dc:creator>
  <cp:lastModifiedBy>Milena Filipova</cp:lastModifiedBy>
  <cp:lastPrinted>2021-12-10T12:45:55Z</cp:lastPrinted>
  <dcterms:created xsi:type="dcterms:W3CDTF">2021-12-10T09:13:47Z</dcterms:created>
  <dcterms:modified xsi:type="dcterms:W3CDTF">2021-12-10T13:50:05Z</dcterms:modified>
</cp:coreProperties>
</file>